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1" sheetId="5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3" r:id="rId27"/>
    <sheet name="28" sheetId="34" r:id="rId28"/>
    <sheet name="29" sheetId="35" r:id="rId29"/>
    <sheet name="30" sheetId="36" r:id="rId30"/>
    <sheet name="new_sample" sheetId="4" r:id="rId31"/>
    <sheet name="Sheet1" sheetId="1" r:id="rId32"/>
    <sheet name="Sheet2" sheetId="2" r:id="rId33"/>
    <sheet name="Sheet3" sheetId="3" r:id="rId34"/>
    <sheet name="Sheet8" sheetId="21" r:id="rId35"/>
    <sheet name="Sheet19" sheetId="32" r:id="rId36"/>
  </sheets>
  <externalReferences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L27" i="36" l="1"/>
  <c r="AH11" i="36" l="1"/>
  <c r="AI11" i="36"/>
  <c r="AH12" i="36"/>
  <c r="AI12" i="36"/>
  <c r="AF94" i="36"/>
  <c r="AF36" i="36"/>
  <c r="AE94" i="36"/>
  <c r="AE36" i="36"/>
  <c r="AD94" i="36"/>
  <c r="AD36" i="36"/>
  <c r="AC94" i="36"/>
  <c r="AC36" i="36"/>
  <c r="AB94" i="36"/>
  <c r="AB36" i="36"/>
  <c r="AA36" i="36"/>
  <c r="AA94" i="36"/>
  <c r="AA58" i="36"/>
  <c r="Q94" i="36" l="1"/>
  <c r="Q36" i="36"/>
  <c r="P94" i="36"/>
  <c r="P36" i="36"/>
  <c r="O94" i="36"/>
  <c r="O36" i="36"/>
  <c r="N94" i="36"/>
  <c r="N36" i="36"/>
  <c r="M94" i="36"/>
  <c r="M36" i="36"/>
  <c r="AH98" i="36"/>
  <c r="AI98" i="36" s="1"/>
  <c r="B92" i="36"/>
  <c r="B81" i="36"/>
  <c r="B67" i="36"/>
  <c r="B72" i="36" s="1"/>
  <c r="B55" i="36"/>
  <c r="B51" i="36"/>
  <c r="B37" i="36"/>
  <c r="B74" i="36" s="1"/>
  <c r="AF237" i="36"/>
  <c r="AE237" i="36"/>
  <c r="AD237" i="36"/>
  <c r="AC237" i="36"/>
  <c r="AB237" i="36"/>
  <c r="AA237" i="36"/>
  <c r="Z237" i="36"/>
  <c r="Y237" i="36"/>
  <c r="X237" i="36"/>
  <c r="W237" i="36"/>
  <c r="V237" i="36"/>
  <c r="U237" i="36"/>
  <c r="T237" i="36"/>
  <c r="S237" i="36"/>
  <c r="R237" i="36"/>
  <c r="Q237" i="36"/>
  <c r="P237" i="36"/>
  <c r="O237" i="36"/>
  <c r="N237" i="36"/>
  <c r="M237" i="36"/>
  <c r="L237" i="36"/>
  <c r="K237" i="36"/>
  <c r="J237" i="36"/>
  <c r="I237" i="36"/>
  <c r="H237" i="36"/>
  <c r="G237" i="36"/>
  <c r="F237" i="36"/>
  <c r="E237" i="36"/>
  <c r="D237" i="36"/>
  <c r="C237" i="36"/>
  <c r="B237" i="36"/>
  <c r="A237" i="36"/>
  <c r="AF236" i="36"/>
  <c r="AE236" i="36"/>
  <c r="AD236" i="36"/>
  <c r="AC236" i="36"/>
  <c r="AB236" i="36"/>
  <c r="AA236" i="36"/>
  <c r="Z236" i="36"/>
  <c r="Y236" i="36"/>
  <c r="X236" i="36"/>
  <c r="W236" i="36"/>
  <c r="V236" i="36"/>
  <c r="U236" i="36"/>
  <c r="T236" i="36"/>
  <c r="S236" i="36"/>
  <c r="R236" i="36"/>
  <c r="Q236" i="36"/>
  <c r="P236" i="36"/>
  <c r="O236" i="36"/>
  <c r="N236" i="36"/>
  <c r="M236" i="36"/>
  <c r="L236" i="36"/>
  <c r="K236" i="36"/>
  <c r="J236" i="36"/>
  <c r="I236" i="36"/>
  <c r="H236" i="36"/>
  <c r="G236" i="36"/>
  <c r="F236" i="36"/>
  <c r="E236" i="36"/>
  <c r="D236" i="36"/>
  <c r="C236" i="36"/>
  <c r="B236" i="36"/>
  <c r="A236" i="36"/>
  <c r="AF235" i="36"/>
  <c r="AE235" i="36"/>
  <c r="AD235" i="36"/>
  <c r="AC235" i="36"/>
  <c r="AB235" i="36"/>
  <c r="AA235" i="36"/>
  <c r="Z235" i="36"/>
  <c r="Y235" i="36"/>
  <c r="X235" i="36"/>
  <c r="W235" i="36"/>
  <c r="V235" i="36"/>
  <c r="U235" i="36"/>
  <c r="T235" i="36"/>
  <c r="S235" i="36"/>
  <c r="R235" i="36"/>
  <c r="Q235" i="36"/>
  <c r="P235" i="36"/>
  <c r="O235" i="36"/>
  <c r="N235" i="36"/>
  <c r="M235" i="36"/>
  <c r="L235" i="36"/>
  <c r="K235" i="36"/>
  <c r="J235" i="36"/>
  <c r="I235" i="36"/>
  <c r="H235" i="36"/>
  <c r="G235" i="36"/>
  <c r="F235" i="36"/>
  <c r="E235" i="36"/>
  <c r="D235" i="36"/>
  <c r="C235" i="36"/>
  <c r="B235" i="36"/>
  <c r="A235" i="36"/>
  <c r="AF234" i="36"/>
  <c r="AE234" i="36"/>
  <c r="AD234" i="36"/>
  <c r="AC234" i="36"/>
  <c r="AB234" i="36"/>
  <c r="AA234" i="36"/>
  <c r="Z234" i="36"/>
  <c r="Y234" i="36"/>
  <c r="X234" i="36"/>
  <c r="W234" i="36"/>
  <c r="V234" i="36"/>
  <c r="U234" i="36"/>
  <c r="T234" i="36"/>
  <c r="S234" i="36"/>
  <c r="R234" i="36"/>
  <c r="Q234" i="36"/>
  <c r="P234" i="36"/>
  <c r="O234" i="36"/>
  <c r="N234" i="36"/>
  <c r="M234" i="36"/>
  <c r="L234" i="36"/>
  <c r="K234" i="36"/>
  <c r="J234" i="36"/>
  <c r="I234" i="36"/>
  <c r="H234" i="36"/>
  <c r="G234" i="36"/>
  <c r="F234" i="36"/>
  <c r="E234" i="36"/>
  <c r="D234" i="36"/>
  <c r="C234" i="36"/>
  <c r="B234" i="36"/>
  <c r="A234" i="36"/>
  <c r="B233" i="36"/>
  <c r="S208" i="36"/>
  <c r="AG198" i="36"/>
  <c r="B198" i="36"/>
  <c r="E197" i="36"/>
  <c r="D197" i="36"/>
  <c r="D233" i="36" s="1"/>
  <c r="C197" i="36"/>
  <c r="C233" i="36" s="1"/>
  <c r="D196" i="36"/>
  <c r="E196" i="36" s="1"/>
  <c r="F196" i="36" s="1"/>
  <c r="G196" i="36" s="1"/>
  <c r="H196" i="36" s="1"/>
  <c r="I196" i="36" s="1"/>
  <c r="J196" i="36" s="1"/>
  <c r="K196" i="36" s="1"/>
  <c r="L196" i="36" s="1"/>
  <c r="M196" i="36" s="1"/>
  <c r="N196" i="36" s="1"/>
  <c r="O196" i="36" s="1"/>
  <c r="P196" i="36" s="1"/>
  <c r="Q196" i="36" s="1"/>
  <c r="R196" i="36" s="1"/>
  <c r="S196" i="36" s="1"/>
  <c r="T196" i="36" s="1"/>
  <c r="U196" i="36" s="1"/>
  <c r="V196" i="36" s="1"/>
  <c r="W196" i="36" s="1"/>
  <c r="X196" i="36" s="1"/>
  <c r="Y196" i="36" s="1"/>
  <c r="Z196" i="36" s="1"/>
  <c r="AA196" i="36" s="1"/>
  <c r="AB196" i="36" s="1"/>
  <c r="AC196" i="36" s="1"/>
  <c r="AD196" i="36" s="1"/>
  <c r="AE196" i="36" s="1"/>
  <c r="AF196" i="36" s="1"/>
  <c r="C196" i="36"/>
  <c r="C195" i="36"/>
  <c r="D195" i="36" s="1"/>
  <c r="E195" i="36" s="1"/>
  <c r="F195" i="36" s="1"/>
  <c r="G195" i="36" s="1"/>
  <c r="H195" i="36" s="1"/>
  <c r="I195" i="36" s="1"/>
  <c r="J195" i="36" s="1"/>
  <c r="K195" i="36" s="1"/>
  <c r="L195" i="36" s="1"/>
  <c r="M195" i="36" s="1"/>
  <c r="N195" i="36" s="1"/>
  <c r="O195" i="36" s="1"/>
  <c r="P195" i="36" s="1"/>
  <c r="Q195" i="36" s="1"/>
  <c r="R195" i="36" s="1"/>
  <c r="S195" i="36" s="1"/>
  <c r="T195" i="36" s="1"/>
  <c r="U195" i="36" s="1"/>
  <c r="V195" i="36" s="1"/>
  <c r="W195" i="36" s="1"/>
  <c r="X195" i="36" s="1"/>
  <c r="Y195" i="36" s="1"/>
  <c r="Z195" i="36" s="1"/>
  <c r="AA195" i="36" s="1"/>
  <c r="AB195" i="36" s="1"/>
  <c r="AC195" i="36" s="1"/>
  <c r="AD195" i="36" s="1"/>
  <c r="AE195" i="36" s="1"/>
  <c r="AF195" i="36" s="1"/>
  <c r="D194" i="36"/>
  <c r="E194" i="36" s="1"/>
  <c r="F194" i="36" s="1"/>
  <c r="G194" i="36" s="1"/>
  <c r="H194" i="36" s="1"/>
  <c r="I194" i="36" s="1"/>
  <c r="J194" i="36" s="1"/>
  <c r="K194" i="36" s="1"/>
  <c r="L194" i="36" s="1"/>
  <c r="M194" i="36" s="1"/>
  <c r="N194" i="36" s="1"/>
  <c r="O194" i="36" s="1"/>
  <c r="P194" i="36" s="1"/>
  <c r="Q194" i="36" s="1"/>
  <c r="R194" i="36" s="1"/>
  <c r="S194" i="36" s="1"/>
  <c r="T194" i="36" s="1"/>
  <c r="U194" i="36" s="1"/>
  <c r="V194" i="36" s="1"/>
  <c r="W194" i="36" s="1"/>
  <c r="X194" i="36" s="1"/>
  <c r="Y194" i="36" s="1"/>
  <c r="Z194" i="36" s="1"/>
  <c r="AA194" i="36" s="1"/>
  <c r="AB194" i="36" s="1"/>
  <c r="AC194" i="36" s="1"/>
  <c r="AD194" i="36" s="1"/>
  <c r="AE194" i="36" s="1"/>
  <c r="AF194" i="36" s="1"/>
  <c r="C194" i="36"/>
  <c r="AB193" i="36"/>
  <c r="AC193" i="36" s="1"/>
  <c r="AD193" i="36" s="1"/>
  <c r="AE193" i="36" s="1"/>
  <c r="AF193" i="36" s="1"/>
  <c r="F193" i="36"/>
  <c r="G193" i="36" s="1"/>
  <c r="H193" i="36" s="1"/>
  <c r="I193" i="36" s="1"/>
  <c r="J193" i="36" s="1"/>
  <c r="K193" i="36" s="1"/>
  <c r="L193" i="36" s="1"/>
  <c r="M193" i="36" s="1"/>
  <c r="N193" i="36" s="1"/>
  <c r="O193" i="36" s="1"/>
  <c r="P193" i="36" s="1"/>
  <c r="Q193" i="36" s="1"/>
  <c r="R193" i="36" s="1"/>
  <c r="S193" i="36" s="1"/>
  <c r="T193" i="36" s="1"/>
  <c r="U193" i="36" s="1"/>
  <c r="V193" i="36" s="1"/>
  <c r="W193" i="36" s="1"/>
  <c r="X193" i="36" s="1"/>
  <c r="Y193" i="36" s="1"/>
  <c r="Z193" i="36" s="1"/>
  <c r="AA193" i="36" s="1"/>
  <c r="C193" i="36"/>
  <c r="D193" i="36" s="1"/>
  <c r="E193" i="36" s="1"/>
  <c r="C192" i="36"/>
  <c r="AG190" i="36"/>
  <c r="B190" i="36"/>
  <c r="C189" i="36"/>
  <c r="D189" i="36" s="1"/>
  <c r="E189" i="36" s="1"/>
  <c r="F189" i="36" s="1"/>
  <c r="G189" i="36" s="1"/>
  <c r="H189" i="36" s="1"/>
  <c r="I189" i="36" s="1"/>
  <c r="J189" i="36" s="1"/>
  <c r="K189" i="36" s="1"/>
  <c r="L189" i="36" s="1"/>
  <c r="M189" i="36" s="1"/>
  <c r="N189" i="36" s="1"/>
  <c r="O189" i="36" s="1"/>
  <c r="P189" i="36" s="1"/>
  <c r="Q189" i="36" s="1"/>
  <c r="R189" i="36" s="1"/>
  <c r="S189" i="36" s="1"/>
  <c r="T189" i="36" s="1"/>
  <c r="U189" i="36" s="1"/>
  <c r="V189" i="36" s="1"/>
  <c r="W189" i="36" s="1"/>
  <c r="X189" i="36" s="1"/>
  <c r="Y189" i="36" s="1"/>
  <c r="Z189" i="36" s="1"/>
  <c r="AA189" i="36" s="1"/>
  <c r="AB189" i="36" s="1"/>
  <c r="AC189" i="36" s="1"/>
  <c r="AD189" i="36" s="1"/>
  <c r="AE189" i="36" s="1"/>
  <c r="AF189" i="36" s="1"/>
  <c r="D188" i="36"/>
  <c r="E188" i="36" s="1"/>
  <c r="F188" i="36" s="1"/>
  <c r="G188" i="36" s="1"/>
  <c r="H188" i="36" s="1"/>
  <c r="I188" i="36" s="1"/>
  <c r="J188" i="36" s="1"/>
  <c r="K188" i="36" s="1"/>
  <c r="L188" i="36" s="1"/>
  <c r="M188" i="36" s="1"/>
  <c r="N188" i="36" s="1"/>
  <c r="O188" i="36" s="1"/>
  <c r="P188" i="36" s="1"/>
  <c r="Q188" i="36" s="1"/>
  <c r="R188" i="36" s="1"/>
  <c r="S188" i="36" s="1"/>
  <c r="T188" i="36" s="1"/>
  <c r="U188" i="36" s="1"/>
  <c r="V188" i="36" s="1"/>
  <c r="W188" i="36" s="1"/>
  <c r="X188" i="36" s="1"/>
  <c r="Y188" i="36" s="1"/>
  <c r="Z188" i="36" s="1"/>
  <c r="AA188" i="36" s="1"/>
  <c r="AB188" i="36" s="1"/>
  <c r="AC188" i="36" s="1"/>
  <c r="AD188" i="36" s="1"/>
  <c r="AE188" i="36" s="1"/>
  <c r="AF188" i="36" s="1"/>
  <c r="C188" i="36"/>
  <c r="O187" i="36"/>
  <c r="P187" i="36" s="1"/>
  <c r="Q187" i="36" s="1"/>
  <c r="R187" i="36" s="1"/>
  <c r="S187" i="36" s="1"/>
  <c r="T187" i="36" s="1"/>
  <c r="U187" i="36" s="1"/>
  <c r="V187" i="36" s="1"/>
  <c r="W187" i="36" s="1"/>
  <c r="X187" i="36" s="1"/>
  <c r="Y187" i="36" s="1"/>
  <c r="Z187" i="36" s="1"/>
  <c r="AA187" i="36" s="1"/>
  <c r="AB187" i="36" s="1"/>
  <c r="AC187" i="36" s="1"/>
  <c r="AD187" i="36" s="1"/>
  <c r="AE187" i="36" s="1"/>
  <c r="AF187" i="36" s="1"/>
  <c r="C187" i="36"/>
  <c r="D187" i="36" s="1"/>
  <c r="E187" i="36" s="1"/>
  <c r="F187" i="36" s="1"/>
  <c r="G187" i="36" s="1"/>
  <c r="H187" i="36" s="1"/>
  <c r="I187" i="36" s="1"/>
  <c r="J187" i="36" s="1"/>
  <c r="K187" i="36" s="1"/>
  <c r="L187" i="36" s="1"/>
  <c r="M187" i="36" s="1"/>
  <c r="N187" i="36" s="1"/>
  <c r="E186" i="36"/>
  <c r="F186" i="36" s="1"/>
  <c r="G186" i="36" s="1"/>
  <c r="H186" i="36" s="1"/>
  <c r="I186" i="36" s="1"/>
  <c r="J186" i="36" s="1"/>
  <c r="K186" i="36" s="1"/>
  <c r="L186" i="36" s="1"/>
  <c r="M186" i="36" s="1"/>
  <c r="N186" i="36" s="1"/>
  <c r="O186" i="36" s="1"/>
  <c r="P186" i="36" s="1"/>
  <c r="Q186" i="36" s="1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D186" i="36"/>
  <c r="C186" i="36"/>
  <c r="I185" i="36"/>
  <c r="J185" i="36" s="1"/>
  <c r="K185" i="36" s="1"/>
  <c r="L185" i="36" s="1"/>
  <c r="M185" i="36" s="1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E185" i="36"/>
  <c r="F185" i="36" s="1"/>
  <c r="G185" i="36" s="1"/>
  <c r="H185" i="36" s="1"/>
  <c r="C185" i="36"/>
  <c r="D185" i="36" s="1"/>
  <c r="E184" i="36"/>
  <c r="F184" i="36" s="1"/>
  <c r="G184" i="36" s="1"/>
  <c r="H184" i="36" s="1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C184" i="36"/>
  <c r="D184" i="36" s="1"/>
  <c r="C183" i="36"/>
  <c r="D183" i="36" s="1"/>
  <c r="E183" i="36" s="1"/>
  <c r="F183" i="36" s="1"/>
  <c r="G183" i="36" s="1"/>
  <c r="H183" i="36" s="1"/>
  <c r="I183" i="36" s="1"/>
  <c r="J183" i="36" s="1"/>
  <c r="K183" i="36" s="1"/>
  <c r="L183" i="36" s="1"/>
  <c r="M183" i="36" s="1"/>
  <c r="N183" i="36" s="1"/>
  <c r="O183" i="36" s="1"/>
  <c r="P183" i="36" s="1"/>
  <c r="Q183" i="36" s="1"/>
  <c r="R183" i="36" s="1"/>
  <c r="S183" i="36" s="1"/>
  <c r="T183" i="36" s="1"/>
  <c r="U183" i="36" s="1"/>
  <c r="V183" i="36" s="1"/>
  <c r="W183" i="36" s="1"/>
  <c r="X183" i="36" s="1"/>
  <c r="Y183" i="36" s="1"/>
  <c r="Z183" i="36" s="1"/>
  <c r="AA183" i="36" s="1"/>
  <c r="AB183" i="36" s="1"/>
  <c r="AC183" i="36" s="1"/>
  <c r="AD183" i="36" s="1"/>
  <c r="AE183" i="36" s="1"/>
  <c r="AF183" i="36" s="1"/>
  <c r="J182" i="36"/>
  <c r="K182" i="36" s="1"/>
  <c r="L182" i="36" s="1"/>
  <c r="M182" i="36" s="1"/>
  <c r="N182" i="36" s="1"/>
  <c r="O182" i="36" s="1"/>
  <c r="P182" i="36" s="1"/>
  <c r="Q182" i="36" s="1"/>
  <c r="R182" i="36" s="1"/>
  <c r="S182" i="36" s="1"/>
  <c r="T182" i="36" s="1"/>
  <c r="U182" i="36" s="1"/>
  <c r="V182" i="36" s="1"/>
  <c r="W182" i="36" s="1"/>
  <c r="X182" i="36" s="1"/>
  <c r="Y182" i="36" s="1"/>
  <c r="Z182" i="36" s="1"/>
  <c r="AA182" i="36" s="1"/>
  <c r="AB182" i="36" s="1"/>
  <c r="AC182" i="36" s="1"/>
  <c r="AD182" i="36" s="1"/>
  <c r="AE182" i="36" s="1"/>
  <c r="AF182" i="36" s="1"/>
  <c r="E182" i="36"/>
  <c r="F182" i="36" s="1"/>
  <c r="G182" i="36" s="1"/>
  <c r="H182" i="36" s="1"/>
  <c r="I182" i="36" s="1"/>
  <c r="C182" i="36"/>
  <c r="D182" i="36" s="1"/>
  <c r="Q181" i="36"/>
  <c r="R181" i="36" s="1"/>
  <c r="S181" i="36" s="1"/>
  <c r="T181" i="36" s="1"/>
  <c r="U181" i="36" s="1"/>
  <c r="V181" i="36" s="1"/>
  <c r="W181" i="36" s="1"/>
  <c r="X181" i="36" s="1"/>
  <c r="Y181" i="36" s="1"/>
  <c r="Z181" i="36" s="1"/>
  <c r="AA181" i="36" s="1"/>
  <c r="AB181" i="36" s="1"/>
  <c r="AC181" i="36" s="1"/>
  <c r="AD181" i="36" s="1"/>
  <c r="AE181" i="36" s="1"/>
  <c r="AF181" i="36" s="1"/>
  <c r="C181" i="36"/>
  <c r="D181" i="36" s="1"/>
  <c r="E181" i="36" s="1"/>
  <c r="F181" i="36" s="1"/>
  <c r="G181" i="36" s="1"/>
  <c r="H181" i="36" s="1"/>
  <c r="I181" i="36" s="1"/>
  <c r="J181" i="36" s="1"/>
  <c r="K181" i="36" s="1"/>
  <c r="L181" i="36" s="1"/>
  <c r="M181" i="36" s="1"/>
  <c r="N181" i="36" s="1"/>
  <c r="O181" i="36" s="1"/>
  <c r="P181" i="36" s="1"/>
  <c r="D180" i="36"/>
  <c r="E180" i="36" s="1"/>
  <c r="F180" i="36" s="1"/>
  <c r="G180" i="36" s="1"/>
  <c r="H180" i="36" s="1"/>
  <c r="I180" i="36" s="1"/>
  <c r="J180" i="36" s="1"/>
  <c r="K180" i="36" s="1"/>
  <c r="L180" i="36" s="1"/>
  <c r="M180" i="36" s="1"/>
  <c r="N180" i="36" s="1"/>
  <c r="O180" i="36" s="1"/>
  <c r="P180" i="36" s="1"/>
  <c r="Q180" i="36" s="1"/>
  <c r="R180" i="36" s="1"/>
  <c r="S180" i="36" s="1"/>
  <c r="T180" i="36" s="1"/>
  <c r="U180" i="36" s="1"/>
  <c r="V180" i="36" s="1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C180" i="36"/>
  <c r="D179" i="36"/>
  <c r="E179" i="36" s="1"/>
  <c r="F179" i="36" s="1"/>
  <c r="G179" i="36" s="1"/>
  <c r="H179" i="36" s="1"/>
  <c r="I179" i="36" s="1"/>
  <c r="J179" i="36" s="1"/>
  <c r="K179" i="36" s="1"/>
  <c r="L179" i="36" s="1"/>
  <c r="M179" i="36" s="1"/>
  <c r="N179" i="36" s="1"/>
  <c r="O179" i="36" s="1"/>
  <c r="P179" i="36" s="1"/>
  <c r="Q179" i="36" s="1"/>
  <c r="R179" i="36" s="1"/>
  <c r="S179" i="36" s="1"/>
  <c r="T179" i="36" s="1"/>
  <c r="U179" i="36" s="1"/>
  <c r="V179" i="36" s="1"/>
  <c r="W179" i="36" s="1"/>
  <c r="X179" i="36" s="1"/>
  <c r="Y179" i="36" s="1"/>
  <c r="Z179" i="36" s="1"/>
  <c r="AA179" i="36" s="1"/>
  <c r="AB179" i="36" s="1"/>
  <c r="AC179" i="36" s="1"/>
  <c r="AD179" i="36" s="1"/>
  <c r="AE179" i="36" s="1"/>
  <c r="AF179" i="36" s="1"/>
  <c r="C179" i="36"/>
  <c r="D178" i="36"/>
  <c r="E178" i="36" s="1"/>
  <c r="F178" i="36" s="1"/>
  <c r="G178" i="36" s="1"/>
  <c r="H178" i="36" s="1"/>
  <c r="I178" i="36" s="1"/>
  <c r="J178" i="36" s="1"/>
  <c r="K178" i="36" s="1"/>
  <c r="L178" i="36" s="1"/>
  <c r="M178" i="36" s="1"/>
  <c r="N178" i="36" s="1"/>
  <c r="O178" i="36" s="1"/>
  <c r="P178" i="36" s="1"/>
  <c r="Q178" i="36" s="1"/>
  <c r="R178" i="36" s="1"/>
  <c r="S178" i="36" s="1"/>
  <c r="T178" i="36" s="1"/>
  <c r="U178" i="36" s="1"/>
  <c r="V178" i="36" s="1"/>
  <c r="W178" i="36" s="1"/>
  <c r="X178" i="36" s="1"/>
  <c r="Y178" i="36" s="1"/>
  <c r="Z178" i="36" s="1"/>
  <c r="AA178" i="36" s="1"/>
  <c r="AB178" i="36" s="1"/>
  <c r="AC178" i="36" s="1"/>
  <c r="AD178" i="36" s="1"/>
  <c r="AE178" i="36" s="1"/>
  <c r="AF178" i="36" s="1"/>
  <c r="C178" i="36"/>
  <c r="F177" i="36"/>
  <c r="G177" i="36" s="1"/>
  <c r="H177" i="36" s="1"/>
  <c r="I177" i="36" s="1"/>
  <c r="J177" i="36" s="1"/>
  <c r="K177" i="36" s="1"/>
  <c r="L177" i="36" s="1"/>
  <c r="M177" i="36" s="1"/>
  <c r="N177" i="36" s="1"/>
  <c r="O177" i="36" s="1"/>
  <c r="P177" i="36" s="1"/>
  <c r="Q177" i="36" s="1"/>
  <c r="R177" i="36" s="1"/>
  <c r="S177" i="36" s="1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C177" i="36"/>
  <c r="D177" i="36" s="1"/>
  <c r="E177" i="36" s="1"/>
  <c r="D175" i="36"/>
  <c r="E175" i="36" s="1"/>
  <c r="F175" i="36" s="1"/>
  <c r="G175" i="36" s="1"/>
  <c r="H175" i="36" s="1"/>
  <c r="I175" i="36" s="1"/>
  <c r="J175" i="36" s="1"/>
  <c r="K175" i="36" s="1"/>
  <c r="L175" i="36" s="1"/>
  <c r="M175" i="36" s="1"/>
  <c r="N175" i="36" s="1"/>
  <c r="O175" i="36" s="1"/>
  <c r="P175" i="36" s="1"/>
  <c r="Q175" i="36" s="1"/>
  <c r="R175" i="36" s="1"/>
  <c r="S175" i="36" s="1"/>
  <c r="T175" i="36" s="1"/>
  <c r="U175" i="36" s="1"/>
  <c r="V175" i="36" s="1"/>
  <c r="W175" i="36" s="1"/>
  <c r="X175" i="36" s="1"/>
  <c r="Y175" i="36" s="1"/>
  <c r="Z175" i="36" s="1"/>
  <c r="AA175" i="36" s="1"/>
  <c r="AB175" i="36" s="1"/>
  <c r="AC175" i="36" s="1"/>
  <c r="AD175" i="36" s="1"/>
  <c r="AE175" i="36" s="1"/>
  <c r="AF175" i="36" s="1"/>
  <c r="C175" i="36"/>
  <c r="D174" i="36"/>
  <c r="E174" i="36" s="1"/>
  <c r="F174" i="36" s="1"/>
  <c r="G174" i="36" s="1"/>
  <c r="H174" i="36" s="1"/>
  <c r="I174" i="36" s="1"/>
  <c r="J174" i="36" s="1"/>
  <c r="K174" i="36" s="1"/>
  <c r="L174" i="36" s="1"/>
  <c r="M174" i="36" s="1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C174" i="36"/>
  <c r="C173" i="36"/>
  <c r="D173" i="36" s="1"/>
  <c r="E173" i="36" s="1"/>
  <c r="F173" i="36" s="1"/>
  <c r="G173" i="36" s="1"/>
  <c r="H173" i="36" s="1"/>
  <c r="I173" i="36" s="1"/>
  <c r="J173" i="36" s="1"/>
  <c r="K173" i="36" s="1"/>
  <c r="L173" i="36" s="1"/>
  <c r="M173" i="36" s="1"/>
  <c r="N173" i="36" s="1"/>
  <c r="O173" i="36" s="1"/>
  <c r="P173" i="36" s="1"/>
  <c r="Q173" i="36" s="1"/>
  <c r="R173" i="36" s="1"/>
  <c r="S173" i="36" s="1"/>
  <c r="T173" i="36" s="1"/>
  <c r="U173" i="36" s="1"/>
  <c r="V173" i="36" s="1"/>
  <c r="W173" i="36" s="1"/>
  <c r="X173" i="36" s="1"/>
  <c r="Y173" i="36" s="1"/>
  <c r="Z173" i="36" s="1"/>
  <c r="AA173" i="36" s="1"/>
  <c r="AB173" i="36" s="1"/>
  <c r="AC173" i="36" s="1"/>
  <c r="AD173" i="36" s="1"/>
  <c r="AE173" i="36" s="1"/>
  <c r="AF173" i="36" s="1"/>
  <c r="N172" i="36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E172" i="36"/>
  <c r="F172" i="36" s="1"/>
  <c r="G172" i="36" s="1"/>
  <c r="H172" i="36" s="1"/>
  <c r="I172" i="36" s="1"/>
  <c r="J172" i="36" s="1"/>
  <c r="K172" i="36" s="1"/>
  <c r="L172" i="36" s="1"/>
  <c r="M172" i="36" s="1"/>
  <c r="D172" i="36"/>
  <c r="C172" i="36"/>
  <c r="H171" i="36"/>
  <c r="I171" i="36" s="1"/>
  <c r="J171" i="36" s="1"/>
  <c r="K171" i="36" s="1"/>
  <c r="L171" i="36" s="1"/>
  <c r="M171" i="36" s="1"/>
  <c r="N171" i="36" s="1"/>
  <c r="O171" i="36" s="1"/>
  <c r="P171" i="36" s="1"/>
  <c r="Q171" i="36" s="1"/>
  <c r="R171" i="36" s="1"/>
  <c r="S171" i="36" s="1"/>
  <c r="T171" i="36" s="1"/>
  <c r="U171" i="36" s="1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C171" i="36"/>
  <c r="D171" i="36" s="1"/>
  <c r="E171" i="36" s="1"/>
  <c r="F171" i="36" s="1"/>
  <c r="G171" i="36" s="1"/>
  <c r="J170" i="36"/>
  <c r="K170" i="36" s="1"/>
  <c r="L170" i="36" s="1"/>
  <c r="M170" i="36" s="1"/>
  <c r="N170" i="36" s="1"/>
  <c r="O170" i="36" s="1"/>
  <c r="P170" i="36" s="1"/>
  <c r="Q170" i="36" s="1"/>
  <c r="R170" i="36" s="1"/>
  <c r="S170" i="36" s="1"/>
  <c r="T170" i="36" s="1"/>
  <c r="U170" i="36" s="1"/>
  <c r="V170" i="36" s="1"/>
  <c r="W170" i="36" s="1"/>
  <c r="X170" i="36" s="1"/>
  <c r="Y170" i="36" s="1"/>
  <c r="Z170" i="36" s="1"/>
  <c r="AA170" i="36" s="1"/>
  <c r="AB170" i="36" s="1"/>
  <c r="AC170" i="36" s="1"/>
  <c r="AD170" i="36" s="1"/>
  <c r="AE170" i="36" s="1"/>
  <c r="AF170" i="36" s="1"/>
  <c r="D170" i="36"/>
  <c r="E170" i="36" s="1"/>
  <c r="F170" i="36" s="1"/>
  <c r="G170" i="36" s="1"/>
  <c r="H170" i="36" s="1"/>
  <c r="I170" i="36" s="1"/>
  <c r="C170" i="36"/>
  <c r="J169" i="36"/>
  <c r="K169" i="36" s="1"/>
  <c r="L169" i="36" s="1"/>
  <c r="M169" i="36" s="1"/>
  <c r="N169" i="36" s="1"/>
  <c r="O169" i="36" s="1"/>
  <c r="P169" i="36" s="1"/>
  <c r="Q169" i="36" s="1"/>
  <c r="R169" i="36" s="1"/>
  <c r="S169" i="36" s="1"/>
  <c r="T169" i="36" s="1"/>
  <c r="U169" i="36" s="1"/>
  <c r="V169" i="36" s="1"/>
  <c r="W169" i="36" s="1"/>
  <c r="X169" i="36" s="1"/>
  <c r="Y169" i="36" s="1"/>
  <c r="Z169" i="36" s="1"/>
  <c r="AA169" i="36" s="1"/>
  <c r="AB169" i="36" s="1"/>
  <c r="AC169" i="36" s="1"/>
  <c r="AD169" i="36" s="1"/>
  <c r="AE169" i="36" s="1"/>
  <c r="AF169" i="36" s="1"/>
  <c r="E169" i="36"/>
  <c r="F169" i="36" s="1"/>
  <c r="G169" i="36" s="1"/>
  <c r="H169" i="36" s="1"/>
  <c r="I169" i="36" s="1"/>
  <c r="D169" i="36"/>
  <c r="C169" i="36"/>
  <c r="L168" i="36"/>
  <c r="M168" i="36" s="1"/>
  <c r="N168" i="36" s="1"/>
  <c r="O168" i="36" s="1"/>
  <c r="P168" i="36" s="1"/>
  <c r="Q168" i="36" s="1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C168" i="36"/>
  <c r="D168" i="36" s="1"/>
  <c r="E168" i="36" s="1"/>
  <c r="F168" i="36" s="1"/>
  <c r="G168" i="36" s="1"/>
  <c r="H168" i="36" s="1"/>
  <c r="I168" i="36" s="1"/>
  <c r="J168" i="36" s="1"/>
  <c r="K168" i="36" s="1"/>
  <c r="G166" i="36"/>
  <c r="H166" i="36" s="1"/>
  <c r="I166" i="36" s="1"/>
  <c r="J166" i="36" s="1"/>
  <c r="K166" i="36" s="1"/>
  <c r="L166" i="36" s="1"/>
  <c r="M166" i="36" s="1"/>
  <c r="N166" i="36" s="1"/>
  <c r="O166" i="36" s="1"/>
  <c r="P166" i="36" s="1"/>
  <c r="Q166" i="36" s="1"/>
  <c r="R166" i="36" s="1"/>
  <c r="S166" i="36" s="1"/>
  <c r="T166" i="36" s="1"/>
  <c r="U166" i="36" s="1"/>
  <c r="V166" i="36" s="1"/>
  <c r="W166" i="36" s="1"/>
  <c r="X166" i="36" s="1"/>
  <c r="Y166" i="36" s="1"/>
  <c r="Z166" i="36" s="1"/>
  <c r="AA166" i="36" s="1"/>
  <c r="AB166" i="36" s="1"/>
  <c r="AC166" i="36" s="1"/>
  <c r="AD166" i="36" s="1"/>
  <c r="AE166" i="36" s="1"/>
  <c r="AF166" i="36" s="1"/>
  <c r="C166" i="36"/>
  <c r="D166" i="36" s="1"/>
  <c r="E166" i="36" s="1"/>
  <c r="F166" i="36" s="1"/>
  <c r="J165" i="36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AB165" i="36" s="1"/>
  <c r="AC165" i="36" s="1"/>
  <c r="AD165" i="36" s="1"/>
  <c r="AE165" i="36" s="1"/>
  <c r="AF165" i="36" s="1"/>
  <c r="E165" i="36"/>
  <c r="F165" i="36" s="1"/>
  <c r="G165" i="36" s="1"/>
  <c r="H165" i="36" s="1"/>
  <c r="I165" i="36" s="1"/>
  <c r="C165" i="36"/>
  <c r="D165" i="36" s="1"/>
  <c r="G164" i="36"/>
  <c r="H164" i="36" s="1"/>
  <c r="I164" i="36" s="1"/>
  <c r="J164" i="36" s="1"/>
  <c r="K164" i="36" s="1"/>
  <c r="L164" i="36" s="1"/>
  <c r="M164" i="36" s="1"/>
  <c r="N164" i="36" s="1"/>
  <c r="O164" i="36" s="1"/>
  <c r="P164" i="36" s="1"/>
  <c r="Q164" i="36" s="1"/>
  <c r="R164" i="36" s="1"/>
  <c r="S164" i="36" s="1"/>
  <c r="T164" i="36" s="1"/>
  <c r="U164" i="36" s="1"/>
  <c r="V164" i="36" s="1"/>
  <c r="W164" i="36" s="1"/>
  <c r="X164" i="36" s="1"/>
  <c r="Y164" i="36" s="1"/>
  <c r="Z164" i="36" s="1"/>
  <c r="AA164" i="36" s="1"/>
  <c r="AB164" i="36" s="1"/>
  <c r="AC164" i="36" s="1"/>
  <c r="AD164" i="36" s="1"/>
  <c r="AE164" i="36" s="1"/>
  <c r="AF164" i="36" s="1"/>
  <c r="C164" i="36"/>
  <c r="D164" i="36" s="1"/>
  <c r="E164" i="36" s="1"/>
  <c r="F164" i="36" s="1"/>
  <c r="I163" i="36"/>
  <c r="J163" i="36" s="1"/>
  <c r="K163" i="36" s="1"/>
  <c r="L163" i="36" s="1"/>
  <c r="M163" i="36" s="1"/>
  <c r="N163" i="36" s="1"/>
  <c r="O163" i="36" s="1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E163" i="36"/>
  <c r="F163" i="36" s="1"/>
  <c r="G163" i="36" s="1"/>
  <c r="H163" i="36" s="1"/>
  <c r="D163" i="36"/>
  <c r="C163" i="36"/>
  <c r="C162" i="36"/>
  <c r="D162" i="36" s="1"/>
  <c r="E162" i="36" s="1"/>
  <c r="F162" i="36" s="1"/>
  <c r="G162" i="36" s="1"/>
  <c r="H162" i="36" s="1"/>
  <c r="I162" i="36" s="1"/>
  <c r="J162" i="36" s="1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V162" i="36" s="1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L161" i="36"/>
  <c r="M161" i="36" s="1"/>
  <c r="N161" i="36" s="1"/>
  <c r="O161" i="36" s="1"/>
  <c r="P161" i="36" s="1"/>
  <c r="Q161" i="36" s="1"/>
  <c r="R161" i="36" s="1"/>
  <c r="S161" i="36" s="1"/>
  <c r="T161" i="36" s="1"/>
  <c r="U161" i="36" s="1"/>
  <c r="V161" i="36" s="1"/>
  <c r="W161" i="36" s="1"/>
  <c r="X161" i="36" s="1"/>
  <c r="Y161" i="36" s="1"/>
  <c r="Z161" i="36" s="1"/>
  <c r="AA161" i="36" s="1"/>
  <c r="AB161" i="36" s="1"/>
  <c r="AC161" i="36" s="1"/>
  <c r="AD161" i="36" s="1"/>
  <c r="AE161" i="36" s="1"/>
  <c r="AF161" i="36" s="1"/>
  <c r="E161" i="36"/>
  <c r="F161" i="36" s="1"/>
  <c r="G161" i="36" s="1"/>
  <c r="H161" i="36" s="1"/>
  <c r="I161" i="36" s="1"/>
  <c r="J161" i="36" s="1"/>
  <c r="K161" i="36" s="1"/>
  <c r="D161" i="36"/>
  <c r="C161" i="36"/>
  <c r="I160" i="36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AA160" i="36" s="1"/>
  <c r="AB160" i="36" s="1"/>
  <c r="AC160" i="36" s="1"/>
  <c r="AD160" i="36" s="1"/>
  <c r="AE160" i="36" s="1"/>
  <c r="AF160" i="36" s="1"/>
  <c r="C160" i="36"/>
  <c r="D160" i="36" s="1"/>
  <c r="E160" i="36" s="1"/>
  <c r="F160" i="36" s="1"/>
  <c r="G160" i="36" s="1"/>
  <c r="H160" i="36" s="1"/>
  <c r="Q159" i="36"/>
  <c r="R159" i="36" s="1"/>
  <c r="S159" i="36" s="1"/>
  <c r="T159" i="36" s="1"/>
  <c r="U159" i="36" s="1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G159" i="36"/>
  <c r="H159" i="36" s="1"/>
  <c r="I159" i="36" s="1"/>
  <c r="J159" i="36" s="1"/>
  <c r="K159" i="36" s="1"/>
  <c r="L159" i="36" s="1"/>
  <c r="M159" i="36" s="1"/>
  <c r="N159" i="36" s="1"/>
  <c r="O159" i="36" s="1"/>
  <c r="P159" i="36" s="1"/>
  <c r="E159" i="36"/>
  <c r="F159" i="36" s="1"/>
  <c r="D159" i="36"/>
  <c r="C159" i="36"/>
  <c r="E158" i="36"/>
  <c r="F158" i="36" s="1"/>
  <c r="G158" i="36" s="1"/>
  <c r="H158" i="36" s="1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Y158" i="36" s="1"/>
  <c r="Z158" i="36" s="1"/>
  <c r="AA158" i="36" s="1"/>
  <c r="AB158" i="36" s="1"/>
  <c r="AC158" i="36" s="1"/>
  <c r="AD158" i="36" s="1"/>
  <c r="AE158" i="36" s="1"/>
  <c r="AF158" i="36" s="1"/>
  <c r="C158" i="36"/>
  <c r="D158" i="36" s="1"/>
  <c r="W157" i="36"/>
  <c r="X157" i="36" s="1"/>
  <c r="Y157" i="36" s="1"/>
  <c r="Z157" i="36" s="1"/>
  <c r="AA157" i="36" s="1"/>
  <c r="AB157" i="36" s="1"/>
  <c r="AC157" i="36" s="1"/>
  <c r="AD157" i="36" s="1"/>
  <c r="AE157" i="36" s="1"/>
  <c r="AF157" i="36" s="1"/>
  <c r="G157" i="36"/>
  <c r="H157" i="36" s="1"/>
  <c r="I157" i="36" s="1"/>
  <c r="J157" i="36" s="1"/>
  <c r="K157" i="36" s="1"/>
  <c r="L157" i="36" s="1"/>
  <c r="M157" i="36" s="1"/>
  <c r="N157" i="36" s="1"/>
  <c r="O157" i="36" s="1"/>
  <c r="P157" i="36" s="1"/>
  <c r="Q157" i="36" s="1"/>
  <c r="R157" i="36" s="1"/>
  <c r="S157" i="36" s="1"/>
  <c r="T157" i="36" s="1"/>
  <c r="U157" i="36" s="1"/>
  <c r="V157" i="36" s="1"/>
  <c r="C157" i="36"/>
  <c r="D157" i="36" s="1"/>
  <c r="E157" i="36" s="1"/>
  <c r="F157" i="36" s="1"/>
  <c r="E156" i="36"/>
  <c r="F156" i="36" s="1"/>
  <c r="G156" i="36" s="1"/>
  <c r="H156" i="36" s="1"/>
  <c r="I156" i="36" s="1"/>
  <c r="J156" i="36" s="1"/>
  <c r="K156" i="36" s="1"/>
  <c r="L156" i="36" s="1"/>
  <c r="M156" i="36" s="1"/>
  <c r="N156" i="36" s="1"/>
  <c r="O156" i="36" s="1"/>
  <c r="P156" i="36" s="1"/>
  <c r="Q156" i="36" s="1"/>
  <c r="R156" i="36" s="1"/>
  <c r="S156" i="36" s="1"/>
  <c r="T156" i="36" s="1"/>
  <c r="U156" i="36" s="1"/>
  <c r="V156" i="36" s="1"/>
  <c r="W156" i="36" s="1"/>
  <c r="X156" i="36" s="1"/>
  <c r="Y156" i="36" s="1"/>
  <c r="Z156" i="36" s="1"/>
  <c r="AA156" i="36" s="1"/>
  <c r="AB156" i="36" s="1"/>
  <c r="AC156" i="36" s="1"/>
  <c r="AD156" i="36" s="1"/>
  <c r="AE156" i="36" s="1"/>
  <c r="AF156" i="36" s="1"/>
  <c r="C156" i="36"/>
  <c r="D156" i="36" s="1"/>
  <c r="W155" i="36"/>
  <c r="X155" i="36" s="1"/>
  <c r="Y155" i="36" s="1"/>
  <c r="Z155" i="36" s="1"/>
  <c r="AA155" i="36" s="1"/>
  <c r="AB155" i="36" s="1"/>
  <c r="AC155" i="36" s="1"/>
  <c r="AD155" i="36" s="1"/>
  <c r="AE155" i="36" s="1"/>
  <c r="AF155" i="36" s="1"/>
  <c r="G155" i="36"/>
  <c r="H155" i="36" s="1"/>
  <c r="I155" i="36" s="1"/>
  <c r="J155" i="36" s="1"/>
  <c r="K155" i="36" s="1"/>
  <c r="L155" i="36" s="1"/>
  <c r="M155" i="36" s="1"/>
  <c r="N155" i="36" s="1"/>
  <c r="O155" i="36" s="1"/>
  <c r="P155" i="36" s="1"/>
  <c r="Q155" i="36" s="1"/>
  <c r="R155" i="36" s="1"/>
  <c r="S155" i="36" s="1"/>
  <c r="T155" i="36" s="1"/>
  <c r="U155" i="36" s="1"/>
  <c r="V155" i="36" s="1"/>
  <c r="C155" i="36"/>
  <c r="D155" i="36" s="1"/>
  <c r="E155" i="36" s="1"/>
  <c r="F155" i="36" s="1"/>
  <c r="E154" i="36"/>
  <c r="F154" i="36" s="1"/>
  <c r="G154" i="36" s="1"/>
  <c r="H154" i="36" s="1"/>
  <c r="I154" i="36" s="1"/>
  <c r="J154" i="36" s="1"/>
  <c r="K154" i="36" s="1"/>
  <c r="L154" i="36" s="1"/>
  <c r="M154" i="36" s="1"/>
  <c r="N154" i="36" s="1"/>
  <c r="O154" i="36" s="1"/>
  <c r="P154" i="36" s="1"/>
  <c r="Q154" i="36" s="1"/>
  <c r="R154" i="36" s="1"/>
  <c r="S154" i="36" s="1"/>
  <c r="T154" i="36" s="1"/>
  <c r="U154" i="36" s="1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C154" i="36"/>
  <c r="D154" i="36" s="1"/>
  <c r="W152" i="36"/>
  <c r="X152" i="36" s="1"/>
  <c r="Y152" i="36" s="1"/>
  <c r="Z152" i="36" s="1"/>
  <c r="AA152" i="36" s="1"/>
  <c r="AB152" i="36" s="1"/>
  <c r="AC152" i="36" s="1"/>
  <c r="AD152" i="36" s="1"/>
  <c r="AE152" i="36" s="1"/>
  <c r="AF152" i="36" s="1"/>
  <c r="I152" i="36"/>
  <c r="J152" i="36" s="1"/>
  <c r="K152" i="36" s="1"/>
  <c r="L152" i="36" s="1"/>
  <c r="M152" i="36" s="1"/>
  <c r="N152" i="36" s="1"/>
  <c r="O152" i="36" s="1"/>
  <c r="P152" i="36" s="1"/>
  <c r="Q152" i="36" s="1"/>
  <c r="R152" i="36" s="1"/>
  <c r="S152" i="36" s="1"/>
  <c r="T152" i="36" s="1"/>
  <c r="U152" i="36" s="1"/>
  <c r="V152" i="36" s="1"/>
  <c r="G152" i="36"/>
  <c r="H152" i="36" s="1"/>
  <c r="C152" i="36"/>
  <c r="D152" i="36" s="1"/>
  <c r="E152" i="36" s="1"/>
  <c r="F152" i="36" s="1"/>
  <c r="G151" i="36"/>
  <c r="H151" i="36" s="1"/>
  <c r="I151" i="36" s="1"/>
  <c r="J151" i="36" s="1"/>
  <c r="K151" i="36" s="1"/>
  <c r="L151" i="36" s="1"/>
  <c r="M151" i="36" s="1"/>
  <c r="N151" i="36" s="1"/>
  <c r="O151" i="36" s="1"/>
  <c r="P151" i="36" s="1"/>
  <c r="Q151" i="36" s="1"/>
  <c r="R151" i="36" s="1"/>
  <c r="S151" i="36" s="1"/>
  <c r="T151" i="36" s="1"/>
  <c r="U151" i="36" s="1"/>
  <c r="V151" i="36" s="1"/>
  <c r="W151" i="36" s="1"/>
  <c r="X151" i="36" s="1"/>
  <c r="Y151" i="36" s="1"/>
  <c r="Z151" i="36" s="1"/>
  <c r="AA151" i="36" s="1"/>
  <c r="AB151" i="36" s="1"/>
  <c r="AC151" i="36" s="1"/>
  <c r="AD151" i="36" s="1"/>
  <c r="AE151" i="36" s="1"/>
  <c r="AF151" i="36" s="1"/>
  <c r="C151" i="36"/>
  <c r="D151" i="36" s="1"/>
  <c r="E151" i="36" s="1"/>
  <c r="F151" i="36" s="1"/>
  <c r="G150" i="36"/>
  <c r="H150" i="36" s="1"/>
  <c r="I150" i="36" s="1"/>
  <c r="J150" i="36" s="1"/>
  <c r="K150" i="36" s="1"/>
  <c r="L150" i="36" s="1"/>
  <c r="M150" i="36" s="1"/>
  <c r="N150" i="36" s="1"/>
  <c r="O150" i="36" s="1"/>
  <c r="P150" i="36" s="1"/>
  <c r="Q150" i="36" s="1"/>
  <c r="R150" i="36" s="1"/>
  <c r="S150" i="36" s="1"/>
  <c r="T150" i="36" s="1"/>
  <c r="U150" i="36" s="1"/>
  <c r="V150" i="36" s="1"/>
  <c r="W150" i="36" s="1"/>
  <c r="X150" i="36" s="1"/>
  <c r="Y150" i="36" s="1"/>
  <c r="Z150" i="36" s="1"/>
  <c r="AA150" i="36" s="1"/>
  <c r="AB150" i="36" s="1"/>
  <c r="AC150" i="36" s="1"/>
  <c r="AD150" i="36" s="1"/>
  <c r="AE150" i="36" s="1"/>
  <c r="AF150" i="36" s="1"/>
  <c r="E150" i="36"/>
  <c r="F150" i="36" s="1"/>
  <c r="C150" i="36"/>
  <c r="D150" i="36" s="1"/>
  <c r="Q149" i="36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E149" i="36"/>
  <c r="F149" i="36" s="1"/>
  <c r="G149" i="36" s="1"/>
  <c r="H149" i="36" s="1"/>
  <c r="I149" i="36" s="1"/>
  <c r="J149" i="36" s="1"/>
  <c r="K149" i="36" s="1"/>
  <c r="L149" i="36" s="1"/>
  <c r="M149" i="36" s="1"/>
  <c r="N149" i="36" s="1"/>
  <c r="O149" i="36" s="1"/>
  <c r="P149" i="36" s="1"/>
  <c r="C149" i="36"/>
  <c r="D149" i="36" s="1"/>
  <c r="O147" i="36"/>
  <c r="P147" i="36" s="1"/>
  <c r="Q147" i="36" s="1"/>
  <c r="R147" i="36" s="1"/>
  <c r="S147" i="36" s="1"/>
  <c r="T147" i="36" s="1"/>
  <c r="U147" i="36" s="1"/>
  <c r="V147" i="36" s="1"/>
  <c r="W147" i="36" s="1"/>
  <c r="X147" i="36" s="1"/>
  <c r="Y147" i="36" s="1"/>
  <c r="Z147" i="36" s="1"/>
  <c r="AA147" i="36" s="1"/>
  <c r="AB147" i="36" s="1"/>
  <c r="AC147" i="36" s="1"/>
  <c r="AD147" i="36" s="1"/>
  <c r="AE147" i="36" s="1"/>
  <c r="AF147" i="36" s="1"/>
  <c r="C147" i="36"/>
  <c r="D147" i="36" s="1"/>
  <c r="E147" i="36" s="1"/>
  <c r="F147" i="36" s="1"/>
  <c r="G147" i="36" s="1"/>
  <c r="H147" i="36" s="1"/>
  <c r="I147" i="36" s="1"/>
  <c r="J147" i="36" s="1"/>
  <c r="K147" i="36" s="1"/>
  <c r="L147" i="36" s="1"/>
  <c r="M147" i="36" s="1"/>
  <c r="N147" i="36" s="1"/>
  <c r="E146" i="36"/>
  <c r="F146" i="36" s="1"/>
  <c r="G146" i="36" s="1"/>
  <c r="H146" i="36" s="1"/>
  <c r="I146" i="36" s="1"/>
  <c r="J146" i="36" s="1"/>
  <c r="K146" i="36" s="1"/>
  <c r="L146" i="36" s="1"/>
  <c r="M146" i="36" s="1"/>
  <c r="N146" i="36" s="1"/>
  <c r="O146" i="36" s="1"/>
  <c r="P146" i="36" s="1"/>
  <c r="Q146" i="36" s="1"/>
  <c r="R146" i="36" s="1"/>
  <c r="S146" i="36" s="1"/>
  <c r="T146" i="36" s="1"/>
  <c r="U146" i="36" s="1"/>
  <c r="V146" i="36" s="1"/>
  <c r="W146" i="36" s="1"/>
  <c r="X146" i="36" s="1"/>
  <c r="Y146" i="36" s="1"/>
  <c r="Z146" i="36" s="1"/>
  <c r="AA146" i="36" s="1"/>
  <c r="AB146" i="36" s="1"/>
  <c r="AC146" i="36" s="1"/>
  <c r="AD146" i="36" s="1"/>
  <c r="AE146" i="36" s="1"/>
  <c r="AF146" i="36" s="1"/>
  <c r="D146" i="36"/>
  <c r="C146" i="36"/>
  <c r="O144" i="36"/>
  <c r="P144" i="36" s="1"/>
  <c r="Q144" i="36" s="1"/>
  <c r="R144" i="36" s="1"/>
  <c r="S144" i="36" s="1"/>
  <c r="T144" i="36" s="1"/>
  <c r="U144" i="36" s="1"/>
  <c r="V144" i="36" s="1"/>
  <c r="W144" i="36" s="1"/>
  <c r="X144" i="36" s="1"/>
  <c r="Y144" i="36" s="1"/>
  <c r="Z144" i="36" s="1"/>
  <c r="AA144" i="36" s="1"/>
  <c r="AB144" i="36" s="1"/>
  <c r="AC144" i="36" s="1"/>
  <c r="AD144" i="36" s="1"/>
  <c r="AE144" i="36" s="1"/>
  <c r="AF144" i="36" s="1"/>
  <c r="E144" i="36"/>
  <c r="F144" i="36" s="1"/>
  <c r="G144" i="36" s="1"/>
  <c r="H144" i="36" s="1"/>
  <c r="I144" i="36" s="1"/>
  <c r="J144" i="36" s="1"/>
  <c r="K144" i="36" s="1"/>
  <c r="L144" i="36" s="1"/>
  <c r="M144" i="36" s="1"/>
  <c r="N144" i="36" s="1"/>
  <c r="C144" i="36"/>
  <c r="D144" i="36" s="1"/>
  <c r="M143" i="36"/>
  <c r="N143" i="36" s="1"/>
  <c r="O143" i="36" s="1"/>
  <c r="P143" i="36" s="1"/>
  <c r="Q143" i="36" s="1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C143" i="36"/>
  <c r="D143" i="36" s="1"/>
  <c r="E143" i="36" s="1"/>
  <c r="F143" i="36" s="1"/>
  <c r="G143" i="36" s="1"/>
  <c r="H143" i="36" s="1"/>
  <c r="I143" i="36" s="1"/>
  <c r="J143" i="36" s="1"/>
  <c r="K143" i="36" s="1"/>
  <c r="L143" i="36" s="1"/>
  <c r="G142" i="36"/>
  <c r="H142" i="36" s="1"/>
  <c r="I142" i="36" s="1"/>
  <c r="J142" i="36" s="1"/>
  <c r="K142" i="36" s="1"/>
  <c r="L142" i="36" s="1"/>
  <c r="M142" i="36" s="1"/>
  <c r="N142" i="36" s="1"/>
  <c r="O142" i="36" s="1"/>
  <c r="P142" i="36" s="1"/>
  <c r="Q142" i="36" s="1"/>
  <c r="R142" i="36" s="1"/>
  <c r="S142" i="36" s="1"/>
  <c r="T142" i="36" s="1"/>
  <c r="U142" i="36" s="1"/>
  <c r="V142" i="36" s="1"/>
  <c r="W142" i="36" s="1"/>
  <c r="X142" i="36" s="1"/>
  <c r="Y142" i="36" s="1"/>
  <c r="Z142" i="36" s="1"/>
  <c r="AA142" i="36" s="1"/>
  <c r="AB142" i="36" s="1"/>
  <c r="AC142" i="36" s="1"/>
  <c r="AD142" i="36" s="1"/>
  <c r="AE142" i="36" s="1"/>
  <c r="AF142" i="36" s="1"/>
  <c r="C142" i="36"/>
  <c r="D142" i="36" s="1"/>
  <c r="E142" i="36" s="1"/>
  <c r="F142" i="36" s="1"/>
  <c r="I141" i="36"/>
  <c r="J141" i="36" s="1"/>
  <c r="K141" i="36" s="1"/>
  <c r="L141" i="36" s="1"/>
  <c r="M141" i="36" s="1"/>
  <c r="N141" i="36" s="1"/>
  <c r="O141" i="36" s="1"/>
  <c r="P141" i="36" s="1"/>
  <c r="Q141" i="36" s="1"/>
  <c r="R141" i="36" s="1"/>
  <c r="S141" i="36" s="1"/>
  <c r="T141" i="36" s="1"/>
  <c r="U141" i="36" s="1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G141" i="36"/>
  <c r="H141" i="36" s="1"/>
  <c r="E141" i="36"/>
  <c r="F141" i="36" s="1"/>
  <c r="D141" i="36"/>
  <c r="C141" i="36"/>
  <c r="C140" i="36"/>
  <c r="D140" i="36" s="1"/>
  <c r="E140" i="36" s="1"/>
  <c r="F140" i="36" s="1"/>
  <c r="G140" i="36" s="1"/>
  <c r="H140" i="36" s="1"/>
  <c r="I140" i="36" s="1"/>
  <c r="J140" i="36" s="1"/>
  <c r="K140" i="36" s="1"/>
  <c r="L140" i="36" s="1"/>
  <c r="M140" i="36" s="1"/>
  <c r="N140" i="36" s="1"/>
  <c r="O140" i="36" s="1"/>
  <c r="P140" i="36" s="1"/>
  <c r="Q140" i="36" s="1"/>
  <c r="R140" i="36" s="1"/>
  <c r="S140" i="36" s="1"/>
  <c r="T140" i="36" s="1"/>
  <c r="U140" i="36" s="1"/>
  <c r="V140" i="36" s="1"/>
  <c r="W140" i="36" s="1"/>
  <c r="X140" i="36" s="1"/>
  <c r="Y140" i="36" s="1"/>
  <c r="Z140" i="36" s="1"/>
  <c r="AA140" i="36" s="1"/>
  <c r="AB140" i="36" s="1"/>
  <c r="AC140" i="36" s="1"/>
  <c r="AD140" i="36" s="1"/>
  <c r="AE140" i="36" s="1"/>
  <c r="AF140" i="36" s="1"/>
  <c r="U139" i="36"/>
  <c r="V139" i="36" s="1"/>
  <c r="W139" i="36" s="1"/>
  <c r="X139" i="36" s="1"/>
  <c r="Y139" i="36" s="1"/>
  <c r="Z139" i="36" s="1"/>
  <c r="AA139" i="36" s="1"/>
  <c r="AB139" i="36" s="1"/>
  <c r="AC139" i="36" s="1"/>
  <c r="AD139" i="36" s="1"/>
  <c r="AE139" i="36" s="1"/>
  <c r="AF139" i="36" s="1"/>
  <c r="C139" i="36"/>
  <c r="D139" i="36" s="1"/>
  <c r="E139" i="36" s="1"/>
  <c r="F139" i="36" s="1"/>
  <c r="G139" i="36" s="1"/>
  <c r="H139" i="36" s="1"/>
  <c r="I139" i="36" s="1"/>
  <c r="J139" i="36" s="1"/>
  <c r="K139" i="36" s="1"/>
  <c r="L139" i="36" s="1"/>
  <c r="M139" i="36" s="1"/>
  <c r="N139" i="36" s="1"/>
  <c r="O139" i="36" s="1"/>
  <c r="P139" i="36" s="1"/>
  <c r="Q139" i="36" s="1"/>
  <c r="R139" i="36" s="1"/>
  <c r="S139" i="36" s="1"/>
  <c r="T139" i="36" s="1"/>
  <c r="C138" i="36"/>
  <c r="D138" i="36" s="1"/>
  <c r="E138" i="36" s="1"/>
  <c r="F138" i="36" s="1"/>
  <c r="G138" i="36" s="1"/>
  <c r="H138" i="36" s="1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U138" i="36" s="1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K136" i="36"/>
  <c r="L136" i="36" s="1"/>
  <c r="M136" i="36" s="1"/>
  <c r="N136" i="36" s="1"/>
  <c r="O136" i="36" s="1"/>
  <c r="P136" i="36" s="1"/>
  <c r="Q136" i="36" s="1"/>
  <c r="R136" i="36" s="1"/>
  <c r="S136" i="36" s="1"/>
  <c r="T136" i="36" s="1"/>
  <c r="U136" i="36" s="1"/>
  <c r="V136" i="36" s="1"/>
  <c r="W136" i="36" s="1"/>
  <c r="X136" i="36" s="1"/>
  <c r="Y136" i="36" s="1"/>
  <c r="Z136" i="36" s="1"/>
  <c r="AA136" i="36" s="1"/>
  <c r="AB136" i="36" s="1"/>
  <c r="AC136" i="36" s="1"/>
  <c r="AD136" i="36" s="1"/>
  <c r="AE136" i="36" s="1"/>
  <c r="AF136" i="36" s="1"/>
  <c r="D136" i="36"/>
  <c r="E136" i="36" s="1"/>
  <c r="F136" i="36" s="1"/>
  <c r="G136" i="36" s="1"/>
  <c r="H136" i="36" s="1"/>
  <c r="I136" i="36" s="1"/>
  <c r="J136" i="36" s="1"/>
  <c r="C136" i="36"/>
  <c r="D135" i="36"/>
  <c r="E135" i="36" s="1"/>
  <c r="F135" i="36" s="1"/>
  <c r="G135" i="36" s="1"/>
  <c r="H135" i="36" s="1"/>
  <c r="I135" i="36" s="1"/>
  <c r="J135" i="36" s="1"/>
  <c r="K135" i="36" s="1"/>
  <c r="L135" i="36" s="1"/>
  <c r="M135" i="36" s="1"/>
  <c r="N135" i="36" s="1"/>
  <c r="O135" i="36" s="1"/>
  <c r="P135" i="36" s="1"/>
  <c r="Q135" i="36" s="1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C135" i="36"/>
  <c r="K134" i="36"/>
  <c r="L134" i="36" s="1"/>
  <c r="M134" i="36" s="1"/>
  <c r="N134" i="36" s="1"/>
  <c r="O134" i="36" s="1"/>
  <c r="P134" i="36" s="1"/>
  <c r="Q134" i="36" s="1"/>
  <c r="R134" i="36" s="1"/>
  <c r="S134" i="36" s="1"/>
  <c r="T134" i="36" s="1"/>
  <c r="U134" i="36" s="1"/>
  <c r="V134" i="36" s="1"/>
  <c r="W134" i="36" s="1"/>
  <c r="X134" i="36" s="1"/>
  <c r="Y134" i="36" s="1"/>
  <c r="Z134" i="36" s="1"/>
  <c r="AA134" i="36" s="1"/>
  <c r="AB134" i="36" s="1"/>
  <c r="AC134" i="36" s="1"/>
  <c r="AD134" i="36" s="1"/>
  <c r="AE134" i="36" s="1"/>
  <c r="AF134" i="36" s="1"/>
  <c r="C134" i="36"/>
  <c r="D134" i="36" s="1"/>
  <c r="E134" i="36" s="1"/>
  <c r="F134" i="36" s="1"/>
  <c r="G134" i="36" s="1"/>
  <c r="H134" i="36" s="1"/>
  <c r="I134" i="36" s="1"/>
  <c r="J134" i="36" s="1"/>
  <c r="I133" i="36"/>
  <c r="J133" i="36" s="1"/>
  <c r="K133" i="36" s="1"/>
  <c r="L133" i="36" s="1"/>
  <c r="M133" i="36" s="1"/>
  <c r="N133" i="36" s="1"/>
  <c r="O133" i="36" s="1"/>
  <c r="P133" i="36" s="1"/>
  <c r="Q133" i="36" s="1"/>
  <c r="R133" i="36" s="1"/>
  <c r="S133" i="36" s="1"/>
  <c r="T133" i="36" s="1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E133" i="36"/>
  <c r="F133" i="36" s="1"/>
  <c r="G133" i="36" s="1"/>
  <c r="H133" i="36" s="1"/>
  <c r="D133" i="36"/>
  <c r="C133" i="36"/>
  <c r="C132" i="36"/>
  <c r="D132" i="36" s="1"/>
  <c r="E132" i="36" s="1"/>
  <c r="F132" i="36" s="1"/>
  <c r="G132" i="36" s="1"/>
  <c r="H132" i="36" s="1"/>
  <c r="I132" i="36" s="1"/>
  <c r="J132" i="36" s="1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H131" i="36"/>
  <c r="I131" i="36" s="1"/>
  <c r="J131" i="36" s="1"/>
  <c r="K131" i="36" s="1"/>
  <c r="L131" i="36" s="1"/>
  <c r="M131" i="36" s="1"/>
  <c r="N131" i="36" s="1"/>
  <c r="O131" i="36" s="1"/>
  <c r="P131" i="36" s="1"/>
  <c r="Q131" i="36" s="1"/>
  <c r="R131" i="36" s="1"/>
  <c r="S131" i="36" s="1"/>
  <c r="T131" i="36" s="1"/>
  <c r="U131" i="36" s="1"/>
  <c r="V131" i="36" s="1"/>
  <c r="W131" i="36" s="1"/>
  <c r="X131" i="36" s="1"/>
  <c r="Y131" i="36" s="1"/>
  <c r="Z131" i="36" s="1"/>
  <c r="AA131" i="36" s="1"/>
  <c r="AB131" i="36" s="1"/>
  <c r="AC131" i="36" s="1"/>
  <c r="AD131" i="36" s="1"/>
  <c r="AE131" i="36" s="1"/>
  <c r="AF131" i="36" s="1"/>
  <c r="C131" i="36"/>
  <c r="D131" i="36" s="1"/>
  <c r="E131" i="36" s="1"/>
  <c r="F131" i="36" s="1"/>
  <c r="G131" i="36" s="1"/>
  <c r="G130" i="36"/>
  <c r="H130" i="36" s="1"/>
  <c r="I130" i="36" s="1"/>
  <c r="J130" i="36" s="1"/>
  <c r="K130" i="36" s="1"/>
  <c r="L130" i="36" s="1"/>
  <c r="M130" i="36" s="1"/>
  <c r="N130" i="36" s="1"/>
  <c r="O130" i="36" s="1"/>
  <c r="P130" i="36" s="1"/>
  <c r="Q130" i="36" s="1"/>
  <c r="R130" i="36" s="1"/>
  <c r="S130" i="36" s="1"/>
  <c r="T130" i="36" s="1"/>
  <c r="U130" i="36" s="1"/>
  <c r="V130" i="36" s="1"/>
  <c r="W130" i="36" s="1"/>
  <c r="X130" i="36" s="1"/>
  <c r="Y130" i="36" s="1"/>
  <c r="Z130" i="36" s="1"/>
  <c r="AA130" i="36" s="1"/>
  <c r="AB130" i="36" s="1"/>
  <c r="AC130" i="36" s="1"/>
  <c r="AD130" i="36" s="1"/>
  <c r="AE130" i="36" s="1"/>
  <c r="AF130" i="36" s="1"/>
  <c r="C130" i="36"/>
  <c r="D130" i="36" s="1"/>
  <c r="E130" i="36" s="1"/>
  <c r="F130" i="36" s="1"/>
  <c r="L129" i="36"/>
  <c r="M129" i="36" s="1"/>
  <c r="N129" i="36" s="1"/>
  <c r="O129" i="36" s="1"/>
  <c r="P129" i="36" s="1"/>
  <c r="Q129" i="36" s="1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E129" i="36"/>
  <c r="F129" i="36" s="1"/>
  <c r="G129" i="36" s="1"/>
  <c r="H129" i="36" s="1"/>
  <c r="I129" i="36" s="1"/>
  <c r="J129" i="36" s="1"/>
  <c r="K129" i="36" s="1"/>
  <c r="D129" i="36"/>
  <c r="C129" i="36"/>
  <c r="M127" i="36"/>
  <c r="N127" i="36" s="1"/>
  <c r="O127" i="36" s="1"/>
  <c r="P127" i="36" s="1"/>
  <c r="Q127" i="36" s="1"/>
  <c r="R127" i="36" s="1"/>
  <c r="S127" i="36" s="1"/>
  <c r="T127" i="36" s="1"/>
  <c r="U127" i="36" s="1"/>
  <c r="V127" i="36" s="1"/>
  <c r="W127" i="36" s="1"/>
  <c r="X127" i="36" s="1"/>
  <c r="Y127" i="36" s="1"/>
  <c r="Z127" i="36" s="1"/>
  <c r="AA127" i="36" s="1"/>
  <c r="AB127" i="36" s="1"/>
  <c r="AC127" i="36" s="1"/>
  <c r="AD127" i="36" s="1"/>
  <c r="AE127" i="36" s="1"/>
  <c r="AF127" i="36" s="1"/>
  <c r="J127" i="36"/>
  <c r="K127" i="36" s="1"/>
  <c r="L127" i="36" s="1"/>
  <c r="E127" i="36"/>
  <c r="F127" i="36" s="1"/>
  <c r="G127" i="36" s="1"/>
  <c r="H127" i="36" s="1"/>
  <c r="I127" i="36" s="1"/>
  <c r="C127" i="36"/>
  <c r="D127" i="36" s="1"/>
  <c r="C126" i="36"/>
  <c r="D126" i="36" s="1"/>
  <c r="E126" i="36" s="1"/>
  <c r="F126" i="36" s="1"/>
  <c r="G126" i="36" s="1"/>
  <c r="H126" i="36" s="1"/>
  <c r="I126" i="36" s="1"/>
  <c r="J126" i="36" s="1"/>
  <c r="K126" i="36" s="1"/>
  <c r="L126" i="36" s="1"/>
  <c r="M126" i="36" s="1"/>
  <c r="N126" i="36" s="1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F125" i="36"/>
  <c r="G125" i="36" s="1"/>
  <c r="H125" i="36" s="1"/>
  <c r="I125" i="36" s="1"/>
  <c r="J125" i="36" s="1"/>
  <c r="K125" i="36" s="1"/>
  <c r="L125" i="36" s="1"/>
  <c r="M125" i="36" s="1"/>
  <c r="N125" i="36" s="1"/>
  <c r="O125" i="36" s="1"/>
  <c r="P125" i="36" s="1"/>
  <c r="Q125" i="36" s="1"/>
  <c r="R125" i="36" s="1"/>
  <c r="S125" i="36" s="1"/>
  <c r="T125" i="36" s="1"/>
  <c r="U125" i="36" s="1"/>
  <c r="V125" i="36" s="1"/>
  <c r="W125" i="36" s="1"/>
  <c r="X125" i="36" s="1"/>
  <c r="Y125" i="36" s="1"/>
  <c r="Z125" i="36" s="1"/>
  <c r="AA125" i="36" s="1"/>
  <c r="AB125" i="36" s="1"/>
  <c r="AC125" i="36" s="1"/>
  <c r="AD125" i="36" s="1"/>
  <c r="AE125" i="36" s="1"/>
  <c r="AF125" i="36" s="1"/>
  <c r="C125" i="36"/>
  <c r="D125" i="36" s="1"/>
  <c r="E125" i="36" s="1"/>
  <c r="G124" i="36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D124" i="36"/>
  <c r="E124" i="36" s="1"/>
  <c r="F124" i="36" s="1"/>
  <c r="C124" i="36"/>
  <c r="C123" i="36"/>
  <c r="D123" i="36" s="1"/>
  <c r="E123" i="36" s="1"/>
  <c r="F123" i="36" s="1"/>
  <c r="G123" i="36" s="1"/>
  <c r="H123" i="36" s="1"/>
  <c r="I123" i="36" s="1"/>
  <c r="J123" i="36" s="1"/>
  <c r="K123" i="36" s="1"/>
  <c r="L123" i="36" s="1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G122" i="36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D122" i="36"/>
  <c r="E122" i="36" s="1"/>
  <c r="F122" i="36" s="1"/>
  <c r="C122" i="36"/>
  <c r="E121" i="36"/>
  <c r="F121" i="36" s="1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C121" i="36"/>
  <c r="D121" i="36" s="1"/>
  <c r="C120" i="36"/>
  <c r="D120" i="36" s="1"/>
  <c r="E120" i="36" s="1"/>
  <c r="F120" i="36" s="1"/>
  <c r="G120" i="36" s="1"/>
  <c r="H120" i="36" s="1"/>
  <c r="I120" i="36" s="1"/>
  <c r="J120" i="36" s="1"/>
  <c r="K120" i="36" s="1"/>
  <c r="L120" i="36" s="1"/>
  <c r="M120" i="36" s="1"/>
  <c r="N120" i="36" s="1"/>
  <c r="O120" i="36" s="1"/>
  <c r="P120" i="36" s="1"/>
  <c r="Q120" i="36" s="1"/>
  <c r="R120" i="36" s="1"/>
  <c r="S120" i="36" s="1"/>
  <c r="T120" i="36" s="1"/>
  <c r="U120" i="36" s="1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G119" i="36"/>
  <c r="H119" i="36" s="1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E119" i="36"/>
  <c r="F119" i="36" s="1"/>
  <c r="C119" i="36"/>
  <c r="D119" i="36" s="1"/>
  <c r="E118" i="36"/>
  <c r="F118" i="36" s="1"/>
  <c r="G118" i="36" s="1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C118" i="36"/>
  <c r="D118" i="36" s="1"/>
  <c r="C117" i="36"/>
  <c r="D117" i="36" s="1"/>
  <c r="E117" i="36" s="1"/>
  <c r="F117" i="36" s="1"/>
  <c r="G117" i="36" s="1"/>
  <c r="H117" i="36" s="1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C116" i="36"/>
  <c r="D116" i="36" s="1"/>
  <c r="E116" i="36" s="1"/>
  <c r="F116" i="36" s="1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E115" i="36"/>
  <c r="F115" i="36" s="1"/>
  <c r="G115" i="36" s="1"/>
  <c r="H115" i="36" s="1"/>
  <c r="I115" i="36" s="1"/>
  <c r="J115" i="36" s="1"/>
  <c r="K115" i="36" s="1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C115" i="36"/>
  <c r="D115" i="36" s="1"/>
  <c r="C114" i="36"/>
  <c r="D114" i="36" s="1"/>
  <c r="E114" i="36" s="1"/>
  <c r="F114" i="36" s="1"/>
  <c r="G114" i="36" s="1"/>
  <c r="H114" i="36" s="1"/>
  <c r="I114" i="36" s="1"/>
  <c r="J114" i="36" s="1"/>
  <c r="K114" i="36" s="1"/>
  <c r="L114" i="36" s="1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E113" i="36"/>
  <c r="F113" i="36" s="1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D113" i="36"/>
  <c r="C113" i="36"/>
  <c r="J112" i="36"/>
  <c r="K112" i="36" s="1"/>
  <c r="L112" i="36" s="1"/>
  <c r="M112" i="36" s="1"/>
  <c r="N112" i="36" s="1"/>
  <c r="O112" i="36" s="1"/>
  <c r="P112" i="36" s="1"/>
  <c r="Q112" i="36" s="1"/>
  <c r="R112" i="36" s="1"/>
  <c r="S112" i="36" s="1"/>
  <c r="T112" i="36" s="1"/>
  <c r="U112" i="36" s="1"/>
  <c r="V112" i="36" s="1"/>
  <c r="W112" i="36" s="1"/>
  <c r="X112" i="36" s="1"/>
  <c r="Y112" i="36" s="1"/>
  <c r="Z112" i="36" s="1"/>
  <c r="AA112" i="36" s="1"/>
  <c r="AB112" i="36" s="1"/>
  <c r="AC112" i="36" s="1"/>
  <c r="AD112" i="36" s="1"/>
  <c r="AE112" i="36" s="1"/>
  <c r="AF112" i="36" s="1"/>
  <c r="D112" i="36"/>
  <c r="E112" i="36" s="1"/>
  <c r="F112" i="36" s="1"/>
  <c r="G112" i="36" s="1"/>
  <c r="H112" i="36" s="1"/>
  <c r="C112" i="36"/>
  <c r="G111" i="36"/>
  <c r="H111" i="36" s="1"/>
  <c r="I111" i="36" s="1"/>
  <c r="J111" i="36" s="1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F111" i="36"/>
  <c r="D111" i="36"/>
  <c r="E111" i="36" s="1"/>
  <c r="C111" i="36"/>
  <c r="E110" i="36"/>
  <c r="F110" i="36" s="1"/>
  <c r="G110" i="36" s="1"/>
  <c r="H110" i="36" s="1"/>
  <c r="I110" i="36" s="1"/>
  <c r="J110" i="36" s="1"/>
  <c r="K110" i="36" s="1"/>
  <c r="L110" i="36" s="1"/>
  <c r="M110" i="36" s="1"/>
  <c r="N110" i="36" s="1"/>
  <c r="O110" i="36" s="1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D110" i="36"/>
  <c r="C110" i="36"/>
  <c r="E108" i="36"/>
  <c r="F108" i="36" s="1"/>
  <c r="G108" i="36" s="1"/>
  <c r="H108" i="36" s="1"/>
  <c r="I108" i="36" s="1"/>
  <c r="J108" i="36" s="1"/>
  <c r="K108" i="36" s="1"/>
  <c r="L108" i="36" s="1"/>
  <c r="M108" i="36" s="1"/>
  <c r="N108" i="36" s="1"/>
  <c r="O108" i="36" s="1"/>
  <c r="P108" i="36" s="1"/>
  <c r="Q108" i="36" s="1"/>
  <c r="R108" i="36" s="1"/>
  <c r="S108" i="36" s="1"/>
  <c r="T108" i="36" s="1"/>
  <c r="U108" i="36" s="1"/>
  <c r="V108" i="36" s="1"/>
  <c r="W108" i="36" s="1"/>
  <c r="X108" i="36" s="1"/>
  <c r="Y108" i="36" s="1"/>
  <c r="Z108" i="36" s="1"/>
  <c r="AA108" i="36" s="1"/>
  <c r="AB108" i="36" s="1"/>
  <c r="AC108" i="36" s="1"/>
  <c r="AD108" i="36" s="1"/>
  <c r="AE108" i="36" s="1"/>
  <c r="AF108" i="36" s="1"/>
  <c r="D108" i="36"/>
  <c r="C108" i="36"/>
  <c r="C107" i="36"/>
  <c r="D107" i="36" s="1"/>
  <c r="E107" i="36" s="1"/>
  <c r="F105" i="36"/>
  <c r="G105" i="36" s="1"/>
  <c r="H105" i="36" s="1"/>
  <c r="I105" i="36" s="1"/>
  <c r="J105" i="36" s="1"/>
  <c r="K105" i="36" s="1"/>
  <c r="L105" i="36" s="1"/>
  <c r="M105" i="36" s="1"/>
  <c r="N105" i="36" s="1"/>
  <c r="O105" i="36" s="1"/>
  <c r="P105" i="36" s="1"/>
  <c r="Q105" i="36" s="1"/>
  <c r="R105" i="36" s="1"/>
  <c r="S105" i="36" s="1"/>
  <c r="T105" i="36" s="1"/>
  <c r="U105" i="36" s="1"/>
  <c r="V105" i="36" s="1"/>
  <c r="W105" i="36" s="1"/>
  <c r="X105" i="36" s="1"/>
  <c r="Y105" i="36" s="1"/>
  <c r="Z105" i="36" s="1"/>
  <c r="AA105" i="36" s="1"/>
  <c r="AB105" i="36" s="1"/>
  <c r="AC105" i="36" s="1"/>
  <c r="AD105" i="36" s="1"/>
  <c r="AE105" i="36" s="1"/>
  <c r="AF105" i="36" s="1"/>
  <c r="D105" i="36"/>
  <c r="E105" i="36" s="1"/>
  <c r="C105" i="36"/>
  <c r="E104" i="36"/>
  <c r="F104" i="36" s="1"/>
  <c r="G104" i="36" s="1"/>
  <c r="H104" i="36" s="1"/>
  <c r="I104" i="36" s="1"/>
  <c r="J104" i="36" s="1"/>
  <c r="K104" i="36" s="1"/>
  <c r="L104" i="36" s="1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D104" i="36"/>
  <c r="C104" i="36"/>
  <c r="D103" i="36"/>
  <c r="E103" i="36" s="1"/>
  <c r="F103" i="36" s="1"/>
  <c r="G103" i="36" s="1"/>
  <c r="H103" i="36" s="1"/>
  <c r="I103" i="36" s="1"/>
  <c r="J103" i="36" s="1"/>
  <c r="K103" i="36" s="1"/>
  <c r="L103" i="36" s="1"/>
  <c r="M103" i="36" s="1"/>
  <c r="N103" i="36" s="1"/>
  <c r="O103" i="36" s="1"/>
  <c r="P103" i="36" s="1"/>
  <c r="Q103" i="36" s="1"/>
  <c r="R103" i="36" s="1"/>
  <c r="S103" i="36" s="1"/>
  <c r="T103" i="36" s="1"/>
  <c r="U103" i="36" s="1"/>
  <c r="V103" i="36" s="1"/>
  <c r="W103" i="36" s="1"/>
  <c r="X103" i="36" s="1"/>
  <c r="Y103" i="36" s="1"/>
  <c r="Z103" i="36" s="1"/>
  <c r="AA103" i="36" s="1"/>
  <c r="AB103" i="36" s="1"/>
  <c r="AC103" i="36" s="1"/>
  <c r="AD103" i="36" s="1"/>
  <c r="AE103" i="36" s="1"/>
  <c r="AF103" i="36" s="1"/>
  <c r="C103" i="36"/>
  <c r="C102" i="36"/>
  <c r="D102" i="36" s="1"/>
  <c r="E102" i="36" s="1"/>
  <c r="F102" i="36" s="1"/>
  <c r="G102" i="36" s="1"/>
  <c r="H102" i="36" s="1"/>
  <c r="I102" i="36" s="1"/>
  <c r="J102" i="36" s="1"/>
  <c r="K102" i="36" s="1"/>
  <c r="L102" i="36" s="1"/>
  <c r="M102" i="36" s="1"/>
  <c r="N102" i="36" s="1"/>
  <c r="O102" i="36" s="1"/>
  <c r="P102" i="36" s="1"/>
  <c r="Q102" i="36" s="1"/>
  <c r="R102" i="36" s="1"/>
  <c r="S102" i="36" s="1"/>
  <c r="T102" i="36" s="1"/>
  <c r="U102" i="36" s="1"/>
  <c r="V102" i="36" s="1"/>
  <c r="W102" i="36" s="1"/>
  <c r="X102" i="36" s="1"/>
  <c r="Y102" i="36" s="1"/>
  <c r="Z102" i="36" s="1"/>
  <c r="AA102" i="36" s="1"/>
  <c r="AB102" i="36" s="1"/>
  <c r="AC102" i="36" s="1"/>
  <c r="AD102" i="36" s="1"/>
  <c r="AE102" i="36" s="1"/>
  <c r="AF102" i="36" s="1"/>
  <c r="E101" i="36"/>
  <c r="F101" i="36" s="1"/>
  <c r="D101" i="36"/>
  <c r="C101" i="36"/>
  <c r="C100" i="36"/>
  <c r="C190" i="36" s="1"/>
  <c r="AH97" i="36"/>
  <c r="AI97" i="36" s="1"/>
  <c r="AH96" i="36"/>
  <c r="AI96" i="36" s="1"/>
  <c r="AH95" i="36"/>
  <c r="AI95" i="36" s="1"/>
  <c r="AH94" i="36"/>
  <c r="AI94" i="36" s="1"/>
  <c r="AH93" i="36"/>
  <c r="AI93" i="36" s="1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G81" i="36"/>
  <c r="AI80" i="36"/>
  <c r="AH80" i="36"/>
  <c r="AF79" i="36"/>
  <c r="AE79" i="36"/>
  <c r="AD79" i="36"/>
  <c r="AC79" i="36"/>
  <c r="AB79" i="36"/>
  <c r="AA79" i="36"/>
  <c r="Z79" i="36"/>
  <c r="Y79" i="36"/>
  <c r="X79" i="36"/>
  <c r="W79" i="36"/>
  <c r="V79" i="36"/>
  <c r="U79" i="36"/>
  <c r="T79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AF78" i="36"/>
  <c r="AE78" i="36"/>
  <c r="AD78" i="36"/>
  <c r="AC78" i="36"/>
  <c r="AB78" i="36"/>
  <c r="AA78" i="36"/>
  <c r="Z78" i="36"/>
  <c r="Y78" i="36"/>
  <c r="X78" i="36"/>
  <c r="W78" i="36"/>
  <c r="V78" i="36"/>
  <c r="U78" i="36"/>
  <c r="T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AF76" i="36"/>
  <c r="AE76" i="36"/>
  <c r="AD76" i="36"/>
  <c r="AC76" i="36"/>
  <c r="AB76" i="36"/>
  <c r="AA76" i="36"/>
  <c r="Z76" i="36"/>
  <c r="Z81" i="36" s="1"/>
  <c r="Y76" i="36"/>
  <c r="X76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AF75" i="36"/>
  <c r="AE75" i="36"/>
  <c r="AD75" i="36"/>
  <c r="AC75" i="36"/>
  <c r="AB75" i="36"/>
  <c r="AA75" i="36"/>
  <c r="Z75" i="36"/>
  <c r="Y75" i="36"/>
  <c r="X75" i="36"/>
  <c r="X81" i="36" s="1"/>
  <c r="W75" i="36"/>
  <c r="V75" i="36"/>
  <c r="U75" i="36"/>
  <c r="T75" i="36"/>
  <c r="T81" i="36" s="1"/>
  <c r="S75" i="36"/>
  <c r="R75" i="36"/>
  <c r="Q75" i="36"/>
  <c r="P75" i="36"/>
  <c r="P81" i="36" s="1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AI73" i="36"/>
  <c r="AH73" i="36"/>
  <c r="AG71" i="36"/>
  <c r="AF71" i="36"/>
  <c r="AE71" i="36"/>
  <c r="AD71" i="36"/>
  <c r="AC71" i="36"/>
  <c r="AB71" i="36"/>
  <c r="AA71" i="36"/>
  <c r="Z71" i="36"/>
  <c r="Y71" i="36"/>
  <c r="X71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AI70" i="36"/>
  <c r="AH70" i="36"/>
  <c r="AI69" i="36"/>
  <c r="AH69" i="36"/>
  <c r="AI68" i="36"/>
  <c r="AH68" i="36"/>
  <c r="AG67" i="36"/>
  <c r="AF67" i="36"/>
  <c r="AE67" i="36"/>
  <c r="AE5" i="36" s="1"/>
  <c r="AD67" i="36"/>
  <c r="AD5" i="36" s="1"/>
  <c r="AC67" i="36"/>
  <c r="AC5" i="36" s="1"/>
  <c r="AB67" i="36"/>
  <c r="AA67" i="36"/>
  <c r="Z67" i="36"/>
  <c r="Y67" i="36"/>
  <c r="X67" i="36"/>
  <c r="X5" i="36" s="1"/>
  <c r="W67" i="36"/>
  <c r="V67" i="36"/>
  <c r="U67" i="36"/>
  <c r="T67" i="36"/>
  <c r="S67" i="36"/>
  <c r="S5" i="36" s="1"/>
  <c r="R67" i="36"/>
  <c r="Q67" i="36"/>
  <c r="Q5" i="36" s="1"/>
  <c r="P67" i="36"/>
  <c r="O67" i="36"/>
  <c r="N67" i="36"/>
  <c r="M67" i="36"/>
  <c r="M5" i="36" s="1"/>
  <c r="L67" i="36"/>
  <c r="K67" i="36"/>
  <c r="J67" i="36"/>
  <c r="I67" i="36"/>
  <c r="H67" i="36"/>
  <c r="G67" i="36"/>
  <c r="G5" i="36" s="1"/>
  <c r="F67" i="36"/>
  <c r="F5" i="36" s="1"/>
  <c r="E67" i="36"/>
  <c r="E5" i="36" s="1"/>
  <c r="D67" i="36"/>
  <c r="C67" i="36"/>
  <c r="C5" i="36" s="1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G55" i="36"/>
  <c r="AF55" i="36"/>
  <c r="AE55" i="36"/>
  <c r="AD55" i="36"/>
  <c r="AC55" i="36"/>
  <c r="AB55" i="36"/>
  <c r="AA55" i="36"/>
  <c r="Z55" i="36"/>
  <c r="Y55" i="36"/>
  <c r="X55" i="36"/>
  <c r="W55" i="36"/>
  <c r="V55" i="36"/>
  <c r="U55" i="36"/>
  <c r="T55" i="36"/>
  <c r="S55" i="36"/>
  <c r="R55" i="36"/>
  <c r="Q55" i="36"/>
  <c r="P55" i="36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AI54" i="36"/>
  <c r="AH54" i="36"/>
  <c r="AI53" i="36"/>
  <c r="AH53" i="36"/>
  <c r="AI52" i="36"/>
  <c r="AH52" i="36"/>
  <c r="Y51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AG50" i="36"/>
  <c r="AG51" i="36" s="1"/>
  <c r="AG3" i="36" s="1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Q74" i="36" s="1"/>
  <c r="P37" i="36"/>
  <c r="O37" i="36"/>
  <c r="N37" i="36"/>
  <c r="N74" i="36" s="1"/>
  <c r="AF212" i="36" s="1"/>
  <c r="M37" i="36"/>
  <c r="L37" i="36"/>
  <c r="K37" i="36"/>
  <c r="J37" i="36"/>
  <c r="I37" i="36"/>
  <c r="H37" i="36"/>
  <c r="H72" i="36" s="1"/>
  <c r="G37" i="36"/>
  <c r="F37" i="36"/>
  <c r="F74" i="36" s="1"/>
  <c r="E37" i="36"/>
  <c r="D37" i="36"/>
  <c r="D74" i="36" s="1"/>
  <c r="C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N7" i="36"/>
  <c r="AF5" i="36"/>
  <c r="AA5" i="36"/>
  <c r="V5" i="36"/>
  <c r="U5" i="36"/>
  <c r="P5" i="36"/>
  <c r="N5" i="36"/>
  <c r="K5" i="36"/>
  <c r="I5" i="36"/>
  <c r="H5" i="36"/>
  <c r="AG4" i="36"/>
  <c r="K4" i="36"/>
  <c r="B4" i="36"/>
  <c r="AG2" i="36"/>
  <c r="Q94" i="35"/>
  <c r="Q36" i="35"/>
  <c r="P94" i="35"/>
  <c r="P36" i="35"/>
  <c r="O36" i="35"/>
  <c r="AJ50" i="35"/>
  <c r="N94" i="35"/>
  <c r="N36" i="35"/>
  <c r="M94" i="35"/>
  <c r="M36" i="35"/>
  <c r="L94" i="35"/>
  <c r="L36" i="35"/>
  <c r="H37" i="35"/>
  <c r="E4" i="36"/>
  <c r="AF81" i="36" l="1"/>
  <c r="AC81" i="36"/>
  <c r="AB81" i="36"/>
  <c r="AA81" i="36"/>
  <c r="Y81" i="36"/>
  <c r="U81" i="36"/>
  <c r="S74" i="36"/>
  <c r="S81" i="36"/>
  <c r="R81" i="36"/>
  <c r="Q81" i="36"/>
  <c r="P72" i="36"/>
  <c r="P74" i="36"/>
  <c r="P82" i="36" s="1"/>
  <c r="O72" i="36"/>
  <c r="M81" i="36"/>
  <c r="M72" i="36"/>
  <c r="L74" i="36"/>
  <c r="L81" i="36"/>
  <c r="L72" i="36"/>
  <c r="K74" i="36"/>
  <c r="AC212" i="36" s="1"/>
  <c r="K81" i="36"/>
  <c r="J81" i="36"/>
  <c r="I81" i="36"/>
  <c r="AI76" i="36"/>
  <c r="H81" i="36"/>
  <c r="H74" i="36"/>
  <c r="H82" i="36" s="1"/>
  <c r="AI75" i="36"/>
  <c r="E81" i="36"/>
  <c r="E72" i="36"/>
  <c r="D81" i="36"/>
  <c r="D72" i="36"/>
  <c r="C74" i="36"/>
  <c r="AI37" i="36"/>
  <c r="B82" i="36"/>
  <c r="H4" i="36"/>
  <c r="AK212" i="36"/>
  <c r="S7" i="36"/>
  <c r="U212" i="36"/>
  <c r="C7" i="36"/>
  <c r="G101" i="36"/>
  <c r="S209" i="36"/>
  <c r="D209" i="36"/>
  <c r="AD212" i="36"/>
  <c r="L7" i="36"/>
  <c r="AG82" i="36"/>
  <c r="W5" i="36"/>
  <c r="I72" i="36"/>
  <c r="Q72" i="36"/>
  <c r="Q82" i="36" s="1"/>
  <c r="Y72" i="36"/>
  <c r="AG72" i="36"/>
  <c r="AI71" i="36"/>
  <c r="J74" i="36"/>
  <c r="R74" i="36"/>
  <c r="AH71" i="36"/>
  <c r="Y74" i="36"/>
  <c r="F81" i="36"/>
  <c r="AH76" i="36"/>
  <c r="N81" i="36"/>
  <c r="V81" i="36"/>
  <c r="AD81" i="36"/>
  <c r="F107" i="36"/>
  <c r="G107" i="36" s="1"/>
  <c r="H107" i="36" s="1"/>
  <c r="I107" i="36" s="1"/>
  <c r="J107" i="36" s="1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Z212" i="36"/>
  <c r="H7" i="36"/>
  <c r="AI212" i="36"/>
  <c r="Q7" i="36"/>
  <c r="X212" i="36"/>
  <c r="B5" i="36"/>
  <c r="AI67" i="36"/>
  <c r="J72" i="36"/>
  <c r="J5" i="36"/>
  <c r="R72" i="36"/>
  <c r="R5" i="36"/>
  <c r="Z5" i="36"/>
  <c r="AH67" i="36"/>
  <c r="G81" i="36"/>
  <c r="O81" i="36"/>
  <c r="W81" i="36"/>
  <c r="AE81" i="36"/>
  <c r="AI79" i="36"/>
  <c r="AH37" i="36"/>
  <c r="O74" i="36"/>
  <c r="AH212" i="36"/>
  <c r="P7" i="36"/>
  <c r="V212" i="36"/>
  <c r="D7" i="36"/>
  <c r="O5" i="36"/>
  <c r="Y5" i="36"/>
  <c r="AI55" i="36"/>
  <c r="AH55" i="36"/>
  <c r="C72" i="36"/>
  <c r="C82" i="36" s="1"/>
  <c r="K72" i="36"/>
  <c r="K82" i="36" s="1"/>
  <c r="S72" i="36"/>
  <c r="S82" i="36" s="1"/>
  <c r="D82" i="36"/>
  <c r="L82" i="36"/>
  <c r="G72" i="36"/>
  <c r="AG74" i="36"/>
  <c r="AI78" i="36"/>
  <c r="AH79" i="36"/>
  <c r="C81" i="36"/>
  <c r="G74" i="36"/>
  <c r="F7" i="36"/>
  <c r="AH75" i="36"/>
  <c r="AI77" i="36"/>
  <c r="D92" i="36"/>
  <c r="AG6" i="36"/>
  <c r="I74" i="36"/>
  <c r="F72" i="36"/>
  <c r="N72" i="36"/>
  <c r="N82" i="36" s="1"/>
  <c r="D100" i="36"/>
  <c r="E74" i="36"/>
  <c r="M74" i="36"/>
  <c r="M82" i="36" s="1"/>
  <c r="AH77" i="36"/>
  <c r="AH78" i="36"/>
  <c r="D5" i="36"/>
  <c r="L5" i="36"/>
  <c r="T5" i="36"/>
  <c r="AB5" i="36"/>
  <c r="C92" i="36"/>
  <c r="D192" i="36"/>
  <c r="C198" i="36"/>
  <c r="E233" i="36"/>
  <c r="F197" i="36"/>
  <c r="AH98" i="35"/>
  <c r="AI98" i="35" s="1"/>
  <c r="B50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P235" i="35"/>
  <c r="O235" i="35"/>
  <c r="N235" i="35"/>
  <c r="M235" i="35"/>
  <c r="L235" i="35"/>
  <c r="K235" i="35"/>
  <c r="J235" i="35"/>
  <c r="I235" i="35"/>
  <c r="H235" i="35"/>
  <c r="G235" i="35"/>
  <c r="F235" i="35"/>
  <c r="E235" i="35"/>
  <c r="D235" i="35"/>
  <c r="C235" i="35"/>
  <c r="B235" i="35"/>
  <c r="A235" i="35"/>
  <c r="AF234" i="35"/>
  <c r="AE234" i="35"/>
  <c r="AD234" i="35"/>
  <c r="AC234" i="35"/>
  <c r="AB234" i="35"/>
  <c r="AA234" i="35"/>
  <c r="Z234" i="35"/>
  <c r="Y234" i="35"/>
  <c r="X234" i="35"/>
  <c r="W234" i="35"/>
  <c r="V234" i="35"/>
  <c r="U234" i="35"/>
  <c r="T234" i="35"/>
  <c r="S234" i="35"/>
  <c r="R234" i="35"/>
  <c r="Q234" i="35"/>
  <c r="P234" i="35"/>
  <c r="O234" i="35"/>
  <c r="N234" i="35"/>
  <c r="M234" i="35"/>
  <c r="L234" i="35"/>
  <c r="K234" i="35"/>
  <c r="J234" i="35"/>
  <c r="I234" i="35"/>
  <c r="H234" i="35"/>
  <c r="G234" i="35"/>
  <c r="F234" i="35"/>
  <c r="E234" i="35"/>
  <c r="D234" i="35"/>
  <c r="C234" i="35"/>
  <c r="B234" i="35"/>
  <c r="A234" i="35"/>
  <c r="E233" i="35"/>
  <c r="C233" i="35"/>
  <c r="B233" i="35"/>
  <c r="S208" i="35"/>
  <c r="AG198" i="35"/>
  <c r="B198" i="35"/>
  <c r="F197" i="35"/>
  <c r="E197" i="35"/>
  <c r="C197" i="35"/>
  <c r="D197" i="35" s="1"/>
  <c r="D233" i="35" s="1"/>
  <c r="M196" i="35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D196" i="35"/>
  <c r="E196" i="35" s="1"/>
  <c r="F196" i="35" s="1"/>
  <c r="G196" i="35" s="1"/>
  <c r="H196" i="35" s="1"/>
  <c r="I196" i="35" s="1"/>
  <c r="J196" i="35" s="1"/>
  <c r="K196" i="35" s="1"/>
  <c r="L196" i="35" s="1"/>
  <c r="C196" i="35"/>
  <c r="D195" i="35"/>
  <c r="E195" i="35" s="1"/>
  <c r="F195" i="35" s="1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C195" i="35"/>
  <c r="G194" i="35"/>
  <c r="H194" i="35" s="1"/>
  <c r="I194" i="35" s="1"/>
  <c r="J194" i="35" s="1"/>
  <c r="K194" i="35" s="1"/>
  <c r="L194" i="35" s="1"/>
  <c r="M194" i="35" s="1"/>
  <c r="N194" i="35" s="1"/>
  <c r="O194" i="35" s="1"/>
  <c r="P194" i="35" s="1"/>
  <c r="Q194" i="35" s="1"/>
  <c r="R194" i="35" s="1"/>
  <c r="S194" i="35" s="1"/>
  <c r="T194" i="35" s="1"/>
  <c r="U194" i="35" s="1"/>
  <c r="V194" i="35" s="1"/>
  <c r="W194" i="35" s="1"/>
  <c r="X194" i="35" s="1"/>
  <c r="Y194" i="35" s="1"/>
  <c r="Z194" i="35" s="1"/>
  <c r="AA194" i="35" s="1"/>
  <c r="AB194" i="35" s="1"/>
  <c r="AC194" i="35" s="1"/>
  <c r="AD194" i="35" s="1"/>
  <c r="AE194" i="35" s="1"/>
  <c r="AF194" i="35" s="1"/>
  <c r="D194" i="35"/>
  <c r="E194" i="35" s="1"/>
  <c r="F194" i="35" s="1"/>
  <c r="C194" i="35"/>
  <c r="C193" i="35"/>
  <c r="D192" i="35"/>
  <c r="C192" i="35"/>
  <c r="AG190" i="35"/>
  <c r="B190" i="35"/>
  <c r="T189" i="35"/>
  <c r="U189" i="35" s="1"/>
  <c r="V189" i="35" s="1"/>
  <c r="W189" i="35" s="1"/>
  <c r="X189" i="35" s="1"/>
  <c r="Y189" i="35" s="1"/>
  <c r="Z189" i="35" s="1"/>
  <c r="AA189" i="35" s="1"/>
  <c r="AB189" i="35" s="1"/>
  <c r="AC189" i="35" s="1"/>
  <c r="AD189" i="35" s="1"/>
  <c r="AE189" i="35" s="1"/>
  <c r="AF189" i="35" s="1"/>
  <c r="F189" i="35"/>
  <c r="G189" i="35" s="1"/>
  <c r="H189" i="35" s="1"/>
  <c r="I189" i="35" s="1"/>
  <c r="J189" i="35" s="1"/>
  <c r="K189" i="35" s="1"/>
  <c r="L189" i="35" s="1"/>
  <c r="M189" i="35" s="1"/>
  <c r="N189" i="35" s="1"/>
  <c r="O189" i="35" s="1"/>
  <c r="P189" i="35" s="1"/>
  <c r="Q189" i="35" s="1"/>
  <c r="R189" i="35" s="1"/>
  <c r="S189" i="35" s="1"/>
  <c r="D189" i="35"/>
  <c r="E189" i="35" s="1"/>
  <c r="C189" i="35"/>
  <c r="H188" i="35"/>
  <c r="I188" i="35" s="1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G188" i="35"/>
  <c r="E188" i="35"/>
  <c r="F188" i="35" s="1"/>
  <c r="D188" i="35"/>
  <c r="C188" i="35"/>
  <c r="H187" i="35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E187" i="35"/>
  <c r="F187" i="35" s="1"/>
  <c r="G187" i="35" s="1"/>
  <c r="C187" i="35"/>
  <c r="D187" i="35" s="1"/>
  <c r="E186" i="35"/>
  <c r="F186" i="35" s="1"/>
  <c r="G186" i="35" s="1"/>
  <c r="H186" i="35" s="1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D186" i="35"/>
  <c r="C186" i="35"/>
  <c r="AB185" i="35"/>
  <c r="AC185" i="35" s="1"/>
  <c r="AD185" i="35" s="1"/>
  <c r="AE185" i="35" s="1"/>
  <c r="AF185" i="35" s="1"/>
  <c r="P185" i="35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N185" i="35"/>
  <c r="O185" i="35" s="1"/>
  <c r="K185" i="35"/>
  <c r="L185" i="35" s="1"/>
  <c r="M185" i="35" s="1"/>
  <c r="D185" i="35"/>
  <c r="E185" i="35" s="1"/>
  <c r="F185" i="35" s="1"/>
  <c r="G185" i="35" s="1"/>
  <c r="H185" i="35" s="1"/>
  <c r="I185" i="35" s="1"/>
  <c r="J185" i="35" s="1"/>
  <c r="C185" i="35"/>
  <c r="D184" i="35"/>
  <c r="E184" i="35" s="1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C184" i="35"/>
  <c r="G183" i="35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D183" i="35"/>
  <c r="E183" i="35" s="1"/>
  <c r="F183" i="35" s="1"/>
  <c r="C183" i="35"/>
  <c r="K182" i="35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F182" i="35"/>
  <c r="G182" i="35" s="1"/>
  <c r="H182" i="35" s="1"/>
  <c r="I182" i="35" s="1"/>
  <c r="J182" i="35" s="1"/>
  <c r="D182" i="35"/>
  <c r="E182" i="35" s="1"/>
  <c r="C182" i="35"/>
  <c r="J181" i="35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I181" i="35"/>
  <c r="D181" i="35"/>
  <c r="E181" i="35" s="1"/>
  <c r="F181" i="35" s="1"/>
  <c r="G181" i="35" s="1"/>
  <c r="H181" i="35" s="1"/>
  <c r="C181" i="35"/>
  <c r="O180" i="35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F180" i="35"/>
  <c r="G180" i="35" s="1"/>
  <c r="H180" i="35" s="1"/>
  <c r="I180" i="35" s="1"/>
  <c r="J180" i="35" s="1"/>
  <c r="K180" i="35" s="1"/>
  <c r="L180" i="35" s="1"/>
  <c r="M180" i="35" s="1"/>
  <c r="N180" i="35" s="1"/>
  <c r="D180" i="35"/>
  <c r="E180" i="35" s="1"/>
  <c r="C180" i="35"/>
  <c r="AE179" i="35"/>
  <c r="AF179" i="35" s="1"/>
  <c r="O179" i="35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D179" i="35"/>
  <c r="E179" i="35" s="1"/>
  <c r="F179" i="35" s="1"/>
  <c r="G179" i="35" s="1"/>
  <c r="H179" i="35" s="1"/>
  <c r="I179" i="35" s="1"/>
  <c r="J179" i="35" s="1"/>
  <c r="K179" i="35" s="1"/>
  <c r="L179" i="35" s="1"/>
  <c r="M179" i="35" s="1"/>
  <c r="N179" i="35" s="1"/>
  <c r="C179" i="35"/>
  <c r="D178" i="35"/>
  <c r="E178" i="35" s="1"/>
  <c r="F178" i="35" s="1"/>
  <c r="G178" i="35" s="1"/>
  <c r="H178" i="35" s="1"/>
  <c r="I178" i="35" s="1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T178" i="35" s="1"/>
  <c r="U178" i="35" s="1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C178" i="35"/>
  <c r="O177" i="35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F177" i="35"/>
  <c r="G177" i="35" s="1"/>
  <c r="H177" i="35" s="1"/>
  <c r="I177" i="35" s="1"/>
  <c r="J177" i="35" s="1"/>
  <c r="K177" i="35" s="1"/>
  <c r="L177" i="35" s="1"/>
  <c r="M177" i="35" s="1"/>
  <c r="N177" i="35" s="1"/>
  <c r="C177" i="35"/>
  <c r="D177" i="35" s="1"/>
  <c r="E177" i="35" s="1"/>
  <c r="G175" i="35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F175" i="35"/>
  <c r="D175" i="35"/>
  <c r="E175" i="35" s="1"/>
  <c r="C175" i="35"/>
  <c r="E174" i="35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D174" i="35"/>
  <c r="C174" i="35"/>
  <c r="F173" i="35"/>
  <c r="G173" i="35" s="1"/>
  <c r="H173" i="35" s="1"/>
  <c r="I173" i="35" s="1"/>
  <c r="J173" i="35" s="1"/>
  <c r="K173" i="35" s="1"/>
  <c r="L173" i="35" s="1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E173" i="35"/>
  <c r="C173" i="35"/>
  <c r="D173" i="35" s="1"/>
  <c r="V172" i="35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K172" i="35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I172" i="35"/>
  <c r="J172" i="35" s="1"/>
  <c r="H172" i="35"/>
  <c r="F172" i="35"/>
  <c r="G172" i="35" s="1"/>
  <c r="C172" i="35"/>
  <c r="D172" i="35" s="1"/>
  <c r="E172" i="35" s="1"/>
  <c r="P171" i="35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G171" i="35"/>
  <c r="H171" i="35" s="1"/>
  <c r="I171" i="35" s="1"/>
  <c r="J171" i="35" s="1"/>
  <c r="K171" i="35" s="1"/>
  <c r="L171" i="35" s="1"/>
  <c r="M171" i="35" s="1"/>
  <c r="N171" i="35" s="1"/>
  <c r="O171" i="35" s="1"/>
  <c r="C171" i="35"/>
  <c r="D171" i="35" s="1"/>
  <c r="E171" i="35" s="1"/>
  <c r="F171" i="35" s="1"/>
  <c r="Q170" i="35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D170" i="35"/>
  <c r="E170" i="35" s="1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C170" i="35"/>
  <c r="AE169" i="35"/>
  <c r="AF169" i="35" s="1"/>
  <c r="J169" i="35"/>
  <c r="K169" i="35" s="1"/>
  <c r="L169" i="35" s="1"/>
  <c r="M169" i="35" s="1"/>
  <c r="N169" i="35" s="1"/>
  <c r="O169" i="35" s="1"/>
  <c r="P169" i="35" s="1"/>
  <c r="Q169" i="35" s="1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C169" i="35"/>
  <c r="D169" i="35" s="1"/>
  <c r="E169" i="35" s="1"/>
  <c r="F169" i="35" s="1"/>
  <c r="G169" i="35" s="1"/>
  <c r="H169" i="35" s="1"/>
  <c r="I169" i="35" s="1"/>
  <c r="AD168" i="35"/>
  <c r="AE168" i="35" s="1"/>
  <c r="AF168" i="35" s="1"/>
  <c r="U168" i="35"/>
  <c r="V168" i="35" s="1"/>
  <c r="W168" i="35" s="1"/>
  <c r="X168" i="35" s="1"/>
  <c r="Y168" i="35" s="1"/>
  <c r="Z168" i="35" s="1"/>
  <c r="AA168" i="35" s="1"/>
  <c r="AB168" i="35" s="1"/>
  <c r="AC168" i="35" s="1"/>
  <c r="N168" i="35"/>
  <c r="O168" i="35" s="1"/>
  <c r="P168" i="35" s="1"/>
  <c r="Q168" i="35" s="1"/>
  <c r="R168" i="35" s="1"/>
  <c r="S168" i="35" s="1"/>
  <c r="T168" i="35" s="1"/>
  <c r="M168" i="35"/>
  <c r="E168" i="35"/>
  <c r="F168" i="35" s="1"/>
  <c r="G168" i="35" s="1"/>
  <c r="H168" i="35" s="1"/>
  <c r="I168" i="35" s="1"/>
  <c r="J168" i="35" s="1"/>
  <c r="K168" i="35" s="1"/>
  <c r="L168" i="35" s="1"/>
  <c r="C168" i="35"/>
  <c r="D168" i="35" s="1"/>
  <c r="T166" i="35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M166" i="35"/>
  <c r="N166" i="35" s="1"/>
  <c r="O166" i="35" s="1"/>
  <c r="P166" i="35" s="1"/>
  <c r="Q166" i="35" s="1"/>
  <c r="R166" i="35" s="1"/>
  <c r="S166" i="35" s="1"/>
  <c r="L166" i="35"/>
  <c r="E166" i="35"/>
  <c r="F166" i="35" s="1"/>
  <c r="G166" i="35" s="1"/>
  <c r="H166" i="35" s="1"/>
  <c r="I166" i="35" s="1"/>
  <c r="J166" i="35" s="1"/>
  <c r="K166" i="35" s="1"/>
  <c r="C166" i="35"/>
  <c r="D166" i="35" s="1"/>
  <c r="Q165" i="35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J165" i="35"/>
  <c r="K165" i="35" s="1"/>
  <c r="L165" i="35" s="1"/>
  <c r="M165" i="35" s="1"/>
  <c r="N165" i="35" s="1"/>
  <c r="O165" i="35" s="1"/>
  <c r="P165" i="35" s="1"/>
  <c r="D165" i="35"/>
  <c r="E165" i="35" s="1"/>
  <c r="F165" i="35" s="1"/>
  <c r="G165" i="35" s="1"/>
  <c r="H165" i="35" s="1"/>
  <c r="I165" i="35" s="1"/>
  <c r="C165" i="35"/>
  <c r="U164" i="35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I164" i="35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H164" i="35"/>
  <c r="E164" i="35"/>
  <c r="F164" i="35" s="1"/>
  <c r="G164" i="35" s="1"/>
  <c r="D164" i="35"/>
  <c r="C164" i="35"/>
  <c r="V163" i="35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C163" i="35"/>
  <c r="D163" i="35" s="1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X162" i="35"/>
  <c r="Y162" i="35" s="1"/>
  <c r="Z162" i="35" s="1"/>
  <c r="AA162" i="35" s="1"/>
  <c r="AB162" i="35" s="1"/>
  <c r="AC162" i="35" s="1"/>
  <c r="AD162" i="35" s="1"/>
  <c r="AE162" i="35" s="1"/>
  <c r="AF162" i="35" s="1"/>
  <c r="Q162" i="35"/>
  <c r="R162" i="35" s="1"/>
  <c r="S162" i="35" s="1"/>
  <c r="T162" i="35" s="1"/>
  <c r="U162" i="35" s="1"/>
  <c r="V162" i="35" s="1"/>
  <c r="W162" i="35" s="1"/>
  <c r="C162" i="35"/>
  <c r="D162" i="35" s="1"/>
  <c r="E162" i="35" s="1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G161" i="35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C161" i="35"/>
  <c r="D161" i="35" s="1"/>
  <c r="E161" i="35" s="1"/>
  <c r="F161" i="35" s="1"/>
  <c r="H160" i="35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D160" i="35"/>
  <c r="E160" i="35" s="1"/>
  <c r="F160" i="35" s="1"/>
  <c r="G160" i="35" s="1"/>
  <c r="C160" i="35"/>
  <c r="V159" i="35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I159" i="35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G159" i="35"/>
  <c r="H159" i="35" s="1"/>
  <c r="F159" i="35"/>
  <c r="E159" i="35"/>
  <c r="D159" i="35"/>
  <c r="C159" i="35"/>
  <c r="AA158" i="35"/>
  <c r="AB158" i="35" s="1"/>
  <c r="AC158" i="35" s="1"/>
  <c r="AD158" i="35" s="1"/>
  <c r="AE158" i="35" s="1"/>
  <c r="AF158" i="35" s="1"/>
  <c r="G158" i="35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E158" i="35"/>
  <c r="F158" i="35" s="1"/>
  <c r="D158" i="35"/>
  <c r="C158" i="35"/>
  <c r="E157" i="35"/>
  <c r="F157" i="35" s="1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C157" i="35"/>
  <c r="D157" i="35" s="1"/>
  <c r="N156" i="35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G156" i="35"/>
  <c r="H156" i="35" s="1"/>
  <c r="I156" i="35" s="1"/>
  <c r="J156" i="35" s="1"/>
  <c r="K156" i="35" s="1"/>
  <c r="L156" i="35" s="1"/>
  <c r="M156" i="35" s="1"/>
  <c r="D156" i="35"/>
  <c r="E156" i="35" s="1"/>
  <c r="F156" i="35" s="1"/>
  <c r="C156" i="35"/>
  <c r="M155" i="35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J155" i="35"/>
  <c r="K155" i="35" s="1"/>
  <c r="L155" i="35" s="1"/>
  <c r="E155" i="35"/>
  <c r="F155" i="35" s="1"/>
  <c r="G155" i="35" s="1"/>
  <c r="H155" i="35" s="1"/>
  <c r="I155" i="35" s="1"/>
  <c r="D155" i="35"/>
  <c r="C155" i="35"/>
  <c r="J154" i="35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D154" i="35"/>
  <c r="E154" i="35" s="1"/>
  <c r="F154" i="35" s="1"/>
  <c r="G154" i="35" s="1"/>
  <c r="H154" i="35" s="1"/>
  <c r="I154" i="35" s="1"/>
  <c r="C154" i="35"/>
  <c r="J152" i="35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H152" i="35"/>
  <c r="I152" i="35" s="1"/>
  <c r="F152" i="35"/>
  <c r="G152" i="35" s="1"/>
  <c r="E152" i="35"/>
  <c r="C152" i="35"/>
  <c r="D152" i="35" s="1"/>
  <c r="AB151" i="35"/>
  <c r="AC151" i="35" s="1"/>
  <c r="AD151" i="35" s="1"/>
  <c r="AE151" i="35" s="1"/>
  <c r="AF151" i="35" s="1"/>
  <c r="P151" i="35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K151" i="35"/>
  <c r="L151" i="35" s="1"/>
  <c r="M151" i="35" s="1"/>
  <c r="N151" i="35" s="1"/>
  <c r="O151" i="35" s="1"/>
  <c r="G151" i="35"/>
  <c r="H151" i="35" s="1"/>
  <c r="I151" i="35" s="1"/>
  <c r="J151" i="35" s="1"/>
  <c r="F151" i="35"/>
  <c r="D151" i="35"/>
  <c r="E151" i="35" s="1"/>
  <c r="C151" i="35"/>
  <c r="T150" i="35"/>
  <c r="U150" i="35" s="1"/>
  <c r="V150" i="35" s="1"/>
  <c r="W150" i="35" s="1"/>
  <c r="X150" i="35" s="1"/>
  <c r="Y150" i="35" s="1"/>
  <c r="Z150" i="35" s="1"/>
  <c r="AA150" i="35" s="1"/>
  <c r="AB150" i="35" s="1"/>
  <c r="AC150" i="35" s="1"/>
  <c r="AD150" i="35" s="1"/>
  <c r="AE150" i="35" s="1"/>
  <c r="AF150" i="35" s="1"/>
  <c r="N150" i="35"/>
  <c r="O150" i="35" s="1"/>
  <c r="P150" i="35" s="1"/>
  <c r="Q150" i="35" s="1"/>
  <c r="R150" i="35" s="1"/>
  <c r="S150" i="35" s="1"/>
  <c r="F150" i="35"/>
  <c r="G150" i="35" s="1"/>
  <c r="H150" i="35" s="1"/>
  <c r="I150" i="35" s="1"/>
  <c r="J150" i="35" s="1"/>
  <c r="K150" i="35" s="1"/>
  <c r="L150" i="35" s="1"/>
  <c r="M150" i="35" s="1"/>
  <c r="E150" i="35"/>
  <c r="D150" i="35"/>
  <c r="C150" i="35"/>
  <c r="P149" i="35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H149" i="35"/>
  <c r="I149" i="35" s="1"/>
  <c r="J149" i="35" s="1"/>
  <c r="K149" i="35" s="1"/>
  <c r="L149" i="35" s="1"/>
  <c r="M149" i="35" s="1"/>
  <c r="N149" i="35" s="1"/>
  <c r="O149" i="35" s="1"/>
  <c r="C149" i="35"/>
  <c r="D149" i="35" s="1"/>
  <c r="E149" i="35" s="1"/>
  <c r="F149" i="35" s="1"/>
  <c r="G149" i="35" s="1"/>
  <c r="M147" i="35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X147" i="35" s="1"/>
  <c r="Y147" i="35" s="1"/>
  <c r="Z147" i="35" s="1"/>
  <c r="AA147" i="35" s="1"/>
  <c r="AB147" i="35" s="1"/>
  <c r="AC147" i="35" s="1"/>
  <c r="AD147" i="35" s="1"/>
  <c r="AE147" i="35" s="1"/>
  <c r="AF147" i="35" s="1"/>
  <c r="F147" i="35"/>
  <c r="G147" i="35" s="1"/>
  <c r="H147" i="35" s="1"/>
  <c r="I147" i="35" s="1"/>
  <c r="J147" i="35" s="1"/>
  <c r="K147" i="35" s="1"/>
  <c r="L147" i="35" s="1"/>
  <c r="E147" i="35"/>
  <c r="D147" i="35"/>
  <c r="C147" i="35"/>
  <c r="C146" i="35"/>
  <c r="D146" i="35" s="1"/>
  <c r="E146" i="35" s="1"/>
  <c r="F146" i="35" s="1"/>
  <c r="G146" i="35" s="1"/>
  <c r="H146" i="35" s="1"/>
  <c r="I146" i="35" s="1"/>
  <c r="J146" i="35" s="1"/>
  <c r="K146" i="35" s="1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J144" i="35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C144" i="35"/>
  <c r="D144" i="35" s="1"/>
  <c r="E144" i="35" s="1"/>
  <c r="F144" i="35" s="1"/>
  <c r="G144" i="35" s="1"/>
  <c r="H144" i="35" s="1"/>
  <c r="I144" i="35" s="1"/>
  <c r="K143" i="35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H143" i="35"/>
  <c r="I143" i="35" s="1"/>
  <c r="J143" i="35" s="1"/>
  <c r="E143" i="35"/>
  <c r="F143" i="35" s="1"/>
  <c r="G143" i="35" s="1"/>
  <c r="C143" i="35"/>
  <c r="D143" i="35" s="1"/>
  <c r="C142" i="35"/>
  <c r="D142" i="35" s="1"/>
  <c r="E142" i="35" s="1"/>
  <c r="F142" i="35" s="1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K141" i="35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I141" i="35"/>
  <c r="J141" i="35" s="1"/>
  <c r="G141" i="35"/>
  <c r="H141" i="35" s="1"/>
  <c r="D141" i="35"/>
  <c r="E141" i="35" s="1"/>
  <c r="F141" i="35" s="1"/>
  <c r="C141" i="35"/>
  <c r="G140" i="35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E140" i="35"/>
  <c r="F140" i="35" s="1"/>
  <c r="C140" i="35"/>
  <c r="D140" i="35" s="1"/>
  <c r="C139" i="35"/>
  <c r="D139" i="35" s="1"/>
  <c r="E139" i="35" s="1"/>
  <c r="F139" i="35" s="1"/>
  <c r="G139" i="35" s="1"/>
  <c r="H139" i="35" s="1"/>
  <c r="I139" i="35" s="1"/>
  <c r="J139" i="35" s="1"/>
  <c r="K139" i="35" s="1"/>
  <c r="L139" i="35" s="1"/>
  <c r="M139" i="35" s="1"/>
  <c r="N139" i="35" s="1"/>
  <c r="O139" i="35" s="1"/>
  <c r="P139" i="35" s="1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E138" i="35"/>
  <c r="F138" i="35" s="1"/>
  <c r="G138" i="35" s="1"/>
  <c r="H138" i="35" s="1"/>
  <c r="I138" i="35" s="1"/>
  <c r="J138" i="35" s="1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C138" i="35"/>
  <c r="D138" i="35" s="1"/>
  <c r="J136" i="35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G136" i="35"/>
  <c r="H136" i="35" s="1"/>
  <c r="I136" i="35" s="1"/>
  <c r="C136" i="35"/>
  <c r="D136" i="35" s="1"/>
  <c r="E136" i="35" s="1"/>
  <c r="F136" i="35" s="1"/>
  <c r="D135" i="35"/>
  <c r="E135" i="35" s="1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C135" i="35"/>
  <c r="E134" i="35"/>
  <c r="F134" i="35" s="1"/>
  <c r="G134" i="35" s="1"/>
  <c r="H134" i="35" s="1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D134" i="35"/>
  <c r="C134" i="35"/>
  <c r="E133" i="35"/>
  <c r="F133" i="35" s="1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C133" i="35"/>
  <c r="D133" i="35" s="1"/>
  <c r="C132" i="35"/>
  <c r="D132" i="35" s="1"/>
  <c r="E132" i="35" s="1"/>
  <c r="F132" i="35" s="1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G131" i="35"/>
  <c r="H131" i="35" s="1"/>
  <c r="I131" i="35" s="1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F131" i="35"/>
  <c r="D131" i="35"/>
  <c r="E131" i="35" s="1"/>
  <c r="C131" i="35"/>
  <c r="G130" i="35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E130" i="35"/>
  <c r="F130" i="35" s="1"/>
  <c r="D130" i="35"/>
  <c r="C130" i="35"/>
  <c r="K129" i="35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J129" i="35"/>
  <c r="H129" i="35"/>
  <c r="I129" i="35" s="1"/>
  <c r="E129" i="35"/>
  <c r="F129" i="35" s="1"/>
  <c r="G129" i="35" s="1"/>
  <c r="C129" i="35"/>
  <c r="D129" i="35" s="1"/>
  <c r="X127" i="35"/>
  <c r="Y127" i="35" s="1"/>
  <c r="Z127" i="35" s="1"/>
  <c r="AA127" i="35" s="1"/>
  <c r="AB127" i="35" s="1"/>
  <c r="AC127" i="35" s="1"/>
  <c r="AD127" i="35" s="1"/>
  <c r="AE127" i="35" s="1"/>
  <c r="AF127" i="35" s="1"/>
  <c r="F127" i="35"/>
  <c r="G127" i="35" s="1"/>
  <c r="H127" i="35" s="1"/>
  <c r="I127" i="35" s="1"/>
  <c r="J127" i="35" s="1"/>
  <c r="K127" i="35" s="1"/>
  <c r="L127" i="35" s="1"/>
  <c r="M127" i="35" s="1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C127" i="35"/>
  <c r="D127" i="35" s="1"/>
  <c r="E127" i="35" s="1"/>
  <c r="F126" i="35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D126" i="35"/>
  <c r="E126" i="35" s="1"/>
  <c r="C126" i="35"/>
  <c r="E125" i="35"/>
  <c r="F125" i="35" s="1"/>
  <c r="G125" i="35" s="1"/>
  <c r="H125" i="35" s="1"/>
  <c r="I125" i="35" s="1"/>
  <c r="J125" i="35" s="1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D125" i="35"/>
  <c r="C125" i="35"/>
  <c r="C124" i="35"/>
  <c r="D124" i="35" s="1"/>
  <c r="E124" i="35" s="1"/>
  <c r="F124" i="35" s="1"/>
  <c r="G124" i="35" s="1"/>
  <c r="H124" i="35" s="1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AB123" i="35"/>
  <c r="AC123" i="35" s="1"/>
  <c r="AD123" i="35" s="1"/>
  <c r="AE123" i="35" s="1"/>
  <c r="AF123" i="35" s="1"/>
  <c r="I123" i="35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H123" i="35"/>
  <c r="C123" i="35"/>
  <c r="D123" i="35" s="1"/>
  <c r="E123" i="35" s="1"/>
  <c r="F123" i="35" s="1"/>
  <c r="G123" i="35" s="1"/>
  <c r="D122" i="35"/>
  <c r="E122" i="35" s="1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C122" i="35"/>
  <c r="AE121" i="35"/>
  <c r="AF121" i="35" s="1"/>
  <c r="H121" i="35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G121" i="35"/>
  <c r="E121" i="35"/>
  <c r="F121" i="35" s="1"/>
  <c r="D121" i="35"/>
  <c r="C121" i="35"/>
  <c r="Z120" i="35"/>
  <c r="AA120" i="35" s="1"/>
  <c r="AB120" i="35" s="1"/>
  <c r="AC120" i="35" s="1"/>
  <c r="AD120" i="35" s="1"/>
  <c r="AE120" i="35" s="1"/>
  <c r="AF120" i="35" s="1"/>
  <c r="C120" i="35"/>
  <c r="D120" i="35" s="1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C119" i="35"/>
  <c r="D119" i="35" s="1"/>
  <c r="E119" i="35" s="1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G118" i="35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F118" i="35"/>
  <c r="D118" i="35"/>
  <c r="E118" i="35" s="1"/>
  <c r="C118" i="35"/>
  <c r="D117" i="35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C117" i="35"/>
  <c r="J116" i="35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H116" i="35"/>
  <c r="I116" i="35" s="1"/>
  <c r="F116" i="35"/>
  <c r="G116" i="35" s="1"/>
  <c r="E116" i="35"/>
  <c r="C116" i="35"/>
  <c r="D116" i="35" s="1"/>
  <c r="C115" i="35"/>
  <c r="D115" i="35" s="1"/>
  <c r="E115" i="35" s="1"/>
  <c r="F115" i="35" s="1"/>
  <c r="G115" i="35" s="1"/>
  <c r="H115" i="35" s="1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F114" i="35"/>
  <c r="G114" i="35" s="1"/>
  <c r="H114" i="35" s="1"/>
  <c r="I114" i="35" s="1"/>
  <c r="J114" i="35" s="1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D114" i="35"/>
  <c r="E114" i="35" s="1"/>
  <c r="C114" i="35"/>
  <c r="D113" i="35"/>
  <c r="C113" i="35"/>
  <c r="R112" i="35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K112" i="35"/>
  <c r="L112" i="35" s="1"/>
  <c r="M112" i="35" s="1"/>
  <c r="N112" i="35" s="1"/>
  <c r="O112" i="35" s="1"/>
  <c r="P112" i="35" s="1"/>
  <c r="Q112" i="35" s="1"/>
  <c r="J112" i="35"/>
  <c r="D112" i="35"/>
  <c r="E112" i="35" s="1"/>
  <c r="F112" i="35" s="1"/>
  <c r="G112" i="35" s="1"/>
  <c r="H112" i="35" s="1"/>
  <c r="C112" i="35"/>
  <c r="R111" i="35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C111" i="35"/>
  <c r="D111" i="35" s="1"/>
  <c r="E111" i="35" s="1"/>
  <c r="F111" i="35" s="1"/>
  <c r="G111" i="35" s="1"/>
  <c r="H111" i="35" s="1"/>
  <c r="I111" i="35" s="1"/>
  <c r="J111" i="35" s="1"/>
  <c r="K111" i="35" s="1"/>
  <c r="L111" i="35" s="1"/>
  <c r="M111" i="35" s="1"/>
  <c r="N111" i="35" s="1"/>
  <c r="O111" i="35" s="1"/>
  <c r="P111" i="35" s="1"/>
  <c r="Q111" i="35" s="1"/>
  <c r="C110" i="35"/>
  <c r="D110" i="35" s="1"/>
  <c r="E110" i="35" s="1"/>
  <c r="F110" i="35" s="1"/>
  <c r="G110" i="35" s="1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C108" i="35"/>
  <c r="D108" i="35" s="1"/>
  <c r="E108" i="35" s="1"/>
  <c r="F108" i="35" s="1"/>
  <c r="G108" i="35" s="1"/>
  <c r="H108" i="35" s="1"/>
  <c r="I108" i="35" s="1"/>
  <c r="J108" i="35" s="1"/>
  <c r="K108" i="35" s="1"/>
  <c r="L108" i="35" s="1"/>
  <c r="M108" i="35" s="1"/>
  <c r="N108" i="35" s="1"/>
  <c r="O108" i="35" s="1"/>
  <c r="P108" i="35" s="1"/>
  <c r="Q108" i="35" s="1"/>
  <c r="R108" i="35" s="1"/>
  <c r="S108" i="35" s="1"/>
  <c r="T108" i="35" s="1"/>
  <c r="U108" i="35" s="1"/>
  <c r="V108" i="35" s="1"/>
  <c r="W108" i="35" s="1"/>
  <c r="X108" i="35" s="1"/>
  <c r="Y108" i="35" s="1"/>
  <c r="Z108" i="35" s="1"/>
  <c r="AA108" i="35" s="1"/>
  <c r="AB108" i="35" s="1"/>
  <c r="AC108" i="35" s="1"/>
  <c r="AD108" i="35" s="1"/>
  <c r="AE108" i="35" s="1"/>
  <c r="AF108" i="35" s="1"/>
  <c r="G107" i="35"/>
  <c r="H107" i="35" s="1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D107" i="35"/>
  <c r="E107" i="35" s="1"/>
  <c r="F107" i="35" s="1"/>
  <c r="C107" i="35"/>
  <c r="U105" i="35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G105" i="35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C105" i="35"/>
  <c r="D105" i="35" s="1"/>
  <c r="E105" i="35" s="1"/>
  <c r="F105" i="35" s="1"/>
  <c r="R104" i="35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D104" i="35"/>
  <c r="E104" i="35" s="1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C104" i="35"/>
  <c r="J103" i="35"/>
  <c r="K103" i="35" s="1"/>
  <c r="L103" i="35" s="1"/>
  <c r="M103" i="35" s="1"/>
  <c r="N103" i="35" s="1"/>
  <c r="O103" i="35" s="1"/>
  <c r="P103" i="35" s="1"/>
  <c r="Q103" i="35" s="1"/>
  <c r="R103" i="35" s="1"/>
  <c r="S103" i="35" s="1"/>
  <c r="T103" i="35" s="1"/>
  <c r="U103" i="35" s="1"/>
  <c r="V103" i="35" s="1"/>
  <c r="W103" i="35" s="1"/>
  <c r="X103" i="35" s="1"/>
  <c r="Y103" i="35" s="1"/>
  <c r="Z103" i="35" s="1"/>
  <c r="AA103" i="35" s="1"/>
  <c r="AB103" i="35" s="1"/>
  <c r="AC103" i="35" s="1"/>
  <c r="AD103" i="35" s="1"/>
  <c r="AE103" i="35" s="1"/>
  <c r="AF103" i="35" s="1"/>
  <c r="H103" i="35"/>
  <c r="I103" i="35" s="1"/>
  <c r="G103" i="35"/>
  <c r="F103" i="35"/>
  <c r="E103" i="35"/>
  <c r="D103" i="35"/>
  <c r="C103" i="35"/>
  <c r="E102" i="35"/>
  <c r="F102" i="35" s="1"/>
  <c r="G102" i="35" s="1"/>
  <c r="H102" i="35" s="1"/>
  <c r="I102" i="35" s="1"/>
  <c r="J102" i="35" s="1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U102" i="35" s="1"/>
  <c r="V102" i="35" s="1"/>
  <c r="W102" i="35" s="1"/>
  <c r="X102" i="35" s="1"/>
  <c r="Y102" i="35" s="1"/>
  <c r="Z102" i="35" s="1"/>
  <c r="AA102" i="35" s="1"/>
  <c r="AB102" i="35" s="1"/>
  <c r="AC102" i="35" s="1"/>
  <c r="AD102" i="35" s="1"/>
  <c r="AE102" i="35" s="1"/>
  <c r="AF102" i="35" s="1"/>
  <c r="D102" i="35"/>
  <c r="C102" i="35"/>
  <c r="F101" i="35"/>
  <c r="G101" i="35" s="1"/>
  <c r="D101" i="35"/>
  <c r="E101" i="35" s="1"/>
  <c r="C101" i="35"/>
  <c r="D100" i="35"/>
  <c r="C100" i="35"/>
  <c r="AH97" i="35"/>
  <c r="AI97" i="35" s="1"/>
  <c r="AH96" i="35"/>
  <c r="AI96" i="35" s="1"/>
  <c r="AH95" i="35"/>
  <c r="AI95" i="35" s="1"/>
  <c r="AH94" i="35"/>
  <c r="AI94" i="35" s="1"/>
  <c r="AH93" i="35"/>
  <c r="AI93" i="35" s="1"/>
  <c r="C92" i="35"/>
  <c r="B92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G81" i="35"/>
  <c r="AI80" i="35"/>
  <c r="AH80" i="35"/>
  <c r="AF79" i="35"/>
  <c r="AE79" i="35"/>
  <c r="AD79" i="35"/>
  <c r="AC79" i="35"/>
  <c r="AB79" i="35"/>
  <c r="AA79" i="35"/>
  <c r="Z79" i="35"/>
  <c r="Y79" i="35"/>
  <c r="X79" i="35"/>
  <c r="W79" i="35"/>
  <c r="V79" i="35"/>
  <c r="U79" i="35"/>
  <c r="T79" i="35"/>
  <c r="S79" i="35"/>
  <c r="R79" i="35"/>
  <c r="Q79" i="35"/>
  <c r="P79" i="35"/>
  <c r="O79" i="35"/>
  <c r="N79" i="35"/>
  <c r="M79" i="35"/>
  <c r="L79" i="35"/>
  <c r="K79" i="35"/>
  <c r="J79" i="35"/>
  <c r="I79" i="35"/>
  <c r="H79" i="35"/>
  <c r="G79" i="35"/>
  <c r="F79" i="35"/>
  <c r="E79" i="35"/>
  <c r="D79" i="35"/>
  <c r="C79" i="35"/>
  <c r="B79" i="35"/>
  <c r="AF78" i="35"/>
  <c r="AE78" i="35"/>
  <c r="AE81" i="35" s="1"/>
  <c r="AD78" i="35"/>
  <c r="AC78" i="35"/>
  <c r="AB78" i="35"/>
  <c r="AA78" i="35"/>
  <c r="Z78" i="35"/>
  <c r="Y78" i="35"/>
  <c r="X78" i="35"/>
  <c r="W78" i="35"/>
  <c r="V78" i="35"/>
  <c r="U78" i="35"/>
  <c r="T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F78" i="35"/>
  <c r="E78" i="35"/>
  <c r="D78" i="35"/>
  <c r="C78" i="35"/>
  <c r="B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AF76" i="35"/>
  <c r="AE76" i="35"/>
  <c r="AD76" i="35"/>
  <c r="AC76" i="35"/>
  <c r="AB76" i="35"/>
  <c r="AA76" i="35"/>
  <c r="Z76" i="35"/>
  <c r="Y76" i="35"/>
  <c r="X76" i="35"/>
  <c r="W76" i="35"/>
  <c r="V76" i="35"/>
  <c r="U76" i="35"/>
  <c r="T76" i="35"/>
  <c r="T81" i="35" s="1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AF75" i="35"/>
  <c r="AE75" i="35"/>
  <c r="AD75" i="35"/>
  <c r="AD81" i="35" s="1"/>
  <c r="AC75" i="35"/>
  <c r="AC81" i="35" s="1"/>
  <c r="AB75" i="35"/>
  <c r="AA75" i="35"/>
  <c r="Z75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AI73" i="35"/>
  <c r="AH73" i="35"/>
  <c r="AG71" i="35"/>
  <c r="AF71" i="35"/>
  <c r="AE71" i="35"/>
  <c r="AD71" i="35"/>
  <c r="AC71" i="35"/>
  <c r="AB71" i="35"/>
  <c r="AA71" i="35"/>
  <c r="Z71" i="35"/>
  <c r="Y71" i="35"/>
  <c r="X71" i="35"/>
  <c r="W71" i="35"/>
  <c r="V71" i="35"/>
  <c r="U71" i="35"/>
  <c r="T71" i="35"/>
  <c r="S71" i="35"/>
  <c r="R71" i="35"/>
  <c r="Q71" i="35"/>
  <c r="P71" i="35"/>
  <c r="O71" i="35"/>
  <c r="N71" i="35"/>
  <c r="M71" i="35"/>
  <c r="L71" i="35"/>
  <c r="K71" i="35"/>
  <c r="J71" i="35"/>
  <c r="I71" i="35"/>
  <c r="H71" i="35"/>
  <c r="G71" i="35"/>
  <c r="F71" i="35"/>
  <c r="E71" i="35"/>
  <c r="D71" i="35"/>
  <c r="C71" i="35"/>
  <c r="B71" i="35"/>
  <c r="AI70" i="35"/>
  <c r="AH70" i="35"/>
  <c r="AI69" i="35"/>
  <c r="AH69" i="35"/>
  <c r="AI68" i="35"/>
  <c r="AH68" i="35"/>
  <c r="AG67" i="35"/>
  <c r="AF67" i="35"/>
  <c r="AE67" i="35"/>
  <c r="AD67" i="35"/>
  <c r="AC67" i="35"/>
  <c r="AB67" i="35"/>
  <c r="AB5" i="35" s="1"/>
  <c r="AA67" i="35"/>
  <c r="AA5" i="35" s="1"/>
  <c r="Z67" i="35"/>
  <c r="Z5" i="35" s="1"/>
  <c r="Y67" i="35"/>
  <c r="Y5" i="35" s="1"/>
  <c r="X67" i="35"/>
  <c r="W67" i="35"/>
  <c r="V67" i="35"/>
  <c r="U67" i="35"/>
  <c r="T67" i="35"/>
  <c r="T5" i="35" s="1"/>
  <c r="S67" i="35"/>
  <c r="S5" i="35" s="1"/>
  <c r="R67" i="35"/>
  <c r="Q67" i="35"/>
  <c r="P67" i="35"/>
  <c r="O67" i="35"/>
  <c r="N67" i="35"/>
  <c r="M67" i="35"/>
  <c r="L67" i="35"/>
  <c r="L5" i="35" s="1"/>
  <c r="K67" i="35"/>
  <c r="K5" i="35" s="1"/>
  <c r="J67" i="35"/>
  <c r="J5" i="35" s="1"/>
  <c r="I67" i="35"/>
  <c r="I5" i="35" s="1"/>
  <c r="H67" i="35"/>
  <c r="G67" i="35"/>
  <c r="F67" i="35"/>
  <c r="E67" i="35"/>
  <c r="D67" i="35"/>
  <c r="D5" i="35" s="1"/>
  <c r="C67" i="35"/>
  <c r="B67" i="35"/>
  <c r="B5" i="35" s="1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G55" i="35"/>
  <c r="AF55" i="35"/>
  <c r="AE55" i="35"/>
  <c r="AD55" i="35"/>
  <c r="AC55" i="35"/>
  <c r="AB55" i="35"/>
  <c r="AA55" i="35"/>
  <c r="Z55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AI54" i="35"/>
  <c r="AH54" i="35"/>
  <c r="AI53" i="35"/>
  <c r="AH53" i="35"/>
  <c r="AI52" i="35"/>
  <c r="AH52" i="35"/>
  <c r="Y51" i="35"/>
  <c r="S51" i="35"/>
  <c r="R51" i="35"/>
  <c r="Q51" i="35"/>
  <c r="P51" i="35"/>
  <c r="O51" i="35"/>
  <c r="N51" i="35"/>
  <c r="M51" i="35"/>
  <c r="L51" i="35"/>
  <c r="K51" i="35"/>
  <c r="J51" i="35"/>
  <c r="I51" i="35"/>
  <c r="H51" i="35"/>
  <c r="G51" i="35"/>
  <c r="F51" i="35"/>
  <c r="E51" i="35"/>
  <c r="D51" i="35"/>
  <c r="C51" i="35"/>
  <c r="B51" i="35"/>
  <c r="AG50" i="35"/>
  <c r="AG51" i="35" s="1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G37" i="35"/>
  <c r="AF37" i="35"/>
  <c r="AE37" i="35"/>
  <c r="AD37" i="35"/>
  <c r="AC37" i="35"/>
  <c r="AB37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P74" i="35" s="1"/>
  <c r="AH212" i="35" s="1"/>
  <c r="O37" i="35"/>
  <c r="N37" i="35"/>
  <c r="M37" i="35"/>
  <c r="L37" i="35"/>
  <c r="K37" i="35"/>
  <c r="J37" i="35"/>
  <c r="I37" i="35"/>
  <c r="G37" i="35"/>
  <c r="F37" i="35"/>
  <c r="E37" i="35"/>
  <c r="D37" i="35"/>
  <c r="C37" i="35"/>
  <c r="B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R5" i="35"/>
  <c r="Q5" i="35"/>
  <c r="C5" i="35"/>
  <c r="AG4" i="35"/>
  <c r="K4" i="35"/>
  <c r="B4" i="35"/>
  <c r="AG2" i="35"/>
  <c r="Q36" i="34"/>
  <c r="S36" i="34"/>
  <c r="Q94" i="34"/>
  <c r="AJ51" i="34"/>
  <c r="P51" i="34"/>
  <c r="E4" i="35"/>
  <c r="Y82" i="36" l="1"/>
  <c r="R82" i="36"/>
  <c r="O82" i="36"/>
  <c r="K7" i="36"/>
  <c r="J82" i="36"/>
  <c r="I82" i="36"/>
  <c r="G82" i="36"/>
  <c r="E82" i="36"/>
  <c r="AI81" i="36"/>
  <c r="W212" i="36"/>
  <c r="E7" i="36"/>
  <c r="Y212" i="36"/>
  <c r="G7" i="36"/>
  <c r="B207" i="36"/>
  <c r="AQ212" i="36"/>
  <c r="Y7" i="36"/>
  <c r="G197" i="36"/>
  <c r="F233" i="36"/>
  <c r="D190" i="36"/>
  <c r="E100" i="36"/>
  <c r="AE212" i="36"/>
  <c r="M7" i="36"/>
  <c r="C207" i="36"/>
  <c r="AH81" i="36"/>
  <c r="AG212" i="36"/>
  <c r="O7" i="36"/>
  <c r="E192" i="36"/>
  <c r="D198" i="36"/>
  <c r="AJ212" i="36"/>
  <c r="R7" i="36"/>
  <c r="F82" i="36"/>
  <c r="AA212" i="36"/>
  <c r="I7" i="36"/>
  <c r="AB212" i="36"/>
  <c r="J7" i="36"/>
  <c r="H101" i="36"/>
  <c r="AF81" i="35"/>
  <c r="AB81" i="35"/>
  <c r="Y72" i="35"/>
  <c r="Y74" i="35"/>
  <c r="X81" i="35"/>
  <c r="W81" i="35"/>
  <c r="V81" i="35"/>
  <c r="U81" i="35"/>
  <c r="S72" i="35"/>
  <c r="S74" i="35"/>
  <c r="S7" i="35" s="1"/>
  <c r="R72" i="35"/>
  <c r="R74" i="35"/>
  <c r="AJ212" i="35" s="1"/>
  <c r="Q72" i="35"/>
  <c r="P81" i="35"/>
  <c r="Q74" i="35"/>
  <c r="P72" i="35"/>
  <c r="P82" i="35" s="1"/>
  <c r="O81" i="35"/>
  <c r="O74" i="35"/>
  <c r="AG212" i="35" s="1"/>
  <c r="O72" i="35"/>
  <c r="N81" i="35"/>
  <c r="M81" i="35"/>
  <c r="L72" i="35"/>
  <c r="K72" i="35"/>
  <c r="J81" i="35"/>
  <c r="J74" i="35"/>
  <c r="AB212" i="35" s="1"/>
  <c r="J72" i="35"/>
  <c r="I72" i="35"/>
  <c r="I74" i="35"/>
  <c r="H74" i="35"/>
  <c r="Z212" i="35" s="1"/>
  <c r="H81" i="35"/>
  <c r="AI76" i="35"/>
  <c r="H72" i="35"/>
  <c r="H82" i="35" s="1"/>
  <c r="G81" i="35"/>
  <c r="G74" i="35"/>
  <c r="G72" i="35"/>
  <c r="F81" i="35"/>
  <c r="E81" i="35"/>
  <c r="AI78" i="35"/>
  <c r="D81" i="35"/>
  <c r="AH55" i="35"/>
  <c r="D72" i="35"/>
  <c r="C72" i="35"/>
  <c r="AI79" i="35"/>
  <c r="AI55" i="35"/>
  <c r="B72" i="35"/>
  <c r="B74" i="35" s="1"/>
  <c r="T212" i="35" s="1"/>
  <c r="H4" i="35"/>
  <c r="AI67" i="35"/>
  <c r="E74" i="35"/>
  <c r="M74" i="35"/>
  <c r="M72" i="35"/>
  <c r="M5" i="35"/>
  <c r="U5" i="35"/>
  <c r="Y212" i="35"/>
  <c r="AH37" i="35"/>
  <c r="F72" i="35"/>
  <c r="N72" i="35"/>
  <c r="AI77" i="35"/>
  <c r="AH79" i="35"/>
  <c r="B81" i="35"/>
  <c r="AI37" i="35"/>
  <c r="R81" i="35"/>
  <c r="AH67" i="35"/>
  <c r="F74" i="35"/>
  <c r="E5" i="35"/>
  <c r="E72" i="35"/>
  <c r="E82" i="35" s="1"/>
  <c r="AC5" i="35"/>
  <c r="AG74" i="35"/>
  <c r="AG72" i="35"/>
  <c r="AG3" i="35"/>
  <c r="AG6" i="35" s="1"/>
  <c r="B82" i="35"/>
  <c r="AI75" i="35"/>
  <c r="Z81" i="35"/>
  <c r="L81" i="35"/>
  <c r="E113" i="35"/>
  <c r="F113" i="35" s="1"/>
  <c r="D92" i="35"/>
  <c r="F5" i="35"/>
  <c r="V5" i="35"/>
  <c r="N5" i="35"/>
  <c r="AD5" i="35"/>
  <c r="G5" i="35"/>
  <c r="O5" i="35"/>
  <c r="W5" i="35"/>
  <c r="AE5" i="35"/>
  <c r="AG82" i="35"/>
  <c r="C74" i="35"/>
  <c r="K74" i="35"/>
  <c r="K82" i="35" s="1"/>
  <c r="I81" i="35"/>
  <c r="Q81" i="35"/>
  <c r="Y81" i="35"/>
  <c r="Y82" i="35" s="1"/>
  <c r="AH75" i="35"/>
  <c r="D209" i="35"/>
  <c r="S209" i="35"/>
  <c r="D190" i="35"/>
  <c r="E100" i="35"/>
  <c r="H5" i="35"/>
  <c r="P5" i="35"/>
  <c r="X5" i="35"/>
  <c r="AF5" i="35"/>
  <c r="AH71" i="35"/>
  <c r="D74" i="35"/>
  <c r="D82" i="35" s="1"/>
  <c r="L74" i="35"/>
  <c r="AH77" i="35"/>
  <c r="AI71" i="35"/>
  <c r="C81" i="35"/>
  <c r="K81" i="35"/>
  <c r="S81" i="35"/>
  <c r="S82" i="35" s="1"/>
  <c r="AA81" i="35"/>
  <c r="AH76" i="35"/>
  <c r="AH78" i="35"/>
  <c r="H101" i="35"/>
  <c r="P7" i="35"/>
  <c r="N74" i="35"/>
  <c r="C190" i="35"/>
  <c r="D193" i="35"/>
  <c r="E193" i="35" s="1"/>
  <c r="F193" i="35" s="1"/>
  <c r="G193" i="35" s="1"/>
  <c r="H193" i="35" s="1"/>
  <c r="I193" i="35" s="1"/>
  <c r="J193" i="35" s="1"/>
  <c r="K193" i="35" s="1"/>
  <c r="L193" i="35" s="1"/>
  <c r="M193" i="35" s="1"/>
  <c r="N193" i="35" s="1"/>
  <c r="O193" i="35" s="1"/>
  <c r="P193" i="35" s="1"/>
  <c r="Q193" i="35" s="1"/>
  <c r="R193" i="35" s="1"/>
  <c r="S193" i="35" s="1"/>
  <c r="T193" i="35" s="1"/>
  <c r="U193" i="35" s="1"/>
  <c r="V193" i="35" s="1"/>
  <c r="W193" i="35" s="1"/>
  <c r="X193" i="35" s="1"/>
  <c r="Y193" i="35" s="1"/>
  <c r="Z193" i="35" s="1"/>
  <c r="AA193" i="35" s="1"/>
  <c r="AB193" i="35" s="1"/>
  <c r="AC193" i="35" s="1"/>
  <c r="AD193" i="35" s="1"/>
  <c r="AE193" i="35" s="1"/>
  <c r="AF193" i="35" s="1"/>
  <c r="C198" i="35"/>
  <c r="D198" i="35"/>
  <c r="E192" i="35"/>
  <c r="F233" i="35"/>
  <c r="G197" i="35"/>
  <c r="K94" i="34"/>
  <c r="K36" i="34"/>
  <c r="AH98" i="34"/>
  <c r="AI98" i="34" s="1"/>
  <c r="C94" i="34"/>
  <c r="C36" i="34"/>
  <c r="B36" i="34"/>
  <c r="B94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B235" i="34"/>
  <c r="A235" i="34"/>
  <c r="AF234" i="34"/>
  <c r="AE234" i="34"/>
  <c r="AD234" i="34"/>
  <c r="AC234" i="34"/>
  <c r="AB234" i="34"/>
  <c r="AA234" i="34"/>
  <c r="Z234" i="34"/>
  <c r="Y234" i="34"/>
  <c r="X234" i="34"/>
  <c r="W234" i="34"/>
  <c r="V234" i="34"/>
  <c r="U234" i="34"/>
  <c r="T234" i="34"/>
  <c r="S234" i="34"/>
  <c r="R234" i="34"/>
  <c r="Q234" i="34"/>
  <c r="P234" i="34"/>
  <c r="O234" i="34"/>
  <c r="N234" i="34"/>
  <c r="M234" i="34"/>
  <c r="L234" i="34"/>
  <c r="K234" i="34"/>
  <c r="J234" i="34"/>
  <c r="I234" i="34"/>
  <c r="H234" i="34"/>
  <c r="G234" i="34"/>
  <c r="F234" i="34"/>
  <c r="E234" i="34"/>
  <c r="D234" i="34"/>
  <c r="C234" i="34"/>
  <c r="B234" i="34"/>
  <c r="A234" i="34"/>
  <c r="C233" i="34"/>
  <c r="B233" i="34"/>
  <c r="S208" i="34"/>
  <c r="AG198" i="34"/>
  <c r="B198" i="34"/>
  <c r="E197" i="34"/>
  <c r="C197" i="34"/>
  <c r="D197" i="34" s="1"/>
  <c r="D233" i="34" s="1"/>
  <c r="E196" i="34"/>
  <c r="F196" i="34" s="1"/>
  <c r="G196" i="34" s="1"/>
  <c r="H196" i="34" s="1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D196" i="34"/>
  <c r="C196" i="34"/>
  <c r="C195" i="34"/>
  <c r="D195" i="34" s="1"/>
  <c r="E195" i="34" s="1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E194" i="34"/>
  <c r="F194" i="34" s="1"/>
  <c r="G194" i="34" s="1"/>
  <c r="H194" i="34" s="1"/>
  <c r="I194" i="34" s="1"/>
  <c r="J194" i="34" s="1"/>
  <c r="K194" i="34" s="1"/>
  <c r="L194" i="34" s="1"/>
  <c r="M194" i="34" s="1"/>
  <c r="N194" i="34" s="1"/>
  <c r="O194" i="34" s="1"/>
  <c r="P194" i="34" s="1"/>
  <c r="Q194" i="34" s="1"/>
  <c r="R194" i="34" s="1"/>
  <c r="S194" i="34" s="1"/>
  <c r="T194" i="34" s="1"/>
  <c r="U194" i="34" s="1"/>
  <c r="V194" i="34" s="1"/>
  <c r="W194" i="34" s="1"/>
  <c r="X194" i="34" s="1"/>
  <c r="Y194" i="34" s="1"/>
  <c r="Z194" i="34" s="1"/>
  <c r="AA194" i="34" s="1"/>
  <c r="AB194" i="34" s="1"/>
  <c r="AC194" i="34" s="1"/>
  <c r="AD194" i="34" s="1"/>
  <c r="AE194" i="34" s="1"/>
  <c r="AF194" i="34" s="1"/>
  <c r="D194" i="34"/>
  <c r="C194" i="34"/>
  <c r="C193" i="34"/>
  <c r="D193" i="34" s="1"/>
  <c r="E193" i="34" s="1"/>
  <c r="F193" i="34" s="1"/>
  <c r="G193" i="34" s="1"/>
  <c r="H193" i="34" s="1"/>
  <c r="I193" i="34" s="1"/>
  <c r="J193" i="34" s="1"/>
  <c r="K193" i="34" s="1"/>
  <c r="L193" i="34" s="1"/>
  <c r="M193" i="34" s="1"/>
  <c r="N193" i="34" s="1"/>
  <c r="O193" i="34" s="1"/>
  <c r="P193" i="34" s="1"/>
  <c r="Q193" i="34" s="1"/>
  <c r="R193" i="34" s="1"/>
  <c r="S193" i="34" s="1"/>
  <c r="T193" i="34" s="1"/>
  <c r="U193" i="34" s="1"/>
  <c r="V193" i="34" s="1"/>
  <c r="W193" i="34" s="1"/>
  <c r="X193" i="34" s="1"/>
  <c r="Y193" i="34" s="1"/>
  <c r="Z193" i="34" s="1"/>
  <c r="AA193" i="34" s="1"/>
  <c r="AB193" i="34" s="1"/>
  <c r="AC193" i="34" s="1"/>
  <c r="AD193" i="34" s="1"/>
  <c r="AE193" i="34" s="1"/>
  <c r="AF193" i="34" s="1"/>
  <c r="D192" i="34"/>
  <c r="C192" i="34"/>
  <c r="AG190" i="34"/>
  <c r="B190" i="34"/>
  <c r="C189" i="34"/>
  <c r="D189" i="34" s="1"/>
  <c r="E189" i="34" s="1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E188" i="34"/>
  <c r="F188" i="34" s="1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D188" i="34"/>
  <c r="C188" i="34"/>
  <c r="C187" i="34"/>
  <c r="D187" i="34" s="1"/>
  <c r="E187" i="34" s="1"/>
  <c r="F187" i="34" s="1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C186" i="34"/>
  <c r="D186" i="34" s="1"/>
  <c r="E186" i="34" s="1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C185" i="34"/>
  <c r="D185" i="34" s="1"/>
  <c r="E185" i="34" s="1"/>
  <c r="F185" i="34" s="1"/>
  <c r="G185" i="34" s="1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D184" i="34"/>
  <c r="E184" i="34" s="1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C184" i="34"/>
  <c r="C183" i="34"/>
  <c r="D183" i="34" s="1"/>
  <c r="E183" i="34" s="1"/>
  <c r="F183" i="34" s="1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U182" i="34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C182" i="34"/>
  <c r="D182" i="34" s="1"/>
  <c r="E182" i="34" s="1"/>
  <c r="F182" i="34" s="1"/>
  <c r="G182" i="34" s="1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AB181" i="34"/>
  <c r="AC181" i="34" s="1"/>
  <c r="AD181" i="34" s="1"/>
  <c r="AE181" i="34" s="1"/>
  <c r="AF181" i="34" s="1"/>
  <c r="C181" i="34"/>
  <c r="D181" i="34" s="1"/>
  <c r="E181" i="34" s="1"/>
  <c r="F181" i="34" s="1"/>
  <c r="G181" i="34" s="1"/>
  <c r="H181" i="34" s="1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H180" i="34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D180" i="34"/>
  <c r="E180" i="34" s="1"/>
  <c r="F180" i="34" s="1"/>
  <c r="G180" i="34" s="1"/>
  <c r="C180" i="34"/>
  <c r="C179" i="34"/>
  <c r="D179" i="34" s="1"/>
  <c r="E179" i="34" s="1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C178" i="34"/>
  <c r="D178" i="34" s="1"/>
  <c r="E178" i="34" s="1"/>
  <c r="F178" i="34" s="1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W178" i="34" s="1"/>
  <c r="X178" i="34" s="1"/>
  <c r="Y178" i="34" s="1"/>
  <c r="Z178" i="34" s="1"/>
  <c r="AA178" i="34" s="1"/>
  <c r="AB178" i="34" s="1"/>
  <c r="AC178" i="34" s="1"/>
  <c r="AD178" i="34" s="1"/>
  <c r="AE178" i="34" s="1"/>
  <c r="AF178" i="34" s="1"/>
  <c r="C177" i="34"/>
  <c r="D177" i="34" s="1"/>
  <c r="E177" i="34" s="1"/>
  <c r="F177" i="34" s="1"/>
  <c r="G177" i="34" s="1"/>
  <c r="H177" i="34" s="1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AF177" i="34" s="1"/>
  <c r="C175" i="34"/>
  <c r="D175" i="34" s="1"/>
  <c r="E175" i="34" s="1"/>
  <c r="F175" i="34" s="1"/>
  <c r="G175" i="34" s="1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C174" i="34"/>
  <c r="D174" i="34" s="1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K173" i="34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C173" i="34"/>
  <c r="D173" i="34" s="1"/>
  <c r="E173" i="34" s="1"/>
  <c r="F173" i="34" s="1"/>
  <c r="G173" i="34" s="1"/>
  <c r="H173" i="34" s="1"/>
  <c r="I173" i="34" s="1"/>
  <c r="J173" i="34" s="1"/>
  <c r="I172" i="34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C172" i="34"/>
  <c r="D172" i="34" s="1"/>
  <c r="E172" i="34" s="1"/>
  <c r="F172" i="34" s="1"/>
  <c r="G172" i="34" s="1"/>
  <c r="H172" i="34" s="1"/>
  <c r="G171" i="34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C171" i="34"/>
  <c r="D171" i="34" s="1"/>
  <c r="E171" i="34" s="1"/>
  <c r="F171" i="34" s="1"/>
  <c r="G170" i="34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C170" i="34"/>
  <c r="D170" i="34" s="1"/>
  <c r="E170" i="34" s="1"/>
  <c r="F170" i="34" s="1"/>
  <c r="L169" i="34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D169" i="34"/>
  <c r="E169" i="34" s="1"/>
  <c r="F169" i="34" s="1"/>
  <c r="G169" i="34" s="1"/>
  <c r="H169" i="34" s="1"/>
  <c r="I169" i="34" s="1"/>
  <c r="J169" i="34" s="1"/>
  <c r="K169" i="34" s="1"/>
  <c r="C169" i="34"/>
  <c r="D168" i="34"/>
  <c r="E168" i="34" s="1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C168" i="34"/>
  <c r="C166" i="34"/>
  <c r="D166" i="34" s="1"/>
  <c r="E166" i="34" s="1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F165" i="34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C165" i="34"/>
  <c r="D165" i="34" s="1"/>
  <c r="E165" i="34" s="1"/>
  <c r="L164" i="34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D164" i="34"/>
  <c r="E164" i="34" s="1"/>
  <c r="F164" i="34" s="1"/>
  <c r="G164" i="34" s="1"/>
  <c r="H164" i="34" s="1"/>
  <c r="I164" i="34" s="1"/>
  <c r="J164" i="34" s="1"/>
  <c r="K164" i="34" s="1"/>
  <c r="C164" i="34"/>
  <c r="R163" i="34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J163" i="34"/>
  <c r="K163" i="34" s="1"/>
  <c r="L163" i="34" s="1"/>
  <c r="M163" i="34" s="1"/>
  <c r="N163" i="34" s="1"/>
  <c r="O163" i="34" s="1"/>
  <c r="P163" i="34" s="1"/>
  <c r="Q163" i="34" s="1"/>
  <c r="D163" i="34"/>
  <c r="E163" i="34" s="1"/>
  <c r="F163" i="34" s="1"/>
  <c r="G163" i="34" s="1"/>
  <c r="H163" i="34" s="1"/>
  <c r="I163" i="34" s="1"/>
  <c r="C163" i="34"/>
  <c r="J162" i="34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H162" i="34"/>
  <c r="I162" i="34" s="1"/>
  <c r="C162" i="34"/>
  <c r="D162" i="34" s="1"/>
  <c r="E162" i="34" s="1"/>
  <c r="F162" i="34" s="1"/>
  <c r="G162" i="34" s="1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C161" i="34"/>
  <c r="F160" i="34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D160" i="34"/>
  <c r="E160" i="34" s="1"/>
  <c r="C160" i="34"/>
  <c r="D159" i="34"/>
  <c r="E159" i="34" s="1"/>
  <c r="F159" i="34" s="1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C159" i="34"/>
  <c r="F158" i="34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C158" i="34"/>
  <c r="D158" i="34" s="1"/>
  <c r="E158" i="34" s="1"/>
  <c r="Y157" i="34"/>
  <c r="Z157" i="34" s="1"/>
  <c r="AA157" i="34" s="1"/>
  <c r="AB157" i="34" s="1"/>
  <c r="AC157" i="34" s="1"/>
  <c r="AD157" i="34" s="1"/>
  <c r="AE157" i="34" s="1"/>
  <c r="AF157" i="34" s="1"/>
  <c r="D157" i="34"/>
  <c r="E157" i="34" s="1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C157" i="34"/>
  <c r="C156" i="34"/>
  <c r="D156" i="34" s="1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D155" i="34"/>
  <c r="E155" i="34" s="1"/>
  <c r="F155" i="34" s="1"/>
  <c r="G155" i="34" s="1"/>
  <c r="H155" i="34" s="1"/>
  <c r="I155" i="34" s="1"/>
  <c r="J155" i="34" s="1"/>
  <c r="K155" i="34" s="1"/>
  <c r="L155" i="34" s="1"/>
  <c r="M155" i="34" s="1"/>
  <c r="N155" i="34" s="1"/>
  <c r="O155" i="34" s="1"/>
  <c r="P155" i="34" s="1"/>
  <c r="Q155" i="34" s="1"/>
  <c r="R155" i="34" s="1"/>
  <c r="S155" i="34" s="1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C155" i="34"/>
  <c r="D154" i="34"/>
  <c r="E154" i="34" s="1"/>
  <c r="F154" i="34" s="1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C154" i="34"/>
  <c r="H152" i="34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D152" i="34"/>
  <c r="E152" i="34" s="1"/>
  <c r="F152" i="34" s="1"/>
  <c r="G152" i="34" s="1"/>
  <c r="C152" i="34"/>
  <c r="C151" i="34"/>
  <c r="D151" i="34" s="1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D150" i="34"/>
  <c r="E150" i="34" s="1"/>
  <c r="F150" i="34" s="1"/>
  <c r="G150" i="34" s="1"/>
  <c r="H150" i="34" s="1"/>
  <c r="I150" i="34" s="1"/>
  <c r="J150" i="34" s="1"/>
  <c r="K150" i="34" s="1"/>
  <c r="L150" i="34" s="1"/>
  <c r="M150" i="34" s="1"/>
  <c r="N150" i="34" s="1"/>
  <c r="O150" i="34" s="1"/>
  <c r="P150" i="34" s="1"/>
  <c r="Q150" i="34" s="1"/>
  <c r="R150" i="34" s="1"/>
  <c r="S150" i="34" s="1"/>
  <c r="T150" i="34" s="1"/>
  <c r="U150" i="34" s="1"/>
  <c r="V150" i="34" s="1"/>
  <c r="W150" i="34" s="1"/>
  <c r="X150" i="34" s="1"/>
  <c r="Y150" i="34" s="1"/>
  <c r="Z150" i="34" s="1"/>
  <c r="AA150" i="34" s="1"/>
  <c r="AB150" i="34" s="1"/>
  <c r="AC150" i="34" s="1"/>
  <c r="AD150" i="34" s="1"/>
  <c r="AE150" i="34" s="1"/>
  <c r="AF150" i="34" s="1"/>
  <c r="C150" i="34"/>
  <c r="D149" i="34"/>
  <c r="E149" i="34" s="1"/>
  <c r="F149" i="34" s="1"/>
  <c r="G149" i="34" s="1"/>
  <c r="H149" i="34" s="1"/>
  <c r="I149" i="34" s="1"/>
  <c r="J149" i="34" s="1"/>
  <c r="K149" i="34" s="1"/>
  <c r="L149" i="34" s="1"/>
  <c r="M149" i="34" s="1"/>
  <c r="N149" i="34" s="1"/>
  <c r="O149" i="34" s="1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C149" i="34"/>
  <c r="D147" i="34"/>
  <c r="E147" i="34" s="1"/>
  <c r="F147" i="34" s="1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C147" i="34"/>
  <c r="V146" i="34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C146" i="34"/>
  <c r="D146" i="34" s="1"/>
  <c r="E146" i="34" s="1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C144" i="34"/>
  <c r="D144" i="34" s="1"/>
  <c r="E144" i="34" s="1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D143" i="34"/>
  <c r="E143" i="34" s="1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C143" i="34"/>
  <c r="P142" i="34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D142" i="34"/>
  <c r="E142" i="34" s="1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C142" i="34"/>
  <c r="C141" i="34"/>
  <c r="D141" i="34" s="1"/>
  <c r="E141" i="34" s="1"/>
  <c r="F141" i="34" s="1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D140" i="34"/>
  <c r="E140" i="34" s="1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C140" i="34"/>
  <c r="F139" i="34"/>
  <c r="G139" i="34" s="1"/>
  <c r="H139" i="34" s="1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S139" i="34" s="1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D139" i="34"/>
  <c r="E139" i="34" s="1"/>
  <c r="C139" i="34"/>
  <c r="L138" i="34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D138" i="34"/>
  <c r="E138" i="34" s="1"/>
  <c r="F138" i="34" s="1"/>
  <c r="G138" i="34" s="1"/>
  <c r="H138" i="34" s="1"/>
  <c r="I138" i="34" s="1"/>
  <c r="J138" i="34" s="1"/>
  <c r="K138" i="34" s="1"/>
  <c r="C138" i="34"/>
  <c r="N136" i="34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E136" i="34"/>
  <c r="F136" i="34" s="1"/>
  <c r="G136" i="34" s="1"/>
  <c r="H136" i="34" s="1"/>
  <c r="I136" i="34" s="1"/>
  <c r="J136" i="34" s="1"/>
  <c r="K136" i="34" s="1"/>
  <c r="L136" i="34" s="1"/>
  <c r="M136" i="34" s="1"/>
  <c r="C136" i="34"/>
  <c r="D136" i="34" s="1"/>
  <c r="C135" i="34"/>
  <c r="D135" i="34" s="1"/>
  <c r="E135" i="34" s="1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O134" i="34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C134" i="34"/>
  <c r="D134" i="34" s="1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J133" i="34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E133" i="34"/>
  <c r="F133" i="34" s="1"/>
  <c r="G133" i="34" s="1"/>
  <c r="H133" i="34" s="1"/>
  <c r="I133" i="34" s="1"/>
  <c r="D133" i="34"/>
  <c r="C133" i="34"/>
  <c r="C132" i="34"/>
  <c r="D132" i="34" s="1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V131" i="34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D131" i="34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C131" i="34"/>
  <c r="D130" i="34"/>
  <c r="E130" i="34" s="1"/>
  <c r="F130" i="34" s="1"/>
  <c r="G130" i="34" s="1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U130" i="34" s="1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C130" i="34"/>
  <c r="E129" i="34"/>
  <c r="F129" i="34" s="1"/>
  <c r="G129" i="34" s="1"/>
  <c r="H129" i="34" s="1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D129" i="34"/>
  <c r="C129" i="34"/>
  <c r="S127" i="34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H127" i="34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F127" i="34"/>
  <c r="G127" i="34" s="1"/>
  <c r="C127" i="34"/>
  <c r="D127" i="34" s="1"/>
  <c r="E127" i="34" s="1"/>
  <c r="P126" i="34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F126" i="34"/>
  <c r="G126" i="34" s="1"/>
  <c r="H126" i="34" s="1"/>
  <c r="I126" i="34" s="1"/>
  <c r="J126" i="34" s="1"/>
  <c r="K126" i="34" s="1"/>
  <c r="L126" i="34" s="1"/>
  <c r="M126" i="34" s="1"/>
  <c r="N126" i="34" s="1"/>
  <c r="O126" i="34" s="1"/>
  <c r="D126" i="34"/>
  <c r="E126" i="34" s="1"/>
  <c r="C126" i="34"/>
  <c r="F125" i="34"/>
  <c r="G125" i="34" s="1"/>
  <c r="H125" i="34" s="1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D125" i="34"/>
  <c r="E125" i="34" s="1"/>
  <c r="C125" i="34"/>
  <c r="E124" i="34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D124" i="34"/>
  <c r="C124" i="34"/>
  <c r="F123" i="34"/>
  <c r="G123" i="34" s="1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C123" i="34"/>
  <c r="D123" i="34" s="1"/>
  <c r="E123" i="34" s="1"/>
  <c r="P122" i="34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C122" i="34"/>
  <c r="D122" i="34" s="1"/>
  <c r="E122" i="34" s="1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G121" i="34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D121" i="34"/>
  <c r="E121" i="34" s="1"/>
  <c r="F121" i="34" s="1"/>
  <c r="C121" i="34"/>
  <c r="G120" i="34"/>
  <c r="H120" i="34" s="1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E120" i="34"/>
  <c r="F120" i="34" s="1"/>
  <c r="D120" i="34"/>
  <c r="C120" i="34"/>
  <c r="N119" i="34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E119" i="34"/>
  <c r="F119" i="34" s="1"/>
  <c r="G119" i="34" s="1"/>
  <c r="H119" i="34" s="1"/>
  <c r="I119" i="34" s="1"/>
  <c r="J119" i="34" s="1"/>
  <c r="K119" i="34" s="1"/>
  <c r="L119" i="34" s="1"/>
  <c r="M119" i="34" s="1"/>
  <c r="C119" i="34"/>
  <c r="D119" i="34" s="1"/>
  <c r="C118" i="34"/>
  <c r="D118" i="34" s="1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S117" i="34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J117" i="34"/>
  <c r="K117" i="34" s="1"/>
  <c r="L117" i="34" s="1"/>
  <c r="M117" i="34" s="1"/>
  <c r="N117" i="34" s="1"/>
  <c r="O117" i="34" s="1"/>
  <c r="P117" i="34" s="1"/>
  <c r="Q117" i="34" s="1"/>
  <c r="R117" i="34" s="1"/>
  <c r="D117" i="34"/>
  <c r="E117" i="34" s="1"/>
  <c r="F117" i="34" s="1"/>
  <c r="G117" i="34" s="1"/>
  <c r="H117" i="34" s="1"/>
  <c r="I117" i="34" s="1"/>
  <c r="C117" i="34"/>
  <c r="M116" i="34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D116" i="34"/>
  <c r="E116" i="34" s="1"/>
  <c r="F116" i="34" s="1"/>
  <c r="G116" i="34" s="1"/>
  <c r="H116" i="34" s="1"/>
  <c r="I116" i="34" s="1"/>
  <c r="J116" i="34" s="1"/>
  <c r="K116" i="34" s="1"/>
  <c r="L116" i="34" s="1"/>
  <c r="C116" i="34"/>
  <c r="G115" i="34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C115" i="34"/>
  <c r="D115" i="34" s="1"/>
  <c r="E115" i="34" s="1"/>
  <c r="F115" i="34" s="1"/>
  <c r="M114" i="34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J114" i="34"/>
  <c r="K114" i="34" s="1"/>
  <c r="L114" i="34" s="1"/>
  <c r="D114" i="34"/>
  <c r="E114" i="34" s="1"/>
  <c r="F114" i="34" s="1"/>
  <c r="G114" i="34" s="1"/>
  <c r="H114" i="34" s="1"/>
  <c r="I114" i="34" s="1"/>
  <c r="C114" i="34"/>
  <c r="L113" i="34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G113" i="34"/>
  <c r="H113" i="34" s="1"/>
  <c r="I113" i="34" s="1"/>
  <c r="J113" i="34" s="1"/>
  <c r="K113" i="34" s="1"/>
  <c r="C113" i="34"/>
  <c r="D113" i="34" s="1"/>
  <c r="E113" i="34" s="1"/>
  <c r="F113" i="34" s="1"/>
  <c r="O112" i="34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J112" i="34"/>
  <c r="K112" i="34" s="1"/>
  <c r="L112" i="34" s="1"/>
  <c r="M112" i="34" s="1"/>
  <c r="N112" i="34" s="1"/>
  <c r="H112" i="34"/>
  <c r="E112" i="34"/>
  <c r="F112" i="34" s="1"/>
  <c r="G112" i="34" s="1"/>
  <c r="C112" i="34"/>
  <c r="D112" i="34" s="1"/>
  <c r="K111" i="34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F111" i="34"/>
  <c r="G111" i="34" s="1"/>
  <c r="H111" i="34" s="1"/>
  <c r="I111" i="34" s="1"/>
  <c r="J111" i="34" s="1"/>
  <c r="C111" i="34"/>
  <c r="D111" i="34" s="1"/>
  <c r="E111" i="34" s="1"/>
  <c r="I110" i="34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D110" i="34"/>
  <c r="E110" i="34" s="1"/>
  <c r="F110" i="34" s="1"/>
  <c r="G110" i="34" s="1"/>
  <c r="H110" i="34" s="1"/>
  <c r="C110" i="34"/>
  <c r="J108" i="34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G108" i="34"/>
  <c r="H108" i="34" s="1"/>
  <c r="I108" i="34" s="1"/>
  <c r="C108" i="34"/>
  <c r="D108" i="34" s="1"/>
  <c r="E108" i="34" s="1"/>
  <c r="F108" i="34" s="1"/>
  <c r="C107" i="34"/>
  <c r="D107" i="34" s="1"/>
  <c r="E107" i="34" s="1"/>
  <c r="F107" i="34" s="1"/>
  <c r="G107" i="34" s="1"/>
  <c r="C105" i="34"/>
  <c r="D105" i="34" s="1"/>
  <c r="E105" i="34" s="1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L104" i="34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I104" i="34"/>
  <c r="J104" i="34" s="1"/>
  <c r="K104" i="34" s="1"/>
  <c r="D104" i="34"/>
  <c r="E104" i="34" s="1"/>
  <c r="F104" i="34" s="1"/>
  <c r="G104" i="34" s="1"/>
  <c r="H104" i="34" s="1"/>
  <c r="C104" i="34"/>
  <c r="C103" i="34"/>
  <c r="D103" i="34" s="1"/>
  <c r="E103" i="34" s="1"/>
  <c r="F103" i="34" s="1"/>
  <c r="G103" i="34" s="1"/>
  <c r="H103" i="34" s="1"/>
  <c r="I103" i="34" s="1"/>
  <c r="J103" i="34" s="1"/>
  <c r="K103" i="34" s="1"/>
  <c r="L103" i="34" s="1"/>
  <c r="M103" i="34" s="1"/>
  <c r="N103" i="34" s="1"/>
  <c r="O103" i="34" s="1"/>
  <c r="P103" i="34" s="1"/>
  <c r="Q103" i="34" s="1"/>
  <c r="R103" i="34" s="1"/>
  <c r="S103" i="34" s="1"/>
  <c r="T103" i="34" s="1"/>
  <c r="U103" i="34" s="1"/>
  <c r="V103" i="34" s="1"/>
  <c r="W103" i="34" s="1"/>
  <c r="X103" i="34" s="1"/>
  <c r="Y103" i="34" s="1"/>
  <c r="Z103" i="34" s="1"/>
  <c r="AA103" i="34" s="1"/>
  <c r="AB103" i="34" s="1"/>
  <c r="AC103" i="34" s="1"/>
  <c r="AD103" i="34" s="1"/>
  <c r="AE103" i="34" s="1"/>
  <c r="AF103" i="34" s="1"/>
  <c r="C102" i="34"/>
  <c r="D102" i="34" s="1"/>
  <c r="E102" i="34" s="1"/>
  <c r="F102" i="34" s="1"/>
  <c r="G102" i="34" s="1"/>
  <c r="H102" i="34" s="1"/>
  <c r="I102" i="34" s="1"/>
  <c r="J102" i="34" s="1"/>
  <c r="K102" i="34" s="1"/>
  <c r="L102" i="34" s="1"/>
  <c r="M102" i="34" s="1"/>
  <c r="N102" i="34" s="1"/>
  <c r="O102" i="34" s="1"/>
  <c r="P102" i="34" s="1"/>
  <c r="Q102" i="34" s="1"/>
  <c r="R102" i="34" s="1"/>
  <c r="S102" i="34" s="1"/>
  <c r="T102" i="34" s="1"/>
  <c r="U102" i="34" s="1"/>
  <c r="V102" i="34" s="1"/>
  <c r="W102" i="34" s="1"/>
  <c r="X102" i="34" s="1"/>
  <c r="Y102" i="34" s="1"/>
  <c r="Z102" i="34" s="1"/>
  <c r="AA102" i="34" s="1"/>
  <c r="AB102" i="34" s="1"/>
  <c r="AC102" i="34" s="1"/>
  <c r="AD102" i="34" s="1"/>
  <c r="AE102" i="34" s="1"/>
  <c r="AF102" i="34" s="1"/>
  <c r="F101" i="34"/>
  <c r="G101" i="34" s="1"/>
  <c r="H101" i="34" s="1"/>
  <c r="E101" i="34"/>
  <c r="C101" i="34"/>
  <c r="D101" i="34" s="1"/>
  <c r="C100" i="34"/>
  <c r="AH97" i="34"/>
  <c r="AI97" i="34" s="1"/>
  <c r="AH96" i="34"/>
  <c r="AI96" i="34" s="1"/>
  <c r="AH95" i="34"/>
  <c r="AI95" i="34" s="1"/>
  <c r="AH94" i="34"/>
  <c r="AI94" i="34" s="1"/>
  <c r="AH93" i="34"/>
  <c r="AI93" i="34" s="1"/>
  <c r="C92" i="34"/>
  <c r="B92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G81" i="34"/>
  <c r="AI80" i="34"/>
  <c r="AH80" i="34"/>
  <c r="AF79" i="34"/>
  <c r="AE79" i="34"/>
  <c r="AD79" i="34"/>
  <c r="AC79" i="34"/>
  <c r="AB79" i="34"/>
  <c r="AA79" i="34"/>
  <c r="Z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B79" i="34"/>
  <c r="AF78" i="34"/>
  <c r="AE78" i="34"/>
  <c r="AD78" i="34"/>
  <c r="AC78" i="34"/>
  <c r="AB78" i="34"/>
  <c r="AA78" i="34"/>
  <c r="Z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B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AF76" i="34"/>
  <c r="AE76" i="34"/>
  <c r="AE81" i="34" s="1"/>
  <c r="AD76" i="34"/>
  <c r="AC76" i="34"/>
  <c r="AB76" i="34"/>
  <c r="AA76" i="34"/>
  <c r="Z76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AF75" i="34"/>
  <c r="AE75" i="34"/>
  <c r="AD75" i="34"/>
  <c r="AD81" i="34" s="1"/>
  <c r="AC75" i="34"/>
  <c r="AB75" i="34"/>
  <c r="AA75" i="34"/>
  <c r="Z75" i="34"/>
  <c r="Y75" i="34"/>
  <c r="Y81" i="34" s="1"/>
  <c r="X75" i="34"/>
  <c r="W75" i="34"/>
  <c r="V75" i="34"/>
  <c r="U75" i="34"/>
  <c r="T75" i="34"/>
  <c r="S75" i="34"/>
  <c r="R75" i="34"/>
  <c r="Q75" i="34"/>
  <c r="P75" i="34"/>
  <c r="O75" i="34"/>
  <c r="O81" i="34" s="1"/>
  <c r="N75" i="34"/>
  <c r="N81" i="34" s="1"/>
  <c r="M75" i="34"/>
  <c r="L75" i="34"/>
  <c r="K75" i="34"/>
  <c r="J75" i="34"/>
  <c r="I75" i="34"/>
  <c r="H75" i="34"/>
  <c r="G75" i="34"/>
  <c r="F75" i="34"/>
  <c r="E75" i="34"/>
  <c r="D75" i="34"/>
  <c r="C75" i="34"/>
  <c r="B75" i="34"/>
  <c r="P74" i="34"/>
  <c r="AH212" i="34" s="1"/>
  <c r="H74" i="34"/>
  <c r="Z212" i="34" s="1"/>
  <c r="AI73" i="34"/>
  <c r="AH73" i="34"/>
  <c r="AG71" i="34"/>
  <c r="AF71" i="34"/>
  <c r="AE71" i="34"/>
  <c r="AD71" i="34"/>
  <c r="AC71" i="34"/>
  <c r="AB71" i="34"/>
  <c r="AA71" i="34"/>
  <c r="Z71" i="34"/>
  <c r="Y71" i="34"/>
  <c r="X71" i="34"/>
  <c r="W71" i="34"/>
  <c r="V71" i="34"/>
  <c r="U71" i="34"/>
  <c r="T71" i="34"/>
  <c r="S71" i="34"/>
  <c r="R71" i="34"/>
  <c r="Q71" i="34"/>
  <c r="P71" i="34"/>
  <c r="O71" i="34"/>
  <c r="N71" i="34"/>
  <c r="M71" i="34"/>
  <c r="L71" i="34"/>
  <c r="K71" i="34"/>
  <c r="J71" i="34"/>
  <c r="I71" i="34"/>
  <c r="H71" i="34"/>
  <c r="G71" i="34"/>
  <c r="F71" i="34"/>
  <c r="E71" i="34"/>
  <c r="D71" i="34"/>
  <c r="C71" i="34"/>
  <c r="AI71" i="34" s="1"/>
  <c r="B71" i="34"/>
  <c r="AH71" i="34" s="1"/>
  <c r="AI70" i="34"/>
  <c r="AH70" i="34"/>
  <c r="AI69" i="34"/>
  <c r="AH69" i="34"/>
  <c r="AI68" i="34"/>
  <c r="AH68" i="34"/>
  <c r="AG67" i="34"/>
  <c r="AG72" i="34" s="1"/>
  <c r="AF67" i="34"/>
  <c r="AE67" i="34"/>
  <c r="AE5" i="34" s="1"/>
  <c r="AD67" i="34"/>
  <c r="AC67" i="34"/>
  <c r="AB67" i="34"/>
  <c r="AA67" i="34"/>
  <c r="AA5" i="34" s="1"/>
  <c r="Z67" i="34"/>
  <c r="Z5" i="34" s="1"/>
  <c r="Y67" i="34"/>
  <c r="X67" i="34"/>
  <c r="W67" i="34"/>
  <c r="W5" i="34" s="1"/>
  <c r="V67" i="34"/>
  <c r="U67" i="34"/>
  <c r="U5" i="34" s="1"/>
  <c r="T67" i="34"/>
  <c r="T5" i="34" s="1"/>
  <c r="S67" i="34"/>
  <c r="S5" i="34" s="1"/>
  <c r="R67" i="34"/>
  <c r="R5" i="34" s="1"/>
  <c r="Q67" i="34"/>
  <c r="P67" i="34"/>
  <c r="O67" i="34"/>
  <c r="N67" i="34"/>
  <c r="M67" i="34"/>
  <c r="L67" i="34"/>
  <c r="L5" i="34" s="1"/>
  <c r="K67" i="34"/>
  <c r="K5" i="34" s="1"/>
  <c r="J67" i="34"/>
  <c r="J5" i="34" s="1"/>
  <c r="I67" i="34"/>
  <c r="H67" i="34"/>
  <c r="G67" i="34"/>
  <c r="G5" i="34" s="1"/>
  <c r="F67" i="34"/>
  <c r="E67" i="34"/>
  <c r="E5" i="34" s="1"/>
  <c r="D67" i="34"/>
  <c r="D5" i="34" s="1"/>
  <c r="C67" i="34"/>
  <c r="C5" i="34" s="1"/>
  <c r="B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G55" i="34"/>
  <c r="AG4" i="34" s="1"/>
  <c r="AF55" i="34"/>
  <c r="AE55" i="34"/>
  <c r="AD55" i="34"/>
  <c r="AC55" i="34"/>
  <c r="AB55" i="34"/>
  <c r="AA55" i="34"/>
  <c r="Z55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AI54" i="34"/>
  <c r="AH54" i="34"/>
  <c r="AI53" i="34"/>
  <c r="AH53" i="34"/>
  <c r="AI52" i="34"/>
  <c r="AH52" i="34"/>
  <c r="AG51" i="34"/>
  <c r="Y51" i="34"/>
  <c r="S51" i="34"/>
  <c r="R51" i="34"/>
  <c r="Q51" i="34"/>
  <c r="O51" i="34"/>
  <c r="N51" i="34"/>
  <c r="M51" i="34"/>
  <c r="L51" i="34"/>
  <c r="K51" i="34"/>
  <c r="K74" i="34" s="1"/>
  <c r="AC212" i="34" s="1"/>
  <c r="J51" i="34"/>
  <c r="I51" i="34"/>
  <c r="H51" i="34"/>
  <c r="G51" i="34"/>
  <c r="F51" i="34"/>
  <c r="E51" i="34"/>
  <c r="D51" i="34"/>
  <c r="C51" i="34"/>
  <c r="B51" i="34"/>
  <c r="AG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G37" i="34"/>
  <c r="AG2" i="34" s="1"/>
  <c r="AG6" i="34" s="1"/>
  <c r="AF37" i="34"/>
  <c r="AE37" i="34"/>
  <c r="AD37" i="34"/>
  <c r="AC37" i="34"/>
  <c r="AB37" i="34"/>
  <c r="AA37" i="34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B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C5" i="34"/>
  <c r="AB5" i="34"/>
  <c r="O5" i="34"/>
  <c r="M5" i="34"/>
  <c r="B5" i="34"/>
  <c r="K4" i="34"/>
  <c r="B4" i="34"/>
  <c r="AG3" i="34"/>
  <c r="AF94" i="33"/>
  <c r="AF36" i="33"/>
  <c r="AE94" i="33"/>
  <c r="AE36" i="33"/>
  <c r="AD94" i="33"/>
  <c r="AD36" i="33"/>
  <c r="AC94" i="33"/>
  <c r="AC36" i="33"/>
  <c r="AB94" i="33"/>
  <c r="AB36" i="33"/>
  <c r="AA94" i="33"/>
  <c r="AA36" i="33"/>
  <c r="Z36" i="33"/>
  <c r="Y36" i="33"/>
  <c r="X36" i="33"/>
  <c r="W37" i="33"/>
  <c r="W51" i="33"/>
  <c r="W50" i="33"/>
  <c r="W36" i="33"/>
  <c r="V36" i="33"/>
  <c r="U36" i="33"/>
  <c r="T94" i="33"/>
  <c r="T36" i="33"/>
  <c r="S94" i="33"/>
  <c r="S36" i="33"/>
  <c r="R36" i="33"/>
  <c r="Q37" i="33"/>
  <c r="Q51" i="33"/>
  <c r="Q55" i="33"/>
  <c r="Q67" i="33"/>
  <c r="Q71" i="33"/>
  <c r="Q72" i="33"/>
  <c r="O94" i="33"/>
  <c r="O36" i="33"/>
  <c r="M36" i="33"/>
  <c r="L94" i="33"/>
  <c r="L36" i="33"/>
  <c r="E4" i="34"/>
  <c r="K6" i="36" l="1"/>
  <c r="F192" i="36"/>
  <c r="E198" i="36"/>
  <c r="E92" i="36"/>
  <c r="E190" i="36"/>
  <c r="F100" i="36"/>
  <c r="T212" i="36"/>
  <c r="B7" i="36"/>
  <c r="H197" i="36"/>
  <c r="G233" i="36"/>
  <c r="I101" i="36"/>
  <c r="AQ212" i="35"/>
  <c r="Y7" i="35"/>
  <c r="AK212" i="35"/>
  <c r="R82" i="35"/>
  <c r="R7" i="35"/>
  <c r="Q82" i="35"/>
  <c r="AI212" i="35"/>
  <c r="Q7" i="35"/>
  <c r="O7" i="35"/>
  <c r="O82" i="35"/>
  <c r="N82" i="35"/>
  <c r="M82" i="35"/>
  <c r="L82" i="35"/>
  <c r="J82" i="35"/>
  <c r="J7" i="35"/>
  <c r="I82" i="35"/>
  <c r="AA212" i="35"/>
  <c r="I7" i="35"/>
  <c r="H7" i="35"/>
  <c r="G82" i="35"/>
  <c r="G7" i="35"/>
  <c r="F82" i="35"/>
  <c r="B7" i="35"/>
  <c r="E198" i="35"/>
  <c r="F192" i="35"/>
  <c r="I101" i="35"/>
  <c r="E92" i="35"/>
  <c r="AE212" i="35"/>
  <c r="M7" i="35"/>
  <c r="AF212" i="35"/>
  <c r="N7" i="35"/>
  <c r="E190" i="35"/>
  <c r="F100" i="35"/>
  <c r="B207" i="35"/>
  <c r="C207" i="35"/>
  <c r="X212" i="35"/>
  <c r="F7" i="35"/>
  <c r="U212" i="35"/>
  <c r="C7" i="35"/>
  <c r="W212" i="35"/>
  <c r="E7" i="35"/>
  <c r="H197" i="35"/>
  <c r="G233" i="35"/>
  <c r="AD212" i="35"/>
  <c r="L7" i="35"/>
  <c r="G113" i="35"/>
  <c r="F92" i="35"/>
  <c r="C82" i="35"/>
  <c r="V212" i="35"/>
  <c r="D7" i="35"/>
  <c r="AC212" i="35"/>
  <c r="K7" i="35"/>
  <c r="AI81" i="35"/>
  <c r="AH81" i="35"/>
  <c r="AC81" i="34"/>
  <c r="AB81" i="34"/>
  <c r="AA81" i="34"/>
  <c r="Z81" i="34"/>
  <c r="Y72" i="34"/>
  <c r="W81" i="34"/>
  <c r="V81" i="34"/>
  <c r="U81" i="34"/>
  <c r="T81" i="34"/>
  <c r="S81" i="34"/>
  <c r="S74" i="34"/>
  <c r="AK212" i="34" s="1"/>
  <c r="S72" i="34"/>
  <c r="R81" i="34"/>
  <c r="R74" i="34"/>
  <c r="R72" i="34"/>
  <c r="Q81" i="34"/>
  <c r="Q72" i="34"/>
  <c r="P72" i="34"/>
  <c r="O72" i="34"/>
  <c r="O74" i="34"/>
  <c r="N72" i="34"/>
  <c r="M81" i="34"/>
  <c r="M74" i="34"/>
  <c r="M72" i="34"/>
  <c r="L81" i="34"/>
  <c r="L72" i="34"/>
  <c r="L74" i="34"/>
  <c r="AD212" i="34" s="1"/>
  <c r="K81" i="34"/>
  <c r="K72" i="34"/>
  <c r="K82" i="34" s="1"/>
  <c r="J81" i="34"/>
  <c r="J74" i="34"/>
  <c r="J72" i="34"/>
  <c r="J82" i="34" s="1"/>
  <c r="AI78" i="34"/>
  <c r="I81" i="34"/>
  <c r="I72" i="34"/>
  <c r="H72" i="34"/>
  <c r="G72" i="34"/>
  <c r="G81" i="34"/>
  <c r="AI75" i="34"/>
  <c r="G74" i="34"/>
  <c r="G7" i="34" s="1"/>
  <c r="AI77" i="34"/>
  <c r="AI76" i="34"/>
  <c r="F81" i="34"/>
  <c r="F72" i="34"/>
  <c r="E81" i="34"/>
  <c r="E74" i="34"/>
  <c r="E72" i="34"/>
  <c r="D81" i="34"/>
  <c r="D72" i="34"/>
  <c r="D82" i="34" s="1"/>
  <c r="D74" i="34"/>
  <c r="D7" i="34" s="1"/>
  <c r="AH79" i="34"/>
  <c r="AH67" i="34"/>
  <c r="C81" i="34"/>
  <c r="AH55" i="34"/>
  <c r="C74" i="34"/>
  <c r="U212" i="34" s="1"/>
  <c r="AI37" i="34"/>
  <c r="C72" i="34"/>
  <c r="C82" i="34" s="1"/>
  <c r="AH78" i="34"/>
  <c r="AI55" i="34"/>
  <c r="B72" i="34"/>
  <c r="H4" i="34"/>
  <c r="AJ212" i="34"/>
  <c r="R7" i="34"/>
  <c r="Y212" i="34"/>
  <c r="E92" i="34"/>
  <c r="AG212" i="34"/>
  <c r="O7" i="34"/>
  <c r="H107" i="34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R82" i="34"/>
  <c r="AB212" i="34"/>
  <c r="J7" i="34"/>
  <c r="E82" i="34"/>
  <c r="W212" i="34"/>
  <c r="E7" i="34"/>
  <c r="AE212" i="34"/>
  <c r="M7" i="34"/>
  <c r="AI79" i="34"/>
  <c r="D209" i="34"/>
  <c r="S209" i="34"/>
  <c r="C7" i="34"/>
  <c r="K7" i="34"/>
  <c r="S7" i="34"/>
  <c r="I74" i="34"/>
  <c r="I82" i="34" s="1"/>
  <c r="Q74" i="34"/>
  <c r="Q82" i="34" s="1"/>
  <c r="Y74" i="34"/>
  <c r="Y82" i="34" s="1"/>
  <c r="AG74" i="34"/>
  <c r="AG82" i="34" s="1"/>
  <c r="D92" i="34"/>
  <c r="F5" i="34"/>
  <c r="N5" i="34"/>
  <c r="V5" i="34"/>
  <c r="AD5" i="34"/>
  <c r="B74" i="34"/>
  <c r="H81" i="34"/>
  <c r="H82" i="34" s="1"/>
  <c r="P81" i="34"/>
  <c r="P82" i="34" s="1"/>
  <c r="X81" i="34"/>
  <c r="AF81" i="34"/>
  <c r="AH37" i="34"/>
  <c r="AH75" i="34"/>
  <c r="B81" i="34"/>
  <c r="I101" i="34"/>
  <c r="H5" i="34"/>
  <c r="P5" i="34"/>
  <c r="X5" i="34"/>
  <c r="AF5" i="34"/>
  <c r="AH76" i="34"/>
  <c r="O82" i="34"/>
  <c r="I5" i="34"/>
  <c r="Q5" i="34"/>
  <c r="Y5" i="34"/>
  <c r="AI67" i="34"/>
  <c r="AH77" i="34"/>
  <c r="C190" i="34"/>
  <c r="H7" i="34"/>
  <c r="P7" i="34"/>
  <c r="F74" i="34"/>
  <c r="N74" i="34"/>
  <c r="D100" i="34"/>
  <c r="D198" i="34"/>
  <c r="E192" i="34"/>
  <c r="F197" i="34"/>
  <c r="E233" i="34"/>
  <c r="C198" i="34"/>
  <c r="J101" i="36" l="1"/>
  <c r="F190" i="36"/>
  <c r="G100" i="36"/>
  <c r="I197" i="36"/>
  <c r="H233" i="36"/>
  <c r="G192" i="36"/>
  <c r="F198" i="36"/>
  <c r="F92" i="36"/>
  <c r="H233" i="35"/>
  <c r="I197" i="35"/>
  <c r="K6" i="35"/>
  <c r="F190" i="35"/>
  <c r="G100" i="35"/>
  <c r="H113" i="35"/>
  <c r="J101" i="35"/>
  <c r="G192" i="35"/>
  <c r="F198" i="35"/>
  <c r="S82" i="34"/>
  <c r="M82" i="34"/>
  <c r="L82" i="34"/>
  <c r="L7" i="34"/>
  <c r="G82" i="34"/>
  <c r="V212" i="34"/>
  <c r="AH81" i="34"/>
  <c r="AI81" i="34"/>
  <c r="F233" i="34"/>
  <c r="G197" i="34"/>
  <c r="AF212" i="34"/>
  <c r="N7" i="34"/>
  <c r="T212" i="34"/>
  <c r="B7" i="34"/>
  <c r="B82" i="34"/>
  <c r="E198" i="34"/>
  <c r="F192" i="34"/>
  <c r="X212" i="34"/>
  <c r="C207" i="34"/>
  <c r="B207" i="34"/>
  <c r="F7" i="34"/>
  <c r="F82" i="34"/>
  <c r="AQ212" i="34"/>
  <c r="Y7" i="34"/>
  <c r="AI212" i="34"/>
  <c r="Q7" i="34"/>
  <c r="N82" i="34"/>
  <c r="D190" i="34"/>
  <c r="E100" i="34"/>
  <c r="J101" i="34"/>
  <c r="AA212" i="34"/>
  <c r="I7" i="34"/>
  <c r="J36" i="33"/>
  <c r="AM5" i="33"/>
  <c r="AM6" i="33"/>
  <c r="AM7" i="33"/>
  <c r="AM8" i="33"/>
  <c r="AM9" i="33"/>
  <c r="AM4" i="33"/>
  <c r="I36" i="33"/>
  <c r="H36" i="33"/>
  <c r="G55" i="33"/>
  <c r="G36" i="33"/>
  <c r="F36" i="33"/>
  <c r="E36" i="33"/>
  <c r="AH98" i="33"/>
  <c r="AI98" i="33" s="1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P235" i="33"/>
  <c r="O235" i="33"/>
  <c r="N235" i="33"/>
  <c r="M235" i="33"/>
  <c r="L235" i="33"/>
  <c r="K235" i="33"/>
  <c r="J235" i="33"/>
  <c r="I235" i="33"/>
  <c r="H235" i="33"/>
  <c r="G235" i="33"/>
  <c r="F235" i="33"/>
  <c r="E235" i="33"/>
  <c r="D235" i="33"/>
  <c r="C235" i="33"/>
  <c r="B235" i="33"/>
  <c r="A235" i="33"/>
  <c r="AF234" i="33"/>
  <c r="AE234" i="33"/>
  <c r="AD234" i="33"/>
  <c r="AC234" i="33"/>
  <c r="AB234" i="33"/>
  <c r="AA234" i="33"/>
  <c r="Z234" i="33"/>
  <c r="Y234" i="33"/>
  <c r="X234" i="33"/>
  <c r="W234" i="33"/>
  <c r="V234" i="33"/>
  <c r="U234" i="33"/>
  <c r="T234" i="33"/>
  <c r="S234" i="33"/>
  <c r="R234" i="33"/>
  <c r="Q234" i="33"/>
  <c r="P234" i="33"/>
  <c r="O234" i="33"/>
  <c r="N234" i="33"/>
  <c r="M234" i="33"/>
  <c r="L234" i="33"/>
  <c r="K234" i="33"/>
  <c r="J234" i="33"/>
  <c r="I234" i="33"/>
  <c r="H234" i="33"/>
  <c r="G234" i="33"/>
  <c r="F234" i="33"/>
  <c r="E234" i="33"/>
  <c r="D234" i="33"/>
  <c r="C234" i="33"/>
  <c r="B234" i="33"/>
  <c r="A234" i="33"/>
  <c r="B233" i="33"/>
  <c r="S208" i="33"/>
  <c r="AG198" i="33"/>
  <c r="B198" i="33"/>
  <c r="C197" i="33"/>
  <c r="C196" i="33"/>
  <c r="D196" i="33" s="1"/>
  <c r="E196" i="33" s="1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C195" i="33"/>
  <c r="D195" i="33" s="1"/>
  <c r="E195" i="33" s="1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T194" i="33"/>
  <c r="U194" i="33" s="1"/>
  <c r="V194" i="33" s="1"/>
  <c r="W194" i="33" s="1"/>
  <c r="X194" i="33" s="1"/>
  <c r="Y194" i="33" s="1"/>
  <c r="Z194" i="33" s="1"/>
  <c r="AA194" i="33" s="1"/>
  <c r="AB194" i="33" s="1"/>
  <c r="AC194" i="33" s="1"/>
  <c r="AD194" i="33" s="1"/>
  <c r="AE194" i="33" s="1"/>
  <c r="AF194" i="33" s="1"/>
  <c r="E194" i="33"/>
  <c r="F194" i="33" s="1"/>
  <c r="G194" i="33" s="1"/>
  <c r="H194" i="33" s="1"/>
  <c r="I194" i="33" s="1"/>
  <c r="J194" i="33" s="1"/>
  <c r="K194" i="33" s="1"/>
  <c r="L194" i="33" s="1"/>
  <c r="M194" i="33" s="1"/>
  <c r="N194" i="33" s="1"/>
  <c r="O194" i="33" s="1"/>
  <c r="P194" i="33" s="1"/>
  <c r="Q194" i="33" s="1"/>
  <c r="R194" i="33" s="1"/>
  <c r="S194" i="33" s="1"/>
  <c r="D194" i="33"/>
  <c r="C194" i="33"/>
  <c r="O193" i="33"/>
  <c r="P193" i="33" s="1"/>
  <c r="Q193" i="33" s="1"/>
  <c r="R193" i="33" s="1"/>
  <c r="S193" i="33" s="1"/>
  <c r="T193" i="33" s="1"/>
  <c r="U193" i="33" s="1"/>
  <c r="V193" i="33" s="1"/>
  <c r="W193" i="33" s="1"/>
  <c r="X193" i="33" s="1"/>
  <c r="Y193" i="33" s="1"/>
  <c r="Z193" i="33" s="1"/>
  <c r="AA193" i="33" s="1"/>
  <c r="AB193" i="33" s="1"/>
  <c r="AC193" i="33" s="1"/>
  <c r="AD193" i="33" s="1"/>
  <c r="AE193" i="33" s="1"/>
  <c r="AF193" i="33" s="1"/>
  <c r="E193" i="33"/>
  <c r="F193" i="33" s="1"/>
  <c r="G193" i="33" s="1"/>
  <c r="H193" i="33" s="1"/>
  <c r="I193" i="33" s="1"/>
  <c r="J193" i="33" s="1"/>
  <c r="K193" i="33" s="1"/>
  <c r="L193" i="33" s="1"/>
  <c r="M193" i="33" s="1"/>
  <c r="N193" i="33" s="1"/>
  <c r="C193" i="33"/>
  <c r="D193" i="33" s="1"/>
  <c r="C192" i="33"/>
  <c r="D192" i="33" s="1"/>
  <c r="AG190" i="33"/>
  <c r="B190" i="33"/>
  <c r="C189" i="33"/>
  <c r="D189" i="33" s="1"/>
  <c r="E189" i="33" s="1"/>
  <c r="F189" i="33" s="1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H188" i="33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D188" i="33"/>
  <c r="E188" i="33" s="1"/>
  <c r="F188" i="33" s="1"/>
  <c r="G188" i="33" s="1"/>
  <c r="C188" i="33"/>
  <c r="L187" i="33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D187" i="33"/>
  <c r="E187" i="33" s="1"/>
  <c r="F187" i="33" s="1"/>
  <c r="G187" i="33" s="1"/>
  <c r="H187" i="33" s="1"/>
  <c r="I187" i="33" s="1"/>
  <c r="J187" i="33" s="1"/>
  <c r="K187" i="33" s="1"/>
  <c r="C187" i="33"/>
  <c r="P186" i="33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C186" i="33"/>
  <c r="D186" i="33" s="1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I185" i="33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C185" i="33"/>
  <c r="D185" i="33" s="1"/>
  <c r="E185" i="33" s="1"/>
  <c r="F185" i="33" s="1"/>
  <c r="G185" i="33" s="1"/>
  <c r="H185" i="33" s="1"/>
  <c r="J184" i="33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E184" i="33"/>
  <c r="F184" i="33" s="1"/>
  <c r="G184" i="33" s="1"/>
  <c r="H184" i="33" s="1"/>
  <c r="I184" i="33" s="1"/>
  <c r="D184" i="33"/>
  <c r="C184" i="33"/>
  <c r="E183" i="33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C183" i="33"/>
  <c r="D183" i="33" s="1"/>
  <c r="H182" i="33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C182" i="33"/>
  <c r="D182" i="33" s="1"/>
  <c r="E182" i="33" s="1"/>
  <c r="F182" i="33" s="1"/>
  <c r="G182" i="33" s="1"/>
  <c r="D181" i="33"/>
  <c r="E181" i="33" s="1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C181" i="33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C180" i="33"/>
  <c r="H179" i="33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G179" i="33"/>
  <c r="C179" i="33"/>
  <c r="D179" i="33" s="1"/>
  <c r="E179" i="33" s="1"/>
  <c r="F179" i="33" s="1"/>
  <c r="M178" i="33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AA178" i="33" s="1"/>
  <c r="AB178" i="33" s="1"/>
  <c r="AC178" i="33" s="1"/>
  <c r="AD178" i="33" s="1"/>
  <c r="AE178" i="33" s="1"/>
  <c r="AF178" i="33" s="1"/>
  <c r="J178" i="33"/>
  <c r="K178" i="33" s="1"/>
  <c r="L178" i="33" s="1"/>
  <c r="D178" i="33"/>
  <c r="E178" i="33" s="1"/>
  <c r="F178" i="33" s="1"/>
  <c r="G178" i="33" s="1"/>
  <c r="H178" i="33" s="1"/>
  <c r="I178" i="33" s="1"/>
  <c r="C178" i="33"/>
  <c r="C177" i="33"/>
  <c r="D177" i="33" s="1"/>
  <c r="E177" i="33" s="1"/>
  <c r="F177" i="33" s="1"/>
  <c r="G177" i="33" s="1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AB175" i="33"/>
  <c r="AC175" i="33" s="1"/>
  <c r="AD175" i="33" s="1"/>
  <c r="AE175" i="33" s="1"/>
  <c r="AF175" i="33" s="1"/>
  <c r="H175" i="33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G175" i="33"/>
  <c r="C175" i="33"/>
  <c r="D175" i="33" s="1"/>
  <c r="E175" i="33" s="1"/>
  <c r="F175" i="33" s="1"/>
  <c r="E174" i="33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C174" i="33"/>
  <c r="D174" i="33" s="1"/>
  <c r="F173" i="33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D173" i="33"/>
  <c r="E173" i="33" s="1"/>
  <c r="C173" i="33"/>
  <c r="C172" i="33"/>
  <c r="D172" i="33" s="1"/>
  <c r="E172" i="33" s="1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H171" i="33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C171" i="33"/>
  <c r="D171" i="33" s="1"/>
  <c r="E171" i="33" s="1"/>
  <c r="F171" i="33" s="1"/>
  <c r="G171" i="33" s="1"/>
  <c r="AE170" i="33"/>
  <c r="AF170" i="33" s="1"/>
  <c r="D170" i="33"/>
  <c r="E170" i="33" s="1"/>
  <c r="F170" i="33" s="1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C170" i="33"/>
  <c r="E169" i="33"/>
  <c r="F169" i="33" s="1"/>
  <c r="G169" i="33" s="1"/>
  <c r="H169" i="33" s="1"/>
  <c r="I169" i="33" s="1"/>
  <c r="J169" i="33" s="1"/>
  <c r="K169" i="33" s="1"/>
  <c r="L169" i="33" s="1"/>
  <c r="M169" i="33" s="1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D169" i="33"/>
  <c r="C169" i="33"/>
  <c r="AB168" i="33"/>
  <c r="AC168" i="33" s="1"/>
  <c r="AD168" i="33" s="1"/>
  <c r="AE168" i="33" s="1"/>
  <c r="AF168" i="33" s="1"/>
  <c r="P168" i="33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C168" i="33"/>
  <c r="D168" i="33" s="1"/>
  <c r="E168" i="33" s="1"/>
  <c r="F168" i="33" s="1"/>
  <c r="G168" i="33" s="1"/>
  <c r="H168" i="33" s="1"/>
  <c r="I168" i="33" s="1"/>
  <c r="J168" i="33" s="1"/>
  <c r="K168" i="33" s="1"/>
  <c r="L168" i="33" s="1"/>
  <c r="M168" i="33" s="1"/>
  <c r="N168" i="33" s="1"/>
  <c r="O168" i="33" s="1"/>
  <c r="H166" i="33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F166" i="33"/>
  <c r="G166" i="33" s="1"/>
  <c r="E166" i="33"/>
  <c r="C166" i="33"/>
  <c r="D166" i="33" s="1"/>
  <c r="C165" i="33"/>
  <c r="D165" i="33" s="1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E164" i="33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D164" i="33"/>
  <c r="C164" i="33"/>
  <c r="D163" i="33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C163" i="33"/>
  <c r="M162" i="33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I162" i="33"/>
  <c r="J162" i="33" s="1"/>
  <c r="K162" i="33" s="1"/>
  <c r="L162" i="33" s="1"/>
  <c r="C162" i="33"/>
  <c r="D162" i="33" s="1"/>
  <c r="E162" i="33" s="1"/>
  <c r="F162" i="33" s="1"/>
  <c r="G162" i="33" s="1"/>
  <c r="H162" i="33" s="1"/>
  <c r="C161" i="33"/>
  <c r="D161" i="33" s="1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C160" i="33"/>
  <c r="D160" i="33" s="1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E159" i="33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D159" i="33"/>
  <c r="C159" i="33"/>
  <c r="W158" i="33"/>
  <c r="X158" i="33" s="1"/>
  <c r="Y158" i="33" s="1"/>
  <c r="Z158" i="33" s="1"/>
  <c r="AA158" i="33" s="1"/>
  <c r="AB158" i="33" s="1"/>
  <c r="AC158" i="33" s="1"/>
  <c r="AD158" i="33" s="1"/>
  <c r="AE158" i="33" s="1"/>
  <c r="AF158" i="33" s="1"/>
  <c r="E158" i="33"/>
  <c r="F158" i="33" s="1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C158" i="33"/>
  <c r="D158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C157" i="33"/>
  <c r="Y156" i="33"/>
  <c r="Z156" i="33" s="1"/>
  <c r="AA156" i="33" s="1"/>
  <c r="AB156" i="33" s="1"/>
  <c r="AC156" i="33" s="1"/>
  <c r="AD156" i="33" s="1"/>
  <c r="AE156" i="33" s="1"/>
  <c r="AF156" i="33" s="1"/>
  <c r="Q156" i="33"/>
  <c r="R156" i="33" s="1"/>
  <c r="S156" i="33" s="1"/>
  <c r="T156" i="33" s="1"/>
  <c r="U156" i="33" s="1"/>
  <c r="V156" i="33" s="1"/>
  <c r="W156" i="33" s="1"/>
  <c r="X156" i="33" s="1"/>
  <c r="D156" i="33"/>
  <c r="E156" i="33" s="1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C156" i="33"/>
  <c r="E155" i="33"/>
  <c r="F155" i="33" s="1"/>
  <c r="G155" i="33" s="1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D155" i="33"/>
  <c r="C155" i="33"/>
  <c r="E154" i="33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C154" i="33"/>
  <c r="D154" i="33" s="1"/>
  <c r="C152" i="33"/>
  <c r="D152" i="33" s="1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F151" i="33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D151" i="33"/>
  <c r="E151" i="33" s="1"/>
  <c r="C151" i="33"/>
  <c r="E150" i="33"/>
  <c r="F150" i="33" s="1"/>
  <c r="G150" i="33" s="1"/>
  <c r="H150" i="33" s="1"/>
  <c r="I150" i="33" s="1"/>
  <c r="J150" i="33" s="1"/>
  <c r="K150" i="33" s="1"/>
  <c r="L150" i="33" s="1"/>
  <c r="M150" i="33" s="1"/>
  <c r="N150" i="33" s="1"/>
  <c r="O150" i="33" s="1"/>
  <c r="P150" i="33" s="1"/>
  <c r="Q150" i="33" s="1"/>
  <c r="R150" i="33" s="1"/>
  <c r="S150" i="33" s="1"/>
  <c r="T150" i="33" s="1"/>
  <c r="U150" i="33" s="1"/>
  <c r="V150" i="33" s="1"/>
  <c r="W150" i="33" s="1"/>
  <c r="X150" i="33" s="1"/>
  <c r="Y150" i="33" s="1"/>
  <c r="Z150" i="33" s="1"/>
  <c r="AA150" i="33" s="1"/>
  <c r="AB150" i="33" s="1"/>
  <c r="AC150" i="33" s="1"/>
  <c r="AD150" i="33" s="1"/>
  <c r="AE150" i="33" s="1"/>
  <c r="AF150" i="33" s="1"/>
  <c r="D150" i="33"/>
  <c r="C150" i="33"/>
  <c r="J149" i="33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G149" i="33"/>
  <c r="H149" i="33" s="1"/>
  <c r="I149" i="33" s="1"/>
  <c r="E149" i="33"/>
  <c r="F149" i="33" s="1"/>
  <c r="C149" i="33"/>
  <c r="D149" i="33" s="1"/>
  <c r="AD147" i="33"/>
  <c r="AE147" i="33" s="1"/>
  <c r="AF147" i="33" s="1"/>
  <c r="AA147" i="33"/>
  <c r="AB147" i="33" s="1"/>
  <c r="AC147" i="33" s="1"/>
  <c r="K147" i="33"/>
  <c r="L147" i="33" s="1"/>
  <c r="M147" i="33" s="1"/>
  <c r="N147" i="33" s="1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E147" i="33"/>
  <c r="F147" i="33" s="1"/>
  <c r="G147" i="33" s="1"/>
  <c r="H147" i="33" s="1"/>
  <c r="I147" i="33" s="1"/>
  <c r="J147" i="33" s="1"/>
  <c r="C147" i="33"/>
  <c r="D147" i="33" s="1"/>
  <c r="D146" i="33"/>
  <c r="E146" i="33" s="1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C146" i="33"/>
  <c r="D144" i="33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C144" i="33"/>
  <c r="C143" i="33"/>
  <c r="D143" i="33" s="1"/>
  <c r="E143" i="33" s="1"/>
  <c r="F143" i="33" s="1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L142" i="33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F142" i="33"/>
  <c r="G142" i="33" s="1"/>
  <c r="H142" i="33" s="1"/>
  <c r="I142" i="33" s="1"/>
  <c r="J142" i="33" s="1"/>
  <c r="K142" i="33" s="1"/>
  <c r="D142" i="33"/>
  <c r="E142" i="33" s="1"/>
  <c r="C142" i="33"/>
  <c r="F141" i="33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D141" i="33"/>
  <c r="E141" i="33" s="1"/>
  <c r="C141" i="33"/>
  <c r="E140" i="33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D140" i="33"/>
  <c r="C140" i="33"/>
  <c r="F139" i="33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C139" i="33"/>
  <c r="D139" i="33" s="1"/>
  <c r="E139" i="33" s="1"/>
  <c r="I138" i="33"/>
  <c r="J138" i="33" s="1"/>
  <c r="K138" i="33" s="1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D138" i="33"/>
  <c r="E138" i="33" s="1"/>
  <c r="F138" i="33" s="1"/>
  <c r="G138" i="33" s="1"/>
  <c r="H138" i="33" s="1"/>
  <c r="C138" i="33"/>
  <c r="L136" i="33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J136" i="33"/>
  <c r="K136" i="33" s="1"/>
  <c r="D136" i="33"/>
  <c r="E136" i="33" s="1"/>
  <c r="F136" i="33" s="1"/>
  <c r="G136" i="33" s="1"/>
  <c r="H136" i="33" s="1"/>
  <c r="I136" i="33" s="1"/>
  <c r="C136" i="33"/>
  <c r="D135" i="33"/>
  <c r="E135" i="33" s="1"/>
  <c r="F135" i="33" s="1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C135" i="33"/>
  <c r="S134" i="33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F134" i="33"/>
  <c r="G134" i="33" s="1"/>
  <c r="H134" i="33" s="1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E134" i="33"/>
  <c r="C134" i="33"/>
  <c r="D134" i="33" s="1"/>
  <c r="I133" i="33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D133" i="33"/>
  <c r="E133" i="33" s="1"/>
  <c r="F133" i="33" s="1"/>
  <c r="G133" i="33" s="1"/>
  <c r="H133" i="33" s="1"/>
  <c r="C133" i="33"/>
  <c r="Z132" i="33"/>
  <c r="AA132" i="33" s="1"/>
  <c r="AB132" i="33" s="1"/>
  <c r="AC132" i="33" s="1"/>
  <c r="AD132" i="33" s="1"/>
  <c r="AE132" i="33" s="1"/>
  <c r="AF132" i="33" s="1"/>
  <c r="D132" i="33"/>
  <c r="E132" i="33" s="1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C132" i="33"/>
  <c r="H131" i="33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G131" i="33"/>
  <c r="E131" i="33"/>
  <c r="F131" i="33" s="1"/>
  <c r="D131" i="33"/>
  <c r="C131" i="33"/>
  <c r="P130" i="33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G130" i="33"/>
  <c r="H130" i="33" s="1"/>
  <c r="I130" i="33" s="1"/>
  <c r="J130" i="33" s="1"/>
  <c r="K130" i="33" s="1"/>
  <c r="L130" i="33" s="1"/>
  <c r="M130" i="33" s="1"/>
  <c r="N130" i="33" s="1"/>
  <c r="O130" i="33" s="1"/>
  <c r="F130" i="33"/>
  <c r="E130" i="33"/>
  <c r="C130" i="33"/>
  <c r="D130" i="33" s="1"/>
  <c r="Q129" i="33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D129" i="33"/>
  <c r="E129" i="33" s="1"/>
  <c r="F129" i="33" s="1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C129" i="33"/>
  <c r="E127" i="33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D127" i="33"/>
  <c r="C127" i="33"/>
  <c r="C126" i="33"/>
  <c r="D126" i="33" s="1"/>
  <c r="E126" i="33" s="1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J125" i="33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I125" i="33"/>
  <c r="C125" i="33"/>
  <c r="D125" i="33" s="1"/>
  <c r="E125" i="33" s="1"/>
  <c r="F125" i="33" s="1"/>
  <c r="G125" i="33" s="1"/>
  <c r="H125" i="33" s="1"/>
  <c r="H124" i="33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G124" i="33"/>
  <c r="F124" i="33"/>
  <c r="E124" i="33"/>
  <c r="D124" i="33"/>
  <c r="C124" i="33"/>
  <c r="F123" i="33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E123" i="33"/>
  <c r="D123" i="33"/>
  <c r="C123" i="33"/>
  <c r="C122" i="33"/>
  <c r="D122" i="33" s="1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C121" i="33"/>
  <c r="D121" i="33" s="1"/>
  <c r="E121" i="33" s="1"/>
  <c r="F121" i="33" s="1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G120" i="33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F120" i="33"/>
  <c r="E120" i="33"/>
  <c r="D120" i="33"/>
  <c r="C120" i="33"/>
  <c r="E119" i="33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D119" i="33"/>
  <c r="C119" i="33"/>
  <c r="C118" i="33"/>
  <c r="D118" i="33" s="1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C117" i="33"/>
  <c r="D117" i="33" s="1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H116" i="33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F116" i="33"/>
  <c r="G116" i="33" s="1"/>
  <c r="E116" i="33"/>
  <c r="D116" i="33"/>
  <c r="C116" i="33"/>
  <c r="F115" i="33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E115" i="33"/>
  <c r="D115" i="33"/>
  <c r="C115" i="33"/>
  <c r="D114" i="33"/>
  <c r="E114" i="33" s="1"/>
  <c r="F114" i="33" s="1"/>
  <c r="G114" i="33" s="1"/>
  <c r="H114" i="33" s="1"/>
  <c r="I114" i="33" s="1"/>
  <c r="J114" i="33" s="1"/>
  <c r="K114" i="33" s="1"/>
  <c r="L114" i="33" s="1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C114" i="33"/>
  <c r="G113" i="33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C113" i="33"/>
  <c r="D113" i="33" s="1"/>
  <c r="E113" i="33" s="1"/>
  <c r="F113" i="33" s="1"/>
  <c r="M112" i="33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J112" i="33"/>
  <c r="K112" i="33" s="1"/>
  <c r="L112" i="33" s="1"/>
  <c r="D112" i="33"/>
  <c r="E112" i="33" s="1"/>
  <c r="F112" i="33" s="1"/>
  <c r="G112" i="33" s="1"/>
  <c r="H112" i="33" s="1"/>
  <c r="C112" i="33"/>
  <c r="D111" i="33"/>
  <c r="E111" i="33" s="1"/>
  <c r="F111" i="33" s="1"/>
  <c r="G111" i="33" s="1"/>
  <c r="H111" i="33" s="1"/>
  <c r="I111" i="33" s="1"/>
  <c r="J111" i="33" s="1"/>
  <c r="K111" i="33" s="1"/>
  <c r="L111" i="33" s="1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C111" i="33"/>
  <c r="D110" i="33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C110" i="33"/>
  <c r="C108" i="33"/>
  <c r="D108" i="33" s="1"/>
  <c r="E108" i="33" s="1"/>
  <c r="F108" i="33" s="1"/>
  <c r="G108" i="33" s="1"/>
  <c r="H108" i="33" s="1"/>
  <c r="I108" i="33" s="1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E107" i="33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C107" i="33"/>
  <c r="D107" i="33" s="1"/>
  <c r="C105" i="33"/>
  <c r="D105" i="33" s="1"/>
  <c r="E105" i="33" s="1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C104" i="33"/>
  <c r="D104" i="33" s="1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G103" i="33"/>
  <c r="H103" i="33" s="1"/>
  <c r="I103" i="33" s="1"/>
  <c r="J103" i="33" s="1"/>
  <c r="K103" i="33" s="1"/>
  <c r="L103" i="33" s="1"/>
  <c r="M103" i="33" s="1"/>
  <c r="N103" i="33" s="1"/>
  <c r="O103" i="33" s="1"/>
  <c r="P103" i="33" s="1"/>
  <c r="Q103" i="33" s="1"/>
  <c r="R103" i="33" s="1"/>
  <c r="S103" i="33" s="1"/>
  <c r="T103" i="33" s="1"/>
  <c r="U103" i="33" s="1"/>
  <c r="V103" i="33" s="1"/>
  <c r="W103" i="33" s="1"/>
  <c r="X103" i="33" s="1"/>
  <c r="Y103" i="33" s="1"/>
  <c r="Z103" i="33" s="1"/>
  <c r="AA103" i="33" s="1"/>
  <c r="AB103" i="33" s="1"/>
  <c r="AC103" i="33" s="1"/>
  <c r="AD103" i="33" s="1"/>
  <c r="AE103" i="33" s="1"/>
  <c r="AF103" i="33" s="1"/>
  <c r="C103" i="33"/>
  <c r="D103" i="33" s="1"/>
  <c r="E103" i="33" s="1"/>
  <c r="F103" i="33" s="1"/>
  <c r="C102" i="33"/>
  <c r="D102" i="33" s="1"/>
  <c r="E102" i="33" s="1"/>
  <c r="F102" i="33" s="1"/>
  <c r="G102" i="33" s="1"/>
  <c r="H102" i="33" s="1"/>
  <c r="I102" i="33" s="1"/>
  <c r="J102" i="33" s="1"/>
  <c r="K102" i="33" s="1"/>
  <c r="L102" i="33" s="1"/>
  <c r="M102" i="33" s="1"/>
  <c r="N102" i="33" s="1"/>
  <c r="O102" i="33" s="1"/>
  <c r="P102" i="33" s="1"/>
  <c r="Q102" i="33" s="1"/>
  <c r="R102" i="33" s="1"/>
  <c r="S102" i="33" s="1"/>
  <c r="T102" i="33" s="1"/>
  <c r="U102" i="33" s="1"/>
  <c r="V102" i="33" s="1"/>
  <c r="W102" i="33" s="1"/>
  <c r="X102" i="33" s="1"/>
  <c r="Y102" i="33" s="1"/>
  <c r="Z102" i="33" s="1"/>
  <c r="AA102" i="33" s="1"/>
  <c r="AB102" i="33" s="1"/>
  <c r="AC102" i="33" s="1"/>
  <c r="AD102" i="33" s="1"/>
  <c r="AE102" i="33" s="1"/>
  <c r="AF102" i="33" s="1"/>
  <c r="D101" i="33"/>
  <c r="E101" i="33" s="1"/>
  <c r="C101" i="33"/>
  <c r="C100" i="33"/>
  <c r="AH97" i="33"/>
  <c r="AI97" i="33" s="1"/>
  <c r="AH96" i="33"/>
  <c r="AI96" i="33" s="1"/>
  <c r="AH95" i="33"/>
  <c r="AI95" i="33" s="1"/>
  <c r="AH94" i="33"/>
  <c r="AI94" i="33" s="1"/>
  <c r="AH93" i="33"/>
  <c r="AI93" i="33" s="1"/>
  <c r="B92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G81" i="33"/>
  <c r="AI80" i="33"/>
  <c r="AH80" i="33"/>
  <c r="AF79" i="33"/>
  <c r="AE79" i="33"/>
  <c r="AD79" i="33"/>
  <c r="AC79" i="33"/>
  <c r="AB79" i="33"/>
  <c r="AA79" i="33"/>
  <c r="Z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B79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F78" i="33"/>
  <c r="E78" i="33"/>
  <c r="D78" i="33"/>
  <c r="C78" i="33"/>
  <c r="B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F76" i="33"/>
  <c r="AE76" i="33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P81" i="33" s="1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AF75" i="33"/>
  <c r="AE75" i="33"/>
  <c r="AE81" i="33" s="1"/>
  <c r="AD75" i="33"/>
  <c r="AC75" i="33"/>
  <c r="AB75" i="33"/>
  <c r="AA75" i="33"/>
  <c r="Z75" i="33"/>
  <c r="Y75" i="33"/>
  <c r="Y81" i="33" s="1"/>
  <c r="X75" i="33"/>
  <c r="W75" i="33"/>
  <c r="V75" i="33"/>
  <c r="U75" i="33"/>
  <c r="U81" i="33" s="1"/>
  <c r="T75" i="33"/>
  <c r="T81" i="33" s="1"/>
  <c r="S75" i="33"/>
  <c r="S81" i="33" s="1"/>
  <c r="R75" i="33"/>
  <c r="Q75" i="33"/>
  <c r="P75" i="33"/>
  <c r="O75" i="33"/>
  <c r="O81" i="33" s="1"/>
  <c r="N75" i="33"/>
  <c r="M75" i="33"/>
  <c r="L75" i="33"/>
  <c r="K75" i="33"/>
  <c r="J75" i="33"/>
  <c r="I75" i="33"/>
  <c r="H75" i="33"/>
  <c r="G75" i="33"/>
  <c r="G81" i="33" s="1"/>
  <c r="F75" i="33"/>
  <c r="E75" i="33"/>
  <c r="D75" i="33"/>
  <c r="C75" i="33"/>
  <c r="B75" i="33"/>
  <c r="AI73" i="33"/>
  <c r="AH73" i="33"/>
  <c r="AG72" i="33"/>
  <c r="AG71" i="33"/>
  <c r="AF71" i="33"/>
  <c r="AE71" i="33"/>
  <c r="AD71" i="33"/>
  <c r="AC71" i="33"/>
  <c r="AB71" i="33"/>
  <c r="AA71" i="33"/>
  <c r="Z71" i="33"/>
  <c r="Y71" i="33"/>
  <c r="X71" i="33"/>
  <c r="W71" i="33"/>
  <c r="V71" i="33"/>
  <c r="U71" i="33"/>
  <c r="T71" i="33"/>
  <c r="S71" i="33"/>
  <c r="R71" i="33"/>
  <c r="P71" i="33"/>
  <c r="O71" i="33"/>
  <c r="N71" i="33"/>
  <c r="M71" i="33"/>
  <c r="L71" i="33"/>
  <c r="K71" i="33"/>
  <c r="J71" i="33"/>
  <c r="I71" i="33"/>
  <c r="H71" i="33"/>
  <c r="G71" i="33"/>
  <c r="F71" i="33"/>
  <c r="E71" i="33"/>
  <c r="D71" i="33"/>
  <c r="C71" i="33"/>
  <c r="B71" i="33"/>
  <c r="AI70" i="33"/>
  <c r="AH70" i="33"/>
  <c r="AI69" i="33"/>
  <c r="AH69" i="33"/>
  <c r="AI68" i="33"/>
  <c r="AH68" i="33"/>
  <c r="AG67" i="33"/>
  <c r="AF67" i="33"/>
  <c r="AE67" i="33"/>
  <c r="AE5" i="33" s="1"/>
  <c r="AD67" i="33"/>
  <c r="AC67" i="33"/>
  <c r="AC5" i="33" s="1"/>
  <c r="AB67" i="33"/>
  <c r="AA67" i="33"/>
  <c r="Z67" i="33"/>
  <c r="Y67" i="33"/>
  <c r="Y5" i="33" s="1"/>
  <c r="X67" i="33"/>
  <c r="W67" i="33"/>
  <c r="V67" i="33"/>
  <c r="V5" i="33" s="1"/>
  <c r="U67" i="33"/>
  <c r="T67" i="33"/>
  <c r="S67" i="33"/>
  <c r="R67" i="33"/>
  <c r="Q5" i="33"/>
  <c r="P67" i="33"/>
  <c r="O67" i="33"/>
  <c r="N67" i="33"/>
  <c r="N5" i="33" s="1"/>
  <c r="M67" i="33"/>
  <c r="L67" i="33"/>
  <c r="K67" i="33"/>
  <c r="J67" i="33"/>
  <c r="J5" i="33" s="1"/>
  <c r="I67" i="33"/>
  <c r="H67" i="33"/>
  <c r="G67" i="33"/>
  <c r="G5" i="33" s="1"/>
  <c r="F67" i="33"/>
  <c r="E67" i="33"/>
  <c r="D67" i="33"/>
  <c r="C67" i="33"/>
  <c r="B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G55" i="33"/>
  <c r="AF55" i="33"/>
  <c r="AE55" i="33"/>
  <c r="AD55" i="33"/>
  <c r="AC55" i="33"/>
  <c r="AB55" i="33"/>
  <c r="AA55" i="33"/>
  <c r="Z55" i="33"/>
  <c r="Y55" i="33"/>
  <c r="X55" i="33"/>
  <c r="W55" i="33"/>
  <c r="V55" i="33"/>
  <c r="U55" i="33"/>
  <c r="T55" i="33"/>
  <c r="S55" i="33"/>
  <c r="R55" i="33"/>
  <c r="P55" i="33"/>
  <c r="O55" i="33"/>
  <c r="N55" i="33"/>
  <c r="M55" i="33"/>
  <c r="L55" i="33"/>
  <c r="K55" i="33"/>
  <c r="J55" i="33"/>
  <c r="I55" i="33"/>
  <c r="H55" i="33"/>
  <c r="F55" i="33"/>
  <c r="E55" i="33"/>
  <c r="D55" i="33"/>
  <c r="C55" i="33"/>
  <c r="B55" i="33"/>
  <c r="AI54" i="33"/>
  <c r="AH54" i="33"/>
  <c r="AI53" i="33"/>
  <c r="AH53" i="33"/>
  <c r="AI52" i="33"/>
  <c r="AH52" i="33"/>
  <c r="AG51" i="33"/>
  <c r="Y51" i="33"/>
  <c r="S51" i="33"/>
  <c r="R51" i="33"/>
  <c r="P51" i="33"/>
  <c r="O51" i="33"/>
  <c r="N51" i="33"/>
  <c r="M51" i="33"/>
  <c r="L51" i="33"/>
  <c r="K51" i="33"/>
  <c r="J51" i="33"/>
  <c r="I51" i="33"/>
  <c r="H51" i="33"/>
  <c r="G51" i="33"/>
  <c r="F51" i="33"/>
  <c r="E51" i="33"/>
  <c r="D51" i="33"/>
  <c r="C51" i="33"/>
  <c r="B51" i="33"/>
  <c r="AG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G37" i="33"/>
  <c r="AG2" i="33" s="1"/>
  <c r="AG6" i="33" s="1"/>
  <c r="AF37" i="33"/>
  <c r="AE37" i="33"/>
  <c r="AD37" i="33"/>
  <c r="AC37" i="33"/>
  <c r="AB37" i="33"/>
  <c r="AA37" i="33"/>
  <c r="Z37" i="33"/>
  <c r="Y37" i="33"/>
  <c r="X37" i="33"/>
  <c r="V37" i="33"/>
  <c r="U37" i="33"/>
  <c r="T37" i="33"/>
  <c r="S37" i="33"/>
  <c r="R37" i="33"/>
  <c r="R72" i="33" s="1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D5" i="33"/>
  <c r="Z5" i="33"/>
  <c r="W5" i="33"/>
  <c r="U5" i="33"/>
  <c r="R5" i="33"/>
  <c r="O5" i="33"/>
  <c r="I5" i="33"/>
  <c r="F5" i="33"/>
  <c r="E5" i="33"/>
  <c r="B5" i="33"/>
  <c r="AG4" i="33"/>
  <c r="K4" i="33"/>
  <c r="B4" i="33"/>
  <c r="AG3" i="33"/>
  <c r="E4" i="33"/>
  <c r="H192" i="36" l="1"/>
  <c r="G198" i="36"/>
  <c r="G92" i="36"/>
  <c r="G190" i="36"/>
  <c r="H100" i="36"/>
  <c r="J197" i="36"/>
  <c r="I233" i="36"/>
  <c r="K101" i="36"/>
  <c r="G190" i="35"/>
  <c r="H100" i="35"/>
  <c r="H192" i="35"/>
  <c r="G198" i="35"/>
  <c r="K101" i="35"/>
  <c r="I233" i="35"/>
  <c r="J197" i="35"/>
  <c r="G92" i="35"/>
  <c r="I113" i="35"/>
  <c r="H92" i="35"/>
  <c r="G192" i="34"/>
  <c r="F198" i="34"/>
  <c r="F92" i="34"/>
  <c r="G233" i="34"/>
  <c r="H197" i="34"/>
  <c r="K101" i="34"/>
  <c r="E190" i="34"/>
  <c r="F100" i="34"/>
  <c r="K6" i="34"/>
  <c r="AF81" i="33"/>
  <c r="AC81" i="33"/>
  <c r="AB81" i="33"/>
  <c r="AA81" i="33"/>
  <c r="Y74" i="33"/>
  <c r="AQ212" i="33" s="1"/>
  <c r="Y72" i="33"/>
  <c r="Y82" i="33" s="1"/>
  <c r="X81" i="33"/>
  <c r="W81" i="33"/>
  <c r="S72" i="33"/>
  <c r="Q81" i="33"/>
  <c r="Q74" i="33"/>
  <c r="AI212" i="33" s="1"/>
  <c r="P72" i="33"/>
  <c r="O74" i="33"/>
  <c r="O72" i="33"/>
  <c r="O82" i="33" s="1"/>
  <c r="M72" i="33"/>
  <c r="M5" i="33"/>
  <c r="M81" i="33"/>
  <c r="N74" i="33"/>
  <c r="AF212" i="33" s="1"/>
  <c r="N72" i="33"/>
  <c r="L81" i="33"/>
  <c r="L72" i="33"/>
  <c r="L74" i="33"/>
  <c r="K81" i="33"/>
  <c r="K72" i="33"/>
  <c r="AH76" i="33"/>
  <c r="J72" i="33"/>
  <c r="AK12" i="33"/>
  <c r="I81" i="33"/>
  <c r="I72" i="33"/>
  <c r="H74" i="33"/>
  <c r="H81" i="33"/>
  <c r="Z212" i="33"/>
  <c r="H7" i="33"/>
  <c r="H72" i="33"/>
  <c r="H82" i="33" s="1"/>
  <c r="G74" i="33"/>
  <c r="Y212" i="33" s="1"/>
  <c r="G72" i="33"/>
  <c r="G82" i="33" s="1"/>
  <c r="F72" i="33"/>
  <c r="F74" i="33"/>
  <c r="X212" i="33" s="1"/>
  <c r="AI75" i="33"/>
  <c r="E81" i="33"/>
  <c r="AI79" i="33"/>
  <c r="E72" i="33"/>
  <c r="E74" i="33"/>
  <c r="E7" i="33" s="1"/>
  <c r="D81" i="33"/>
  <c r="AH78" i="33"/>
  <c r="AH79" i="33"/>
  <c r="AH55" i="33"/>
  <c r="D72" i="33"/>
  <c r="AH67" i="33"/>
  <c r="AI76" i="33"/>
  <c r="AI37" i="33"/>
  <c r="AI67" i="33"/>
  <c r="B72" i="33"/>
  <c r="B74" i="33" s="1"/>
  <c r="B7" i="33" s="1"/>
  <c r="AI55" i="33"/>
  <c r="H4" i="33"/>
  <c r="AD212" i="33"/>
  <c r="L7" i="33"/>
  <c r="Y7" i="33"/>
  <c r="M82" i="33"/>
  <c r="AG212" i="33"/>
  <c r="O7" i="33"/>
  <c r="AG82" i="33"/>
  <c r="K74" i="33"/>
  <c r="K82" i="33" s="1"/>
  <c r="C5" i="33"/>
  <c r="K5" i="33"/>
  <c r="S5" i="33"/>
  <c r="AA5" i="33"/>
  <c r="Q7" i="33"/>
  <c r="C72" i="33"/>
  <c r="I74" i="33"/>
  <c r="AG74" i="33"/>
  <c r="AI78" i="33"/>
  <c r="D5" i="33"/>
  <c r="L5" i="33"/>
  <c r="T5" i="33"/>
  <c r="AB5" i="33"/>
  <c r="B81" i="33"/>
  <c r="AH75" i="33"/>
  <c r="J81" i="33"/>
  <c r="R81" i="33"/>
  <c r="Z81" i="33"/>
  <c r="AI77" i="33"/>
  <c r="AH77" i="33"/>
  <c r="C81" i="33"/>
  <c r="S209" i="33"/>
  <c r="D209" i="33"/>
  <c r="M74" i="33"/>
  <c r="D74" i="33"/>
  <c r="F101" i="33"/>
  <c r="C74" i="33"/>
  <c r="AI71" i="33"/>
  <c r="L82" i="33"/>
  <c r="C92" i="33"/>
  <c r="S74" i="33"/>
  <c r="T212" i="33"/>
  <c r="AH37" i="33"/>
  <c r="H5" i="33"/>
  <c r="P5" i="33"/>
  <c r="X5" i="33"/>
  <c r="AF5" i="33"/>
  <c r="B82" i="33"/>
  <c r="J74" i="33"/>
  <c r="R74" i="33"/>
  <c r="AH71" i="33"/>
  <c r="P74" i="33"/>
  <c r="P82" i="33" s="1"/>
  <c r="F81" i="33"/>
  <c r="F82" i="33" s="1"/>
  <c r="N81" i="33"/>
  <c r="V81" i="33"/>
  <c r="AD81" i="33"/>
  <c r="D92" i="33"/>
  <c r="C190" i="33"/>
  <c r="D100" i="33"/>
  <c r="C233" i="33"/>
  <c r="D197" i="33"/>
  <c r="E192" i="33"/>
  <c r="D198" i="33"/>
  <c r="C198" i="33"/>
  <c r="K197" i="36" l="1"/>
  <c r="J233" i="36"/>
  <c r="H190" i="36"/>
  <c r="I100" i="36"/>
  <c r="L101" i="36"/>
  <c r="H198" i="36"/>
  <c r="I192" i="36"/>
  <c r="H92" i="36"/>
  <c r="L101" i="35"/>
  <c r="J233" i="35"/>
  <c r="K197" i="35"/>
  <c r="I192" i="35"/>
  <c r="H198" i="35"/>
  <c r="J113" i="35"/>
  <c r="I92" i="35"/>
  <c r="H190" i="35"/>
  <c r="I100" i="35"/>
  <c r="I197" i="34"/>
  <c r="H233" i="34"/>
  <c r="L101" i="34"/>
  <c r="F190" i="34"/>
  <c r="G100" i="34"/>
  <c r="H192" i="34"/>
  <c r="G198" i="34"/>
  <c r="G92" i="34"/>
  <c r="Q82" i="33"/>
  <c r="N82" i="33"/>
  <c r="N7" i="33"/>
  <c r="C207" i="33"/>
  <c r="I82" i="33"/>
  <c r="G7" i="33"/>
  <c r="F7" i="33"/>
  <c r="B207" i="33"/>
  <c r="E82" i="33"/>
  <c r="W212" i="33"/>
  <c r="D82" i="33"/>
  <c r="AJ212" i="33"/>
  <c r="R7" i="33"/>
  <c r="R82" i="33"/>
  <c r="V212" i="33"/>
  <c r="D7" i="33"/>
  <c r="AH81" i="33"/>
  <c r="AI81" i="33"/>
  <c r="AB212" i="33"/>
  <c r="J7" i="33"/>
  <c r="F192" i="33"/>
  <c r="D233" i="33"/>
  <c r="E197" i="33"/>
  <c r="J82" i="33"/>
  <c r="U212" i="33"/>
  <c r="C7" i="33"/>
  <c r="C82" i="33"/>
  <c r="AA212" i="33"/>
  <c r="I7" i="33"/>
  <c r="AH212" i="33"/>
  <c r="P7" i="33"/>
  <c r="D190" i="33"/>
  <c r="E100" i="33"/>
  <c r="AK212" i="33"/>
  <c r="S7" i="33"/>
  <c r="S82" i="33"/>
  <c r="E92" i="33"/>
  <c r="AE212" i="33"/>
  <c r="M7" i="33"/>
  <c r="AC212" i="33"/>
  <c r="K7" i="33"/>
  <c r="G101" i="33"/>
  <c r="I190" i="36" l="1"/>
  <c r="J100" i="36"/>
  <c r="M101" i="36"/>
  <c r="I198" i="36"/>
  <c r="J192" i="36"/>
  <c r="I92" i="36"/>
  <c r="L197" i="36"/>
  <c r="K233" i="36"/>
  <c r="J192" i="35"/>
  <c r="I198" i="35"/>
  <c r="L197" i="35"/>
  <c r="K233" i="35"/>
  <c r="K113" i="35"/>
  <c r="J92" i="35"/>
  <c r="I190" i="35"/>
  <c r="J100" i="35"/>
  <c r="M101" i="35"/>
  <c r="M101" i="34"/>
  <c r="G190" i="34"/>
  <c r="H100" i="34"/>
  <c r="I192" i="34"/>
  <c r="H198" i="34"/>
  <c r="H92" i="34"/>
  <c r="J197" i="34"/>
  <c r="I233" i="34"/>
  <c r="K6" i="33"/>
  <c r="G192" i="33"/>
  <c r="F198" i="33"/>
  <c r="E190" i="33"/>
  <c r="F100" i="33"/>
  <c r="E233" i="33"/>
  <c r="F197" i="33"/>
  <c r="H101" i="33"/>
  <c r="F92" i="33"/>
  <c r="E198" i="33"/>
  <c r="M197" i="36" l="1"/>
  <c r="L233" i="36"/>
  <c r="J198" i="36"/>
  <c r="K192" i="36"/>
  <c r="J92" i="36"/>
  <c r="N101" i="36"/>
  <c r="J190" i="36"/>
  <c r="K100" i="36"/>
  <c r="L233" i="35"/>
  <c r="M197" i="35"/>
  <c r="N101" i="35"/>
  <c r="L113" i="35"/>
  <c r="K92" i="35"/>
  <c r="J190" i="35"/>
  <c r="K100" i="35"/>
  <c r="J198" i="35"/>
  <c r="K192" i="35"/>
  <c r="N101" i="34"/>
  <c r="H190" i="34"/>
  <c r="I100" i="34"/>
  <c r="K197" i="34"/>
  <c r="J233" i="34"/>
  <c r="J192" i="34"/>
  <c r="I198" i="34"/>
  <c r="I92" i="34"/>
  <c r="H192" i="33"/>
  <c r="I101" i="33"/>
  <c r="F233" i="33"/>
  <c r="G197" i="33"/>
  <c r="F190" i="33"/>
  <c r="G100" i="33"/>
  <c r="Z94" i="31"/>
  <c r="AA36" i="31"/>
  <c r="Z36" i="31"/>
  <c r="Y36" i="31"/>
  <c r="W67" i="31"/>
  <c r="W55" i="31"/>
  <c r="X55" i="31"/>
  <c r="W51" i="31"/>
  <c r="W36" i="31"/>
  <c r="W79" i="31"/>
  <c r="W78" i="31"/>
  <c r="W77" i="31"/>
  <c r="W81" i="31" s="1"/>
  <c r="W82" i="31" s="1"/>
  <c r="W76" i="31"/>
  <c r="W71" i="31"/>
  <c r="W37" i="31"/>
  <c r="X94" i="31"/>
  <c r="X36" i="31"/>
  <c r="W94" i="31"/>
  <c r="V94" i="31"/>
  <c r="V36" i="31"/>
  <c r="U94" i="31"/>
  <c r="U36" i="31"/>
  <c r="S94" i="31"/>
  <c r="O101" i="36" l="1"/>
  <c r="K198" i="36"/>
  <c r="L192" i="36"/>
  <c r="K92" i="36"/>
  <c r="K190" i="36"/>
  <c r="L100" i="36"/>
  <c r="M233" i="36"/>
  <c r="N197" i="36"/>
  <c r="M113" i="35"/>
  <c r="K190" i="35"/>
  <c r="L100" i="35"/>
  <c r="O101" i="35"/>
  <c r="K198" i="35"/>
  <c r="L192" i="35"/>
  <c r="L92" i="35" s="1"/>
  <c r="N197" i="35"/>
  <c r="M233" i="35"/>
  <c r="J198" i="34"/>
  <c r="K192" i="34"/>
  <c r="J92" i="34"/>
  <c r="L197" i="34"/>
  <c r="K233" i="34"/>
  <c r="I190" i="34"/>
  <c r="J100" i="34"/>
  <c r="O101" i="34"/>
  <c r="G233" i="33"/>
  <c r="H197" i="33"/>
  <c r="G92" i="33"/>
  <c r="J101" i="33"/>
  <c r="G198" i="33"/>
  <c r="I192" i="33"/>
  <c r="H198" i="33"/>
  <c r="G190" i="33"/>
  <c r="H100" i="33"/>
  <c r="W72" i="31"/>
  <c r="W74" i="31" s="1"/>
  <c r="M192" i="36" l="1"/>
  <c r="L198" i="36"/>
  <c r="L92" i="36"/>
  <c r="L190" i="36"/>
  <c r="M100" i="36"/>
  <c r="N233" i="36"/>
  <c r="O197" i="36"/>
  <c r="P101" i="36"/>
  <c r="P101" i="35"/>
  <c r="L190" i="35"/>
  <c r="M100" i="35"/>
  <c r="L198" i="35"/>
  <c r="M192" i="35"/>
  <c r="N233" i="35"/>
  <c r="O197" i="35"/>
  <c r="N113" i="35"/>
  <c r="M92" i="35"/>
  <c r="P101" i="34"/>
  <c r="J190" i="34"/>
  <c r="K100" i="34"/>
  <c r="M197" i="34"/>
  <c r="L233" i="34"/>
  <c r="K198" i="34"/>
  <c r="L192" i="34"/>
  <c r="K92" i="34"/>
  <c r="J192" i="33"/>
  <c r="K101" i="33"/>
  <c r="H190" i="33"/>
  <c r="I100" i="33"/>
  <c r="I197" i="33"/>
  <c r="H233" i="33"/>
  <c r="H92" i="33"/>
  <c r="Q101" i="36" l="1"/>
  <c r="P197" i="36"/>
  <c r="O233" i="36"/>
  <c r="M190" i="36"/>
  <c r="N100" i="36"/>
  <c r="N192" i="36"/>
  <c r="M198" i="36"/>
  <c r="M92" i="36"/>
  <c r="Q101" i="35"/>
  <c r="O233" i="35"/>
  <c r="P197" i="35"/>
  <c r="M198" i="35"/>
  <c r="N192" i="35"/>
  <c r="N92" i="35" s="1"/>
  <c r="M190" i="35"/>
  <c r="N100" i="35"/>
  <c r="O113" i="35"/>
  <c r="L198" i="34"/>
  <c r="M192" i="34"/>
  <c r="L92" i="34"/>
  <c r="M233" i="34"/>
  <c r="N197" i="34"/>
  <c r="K190" i="34"/>
  <c r="L100" i="34"/>
  <c r="Q101" i="34"/>
  <c r="I233" i="33"/>
  <c r="J197" i="33"/>
  <c r="I190" i="33"/>
  <c r="J100" i="33"/>
  <c r="L101" i="33"/>
  <c r="J198" i="33"/>
  <c r="K192" i="33"/>
  <c r="I92" i="33"/>
  <c r="I198" i="33"/>
  <c r="O192" i="36" l="1"/>
  <c r="N198" i="36"/>
  <c r="N92" i="36"/>
  <c r="N190" i="36"/>
  <c r="O100" i="36"/>
  <c r="Q197" i="36"/>
  <c r="P233" i="36"/>
  <c r="R101" i="36"/>
  <c r="N190" i="35"/>
  <c r="O100" i="35"/>
  <c r="P233" i="35"/>
  <c r="Q197" i="35"/>
  <c r="R101" i="35"/>
  <c r="O192" i="35"/>
  <c r="O92" i="35" s="1"/>
  <c r="N198" i="35"/>
  <c r="P113" i="35"/>
  <c r="L190" i="34"/>
  <c r="M100" i="34"/>
  <c r="R101" i="34"/>
  <c r="N233" i="34"/>
  <c r="O197" i="34"/>
  <c r="M198" i="34"/>
  <c r="N192" i="34"/>
  <c r="M92" i="34"/>
  <c r="J190" i="33"/>
  <c r="K100" i="33"/>
  <c r="M101" i="33"/>
  <c r="K197" i="33"/>
  <c r="J233" i="33"/>
  <c r="J92" i="33"/>
  <c r="L192" i="33"/>
  <c r="O190" i="36" l="1"/>
  <c r="P100" i="36"/>
  <c r="S101" i="36"/>
  <c r="R197" i="36"/>
  <c r="Q233" i="36"/>
  <c r="P192" i="36"/>
  <c r="O198" i="36"/>
  <c r="O92" i="36"/>
  <c r="Q233" i="35"/>
  <c r="R197" i="35"/>
  <c r="S101" i="35"/>
  <c r="O190" i="35"/>
  <c r="P100" i="35"/>
  <c r="P192" i="35"/>
  <c r="O198" i="35"/>
  <c r="Q113" i="35"/>
  <c r="O233" i="34"/>
  <c r="P197" i="34"/>
  <c r="S101" i="34"/>
  <c r="M190" i="34"/>
  <c r="N100" i="34"/>
  <c r="O192" i="34"/>
  <c r="N198" i="34"/>
  <c r="N92" i="34"/>
  <c r="K233" i="33"/>
  <c r="L197" i="33"/>
  <c r="K92" i="33"/>
  <c r="M192" i="33"/>
  <c r="L198" i="33"/>
  <c r="N101" i="33"/>
  <c r="K190" i="33"/>
  <c r="L100" i="33"/>
  <c r="K198" i="33"/>
  <c r="T101" i="36" l="1"/>
  <c r="S197" i="36"/>
  <c r="R233" i="36"/>
  <c r="P190" i="36"/>
  <c r="Q100" i="36"/>
  <c r="Q192" i="36"/>
  <c r="P198" i="36"/>
  <c r="P92" i="36"/>
  <c r="Q192" i="35"/>
  <c r="P198" i="35"/>
  <c r="P190" i="35"/>
  <c r="Q100" i="35"/>
  <c r="P92" i="35"/>
  <c r="R233" i="35"/>
  <c r="S197" i="35"/>
  <c r="T101" i="35"/>
  <c r="R113" i="35"/>
  <c r="Q92" i="35"/>
  <c r="P192" i="34"/>
  <c r="O198" i="34"/>
  <c r="O92" i="34"/>
  <c r="N190" i="34"/>
  <c r="O100" i="34"/>
  <c r="Q197" i="34"/>
  <c r="P233" i="34"/>
  <c r="T101" i="34"/>
  <c r="O101" i="33"/>
  <c r="L233" i="33"/>
  <c r="M197" i="33"/>
  <c r="L92" i="33"/>
  <c r="N192" i="33"/>
  <c r="M198" i="33"/>
  <c r="L190" i="33"/>
  <c r="M100" i="33"/>
  <c r="Q198" i="36" l="1"/>
  <c r="R192" i="36"/>
  <c r="Q92" i="36"/>
  <c r="T197" i="36"/>
  <c r="S233" i="36"/>
  <c r="Q190" i="36"/>
  <c r="R100" i="36"/>
  <c r="U101" i="36"/>
  <c r="U101" i="35"/>
  <c r="T197" i="35"/>
  <c r="S233" i="35"/>
  <c r="Q190" i="35"/>
  <c r="R100" i="35"/>
  <c r="S113" i="35"/>
  <c r="R92" i="35"/>
  <c r="R192" i="35"/>
  <c r="Q198" i="35"/>
  <c r="U101" i="34"/>
  <c r="R197" i="34"/>
  <c r="Q233" i="34"/>
  <c r="O190" i="34"/>
  <c r="P100" i="34"/>
  <c r="P198" i="34"/>
  <c r="Q192" i="34"/>
  <c r="P92" i="34"/>
  <c r="O192" i="33"/>
  <c r="M233" i="33"/>
  <c r="N197" i="33"/>
  <c r="M92" i="33"/>
  <c r="P101" i="33"/>
  <c r="M190" i="33"/>
  <c r="N100" i="33"/>
  <c r="N92" i="33"/>
  <c r="U197" i="36" l="1"/>
  <c r="T233" i="36"/>
  <c r="R198" i="36"/>
  <c r="S192" i="36"/>
  <c r="R92" i="36"/>
  <c r="R190" i="36"/>
  <c r="S100" i="36"/>
  <c r="V101" i="36"/>
  <c r="R190" i="35"/>
  <c r="S100" i="35"/>
  <c r="T113" i="35"/>
  <c r="T233" i="35"/>
  <c r="U197" i="35"/>
  <c r="R198" i="35"/>
  <c r="S192" i="35"/>
  <c r="V101" i="35"/>
  <c r="P190" i="34"/>
  <c r="Q100" i="34"/>
  <c r="R192" i="34"/>
  <c r="Q198" i="34"/>
  <c r="Q92" i="34"/>
  <c r="S197" i="34"/>
  <c r="R233" i="34"/>
  <c r="V101" i="34"/>
  <c r="Q101" i="33"/>
  <c r="N233" i="33"/>
  <c r="O197" i="33"/>
  <c r="N198" i="33"/>
  <c r="N190" i="33"/>
  <c r="O100" i="33"/>
  <c r="O198" i="33"/>
  <c r="P192" i="33"/>
  <c r="S198" i="36" l="1"/>
  <c r="T192" i="36"/>
  <c r="S92" i="36"/>
  <c r="S190" i="36"/>
  <c r="T100" i="36"/>
  <c r="W101" i="36"/>
  <c r="U233" i="36"/>
  <c r="V197" i="36"/>
  <c r="T192" i="35"/>
  <c r="S198" i="35"/>
  <c r="U233" i="35"/>
  <c r="V197" i="35"/>
  <c r="S92" i="35"/>
  <c r="U113" i="35"/>
  <c r="T92" i="35"/>
  <c r="W101" i="35"/>
  <c r="S190" i="35"/>
  <c r="T100" i="35"/>
  <c r="T197" i="34"/>
  <c r="S233" i="34"/>
  <c r="R198" i="34"/>
  <c r="S192" i="34"/>
  <c r="R92" i="34"/>
  <c r="Q190" i="34"/>
  <c r="R100" i="34"/>
  <c r="W101" i="34"/>
  <c r="O190" i="33"/>
  <c r="P100" i="33"/>
  <c r="O233" i="33"/>
  <c r="P197" i="33"/>
  <c r="O92" i="33"/>
  <c r="P198" i="33"/>
  <c r="Q192" i="33"/>
  <c r="R101" i="33"/>
  <c r="T190" i="36" l="1"/>
  <c r="U100" i="36"/>
  <c r="X101" i="36"/>
  <c r="T198" i="36"/>
  <c r="T50" i="36" s="1"/>
  <c r="U192" i="36"/>
  <c r="T92" i="36"/>
  <c r="V233" i="36"/>
  <c r="W197" i="36"/>
  <c r="X101" i="35"/>
  <c r="V233" i="35"/>
  <c r="W197" i="35"/>
  <c r="V113" i="35"/>
  <c r="U92" i="35"/>
  <c r="T190" i="35"/>
  <c r="U100" i="35"/>
  <c r="T198" i="35"/>
  <c r="T50" i="35" s="1"/>
  <c r="U192" i="35"/>
  <c r="X101" i="34"/>
  <c r="R190" i="34"/>
  <c r="S100" i="34"/>
  <c r="S198" i="34"/>
  <c r="T192" i="34"/>
  <c r="S92" i="34"/>
  <c r="T233" i="34"/>
  <c r="U197" i="34"/>
  <c r="S101" i="33"/>
  <c r="R192" i="33"/>
  <c r="Q197" i="33"/>
  <c r="Q198" i="33" s="1"/>
  <c r="P233" i="33"/>
  <c r="P92" i="33"/>
  <c r="P190" i="33"/>
  <c r="Q100" i="33"/>
  <c r="Q92" i="33"/>
  <c r="V192" i="36" l="1"/>
  <c r="U198" i="36"/>
  <c r="U50" i="36" s="1"/>
  <c r="U51" i="36" s="1"/>
  <c r="U92" i="36"/>
  <c r="Y101" i="36"/>
  <c r="T51" i="36"/>
  <c r="U190" i="36"/>
  <c r="V100" i="36"/>
  <c r="X197" i="36"/>
  <c r="W233" i="36"/>
  <c r="U190" i="35"/>
  <c r="V100" i="35"/>
  <c r="U198" i="35"/>
  <c r="U50" i="35" s="1"/>
  <c r="U51" i="35" s="1"/>
  <c r="V192" i="35"/>
  <c r="Y101" i="35"/>
  <c r="W113" i="35"/>
  <c r="V92" i="35"/>
  <c r="X197" i="35"/>
  <c r="W233" i="35"/>
  <c r="T51" i="35"/>
  <c r="U192" i="34"/>
  <c r="T198" i="34"/>
  <c r="T50" i="34" s="1"/>
  <c r="T92" i="34"/>
  <c r="S190" i="34"/>
  <c r="T100" i="34"/>
  <c r="V197" i="34"/>
  <c r="U233" i="34"/>
  <c r="Y101" i="34"/>
  <c r="T101" i="33"/>
  <c r="Q233" i="33"/>
  <c r="R197" i="33"/>
  <c r="R198" i="33"/>
  <c r="S192" i="33"/>
  <c r="Q190" i="33"/>
  <c r="R100" i="33"/>
  <c r="R92" i="33"/>
  <c r="Z101" i="36" l="1"/>
  <c r="V190" i="36"/>
  <c r="W100" i="36"/>
  <c r="U72" i="36"/>
  <c r="U74" i="36"/>
  <c r="T74" i="36"/>
  <c r="T72" i="36"/>
  <c r="Y197" i="36"/>
  <c r="X233" i="36"/>
  <c r="W192" i="36"/>
  <c r="V198" i="36"/>
  <c r="V50" i="36" s="1"/>
  <c r="V92" i="36"/>
  <c r="T72" i="35"/>
  <c r="T74" i="35"/>
  <c r="X113" i="35"/>
  <c r="W92" i="35"/>
  <c r="W192" i="35"/>
  <c r="V198" i="35"/>
  <c r="V50" i="35" s="1"/>
  <c r="U72" i="35"/>
  <c r="U74" i="35"/>
  <c r="V190" i="35"/>
  <c r="W100" i="35"/>
  <c r="Z101" i="35"/>
  <c r="X233" i="35"/>
  <c r="Y197" i="35"/>
  <c r="Z101" i="34"/>
  <c r="T51" i="34"/>
  <c r="V233" i="34"/>
  <c r="W197" i="34"/>
  <c r="T190" i="34"/>
  <c r="U100" i="34"/>
  <c r="U198" i="34"/>
  <c r="U50" i="34" s="1"/>
  <c r="U51" i="34" s="1"/>
  <c r="V192" i="34"/>
  <c r="U92" i="34"/>
  <c r="R190" i="33"/>
  <c r="S100" i="33"/>
  <c r="T192" i="33"/>
  <c r="R233" i="33"/>
  <c r="S197" i="33"/>
  <c r="U101" i="33"/>
  <c r="X192" i="36" l="1"/>
  <c r="W198" i="36"/>
  <c r="W51" i="36" s="1"/>
  <c r="W92" i="36"/>
  <c r="AM212" i="36"/>
  <c r="U7" i="36"/>
  <c r="W190" i="36"/>
  <c r="X100" i="36"/>
  <c r="V51" i="36"/>
  <c r="AL212" i="36"/>
  <c r="T7" i="36"/>
  <c r="U82" i="36"/>
  <c r="Z197" i="36"/>
  <c r="Y233" i="36"/>
  <c r="T82" i="36"/>
  <c r="AA101" i="36"/>
  <c r="W190" i="35"/>
  <c r="X100" i="35"/>
  <c r="AL212" i="35"/>
  <c r="T7" i="35"/>
  <c r="Y233" i="35"/>
  <c r="Z197" i="35"/>
  <c r="X192" i="35"/>
  <c r="W198" i="35"/>
  <c r="W51" i="35" s="1"/>
  <c r="AA101" i="35"/>
  <c r="AM212" i="35"/>
  <c r="U7" i="35"/>
  <c r="V51" i="35"/>
  <c r="Y113" i="35"/>
  <c r="X92" i="35"/>
  <c r="U82" i="35"/>
  <c r="T82" i="35"/>
  <c r="W192" i="34"/>
  <c r="V198" i="34"/>
  <c r="V50" i="34" s="1"/>
  <c r="V92" i="34"/>
  <c r="T72" i="34"/>
  <c r="T74" i="34"/>
  <c r="U74" i="34"/>
  <c r="U72" i="34"/>
  <c r="W233" i="34"/>
  <c r="X197" i="34"/>
  <c r="U190" i="34"/>
  <c r="V100" i="34"/>
  <c r="AA101" i="34"/>
  <c r="V101" i="33"/>
  <c r="S233" i="33"/>
  <c r="T197" i="33"/>
  <c r="S92" i="33"/>
  <c r="S198" i="33"/>
  <c r="U192" i="33"/>
  <c r="T198" i="33"/>
  <c r="T50" i="33" s="1"/>
  <c r="S190" i="33"/>
  <c r="T100" i="33"/>
  <c r="X190" i="36" l="1"/>
  <c r="Y100" i="36"/>
  <c r="AA197" i="36"/>
  <c r="Z233" i="36"/>
  <c r="W72" i="36"/>
  <c r="W74" i="36"/>
  <c r="V74" i="36"/>
  <c r="V72" i="36"/>
  <c r="AB101" i="36"/>
  <c r="Y192" i="36"/>
  <c r="X198" i="36"/>
  <c r="X50" i="36" s="1"/>
  <c r="X92" i="36"/>
  <c r="AA197" i="35"/>
  <c r="Z233" i="35"/>
  <c r="V74" i="35"/>
  <c r="V72" i="35"/>
  <c r="AB101" i="35"/>
  <c r="W74" i="35"/>
  <c r="W72" i="35"/>
  <c r="X190" i="35"/>
  <c r="Y100" i="35"/>
  <c r="Z113" i="35"/>
  <c r="Y192" i="35"/>
  <c r="X198" i="35"/>
  <c r="X50" i="35" s="1"/>
  <c r="AB101" i="34"/>
  <c r="V190" i="34"/>
  <c r="W100" i="34"/>
  <c r="T82" i="34"/>
  <c r="V51" i="34"/>
  <c r="AM212" i="34"/>
  <c r="U7" i="34"/>
  <c r="AL212" i="34"/>
  <c r="T7" i="34"/>
  <c r="Y197" i="34"/>
  <c r="X233" i="34"/>
  <c r="U82" i="34"/>
  <c r="X192" i="34"/>
  <c r="W198" i="34"/>
  <c r="W50" i="34" s="1"/>
  <c r="W51" i="34" s="1"/>
  <c r="W92" i="34"/>
  <c r="T51" i="33"/>
  <c r="V192" i="33"/>
  <c r="U92" i="33"/>
  <c r="U197" i="33"/>
  <c r="T233" i="33"/>
  <c r="T92" i="33"/>
  <c r="T190" i="33"/>
  <c r="U100" i="33"/>
  <c r="W101" i="33"/>
  <c r="W82" i="36" l="1"/>
  <c r="AC101" i="36"/>
  <c r="AB197" i="36"/>
  <c r="AA233" i="36"/>
  <c r="V82" i="36"/>
  <c r="X51" i="36"/>
  <c r="AN212" i="36"/>
  <c r="V7" i="36"/>
  <c r="Y190" i="36"/>
  <c r="Z100" i="36"/>
  <c r="Y198" i="36"/>
  <c r="Z192" i="36"/>
  <c r="Y92" i="36"/>
  <c r="AO212" i="36"/>
  <c r="W7" i="36"/>
  <c r="W82" i="35"/>
  <c r="X51" i="35"/>
  <c r="V82" i="35"/>
  <c r="AA113" i="35"/>
  <c r="Z92" i="35"/>
  <c r="AO212" i="35"/>
  <c r="W7" i="35"/>
  <c r="AN212" i="35"/>
  <c r="V7" i="35"/>
  <c r="AC101" i="35"/>
  <c r="Y190" i="35"/>
  <c r="Z100" i="35"/>
  <c r="Z192" i="35"/>
  <c r="Y198" i="35"/>
  <c r="Y92" i="35"/>
  <c r="AA233" i="35"/>
  <c r="AB197" i="35"/>
  <c r="V72" i="34"/>
  <c r="V74" i="34"/>
  <c r="W72" i="34"/>
  <c r="W74" i="34"/>
  <c r="Y192" i="34"/>
  <c r="X198" i="34"/>
  <c r="X50" i="34" s="1"/>
  <c r="X51" i="34" s="1"/>
  <c r="X92" i="34"/>
  <c r="W190" i="34"/>
  <c r="X100" i="34"/>
  <c r="Z197" i="34"/>
  <c r="Y233" i="34"/>
  <c r="AC101" i="34"/>
  <c r="U233" i="33"/>
  <c r="V197" i="33"/>
  <c r="U198" i="33"/>
  <c r="U50" i="33" s="1"/>
  <c r="T74" i="33"/>
  <c r="T72" i="33"/>
  <c r="X101" i="33"/>
  <c r="W192" i="33"/>
  <c r="V198" i="33"/>
  <c r="V50" i="33" s="1"/>
  <c r="V51" i="33" s="1"/>
  <c r="U190" i="33"/>
  <c r="V100" i="33"/>
  <c r="AC197" i="36" l="1"/>
  <c r="AB233" i="36"/>
  <c r="X72" i="36"/>
  <c r="X74" i="36"/>
  <c r="AD101" i="36"/>
  <c r="Z190" i="36"/>
  <c r="AA100" i="36"/>
  <c r="Z198" i="36"/>
  <c r="Z50" i="36" s="1"/>
  <c r="AA192" i="36"/>
  <c r="Z92" i="36"/>
  <c r="AB113" i="35"/>
  <c r="AB233" i="35"/>
  <c r="AC197" i="35"/>
  <c r="Z198" i="35"/>
  <c r="Z50" i="35" s="1"/>
  <c r="AA192" i="35"/>
  <c r="AD101" i="35"/>
  <c r="Z190" i="35"/>
  <c r="AA100" i="35"/>
  <c r="X74" i="35"/>
  <c r="X72" i="35"/>
  <c r="W82" i="34"/>
  <c r="Z233" i="34"/>
  <c r="AA197" i="34"/>
  <c r="Z192" i="34"/>
  <c r="Y198" i="34"/>
  <c r="Y92" i="34"/>
  <c r="X190" i="34"/>
  <c r="Y100" i="34"/>
  <c r="AN212" i="34"/>
  <c r="V7" i="34"/>
  <c r="AD101" i="34"/>
  <c r="V82" i="34"/>
  <c r="X74" i="34"/>
  <c r="X72" i="34"/>
  <c r="AO212" i="34"/>
  <c r="W7" i="34"/>
  <c r="Y101" i="33"/>
  <c r="T82" i="33"/>
  <c r="V190" i="33"/>
  <c r="W100" i="33"/>
  <c r="U51" i="33"/>
  <c r="X192" i="33"/>
  <c r="V233" i="33"/>
  <c r="W197" i="33"/>
  <c r="V92" i="33"/>
  <c r="AL212" i="33"/>
  <c r="T7" i="33"/>
  <c r="V74" i="33"/>
  <c r="V72" i="33"/>
  <c r="V82" i="33" s="1"/>
  <c r="AP212" i="36" l="1"/>
  <c r="X7" i="36"/>
  <c r="Z51" i="36"/>
  <c r="AC233" i="36"/>
  <c r="AD197" i="36"/>
  <c r="AA198" i="36"/>
  <c r="AA50" i="36" s="1"/>
  <c r="AA51" i="36" s="1"/>
  <c r="AB192" i="36"/>
  <c r="AA92" i="36"/>
  <c r="AA190" i="36"/>
  <c r="AB100" i="36"/>
  <c r="AE101" i="36"/>
  <c r="X82" i="36"/>
  <c r="X82" i="35"/>
  <c r="AA190" i="35"/>
  <c r="AB100" i="35"/>
  <c r="AD197" i="35"/>
  <c r="AC233" i="35"/>
  <c r="AA198" i="35"/>
  <c r="AA50" i="35" s="1"/>
  <c r="AA51" i="35" s="1"/>
  <c r="AB192" i="35"/>
  <c r="AP212" i="35"/>
  <c r="X7" i="35"/>
  <c r="AA92" i="35"/>
  <c r="Z51" i="35"/>
  <c r="AE101" i="35"/>
  <c r="AC113" i="35"/>
  <c r="X82" i="34"/>
  <c r="Y190" i="34"/>
  <c r="Z100" i="34"/>
  <c r="AE101" i="34"/>
  <c r="AB197" i="34"/>
  <c r="AA233" i="34"/>
  <c r="Z198" i="34"/>
  <c r="Z50" i="34" s="1"/>
  <c r="AA192" i="34"/>
  <c r="Z92" i="34"/>
  <c r="AP212" i="34"/>
  <c r="X7" i="34"/>
  <c r="U72" i="33"/>
  <c r="U74" i="33"/>
  <c r="W233" i="33"/>
  <c r="X197" i="33"/>
  <c r="W92" i="33"/>
  <c r="W198" i="33"/>
  <c r="W190" i="33"/>
  <c r="X100" i="33"/>
  <c r="AN212" i="33"/>
  <c r="V7" i="33"/>
  <c r="X198" i="33"/>
  <c r="X50" i="33" s="1"/>
  <c r="X51" i="33" s="1"/>
  <c r="Y192" i="33"/>
  <c r="Z101" i="33"/>
  <c r="AB190" i="36" l="1"/>
  <c r="AC100" i="36"/>
  <c r="Z74" i="36"/>
  <c r="Z72" i="36"/>
  <c r="AB198" i="36"/>
  <c r="AB50" i="36" s="1"/>
  <c r="AC192" i="36"/>
  <c r="AB92" i="36"/>
  <c r="AA74" i="36"/>
  <c r="AA72" i="36"/>
  <c r="AF101" i="36"/>
  <c r="AE197" i="36"/>
  <c r="AD233" i="36"/>
  <c r="AF101" i="35"/>
  <c r="AB190" i="35"/>
  <c r="AC100" i="35"/>
  <c r="AB198" i="35"/>
  <c r="AB50" i="35" s="1"/>
  <c r="AC192" i="35"/>
  <c r="AA72" i="35"/>
  <c r="AA74" i="35"/>
  <c r="Z72" i="35"/>
  <c r="Z74" i="35"/>
  <c r="AD233" i="35"/>
  <c r="AE197" i="35"/>
  <c r="AD113" i="35"/>
  <c r="AC92" i="35"/>
  <c r="AB92" i="35"/>
  <c r="AB233" i="34"/>
  <c r="AC197" i="34"/>
  <c r="AA198" i="34"/>
  <c r="AA50" i="34" s="1"/>
  <c r="AA51" i="34" s="1"/>
  <c r="AB192" i="34"/>
  <c r="AA92" i="34"/>
  <c r="AF101" i="34"/>
  <c r="Z51" i="34"/>
  <c r="Z190" i="34"/>
  <c r="AA100" i="34"/>
  <c r="X74" i="33"/>
  <c r="X72" i="33"/>
  <c r="X82" i="33" s="1"/>
  <c r="X190" i="33"/>
  <c r="Y100" i="33"/>
  <c r="Z192" i="33"/>
  <c r="AA101" i="33"/>
  <c r="AM212" i="33"/>
  <c r="U7" i="33"/>
  <c r="Y197" i="33"/>
  <c r="X233" i="33"/>
  <c r="X92" i="33"/>
  <c r="U82" i="33"/>
  <c r="AB51" i="36" l="1"/>
  <c r="AS212" i="36"/>
  <c r="AA7" i="36"/>
  <c r="AF197" i="36"/>
  <c r="AF233" i="36" s="1"/>
  <c r="AE233" i="36"/>
  <c r="Z82" i="36"/>
  <c r="AR212" i="36"/>
  <c r="Z7" i="36"/>
  <c r="AC190" i="36"/>
  <c r="AD100" i="36"/>
  <c r="AD192" i="36"/>
  <c r="AC198" i="36"/>
  <c r="AC50" i="36" s="1"/>
  <c r="AC51" i="36" s="1"/>
  <c r="AC92" i="36"/>
  <c r="AA82" i="36"/>
  <c r="AB51" i="35"/>
  <c r="AE233" i="35"/>
  <c r="AF197" i="35"/>
  <c r="AF233" i="35" s="1"/>
  <c r="AC190" i="35"/>
  <c r="AD100" i="35"/>
  <c r="AE113" i="35"/>
  <c r="AD92" i="35"/>
  <c r="AR212" i="35"/>
  <c r="Z7" i="35"/>
  <c r="AS212" i="35"/>
  <c r="AA7" i="35"/>
  <c r="AA82" i="35"/>
  <c r="AC198" i="35"/>
  <c r="AC50" i="35" s="1"/>
  <c r="AC51" i="35" s="1"/>
  <c r="AD192" i="35"/>
  <c r="Z82" i="35"/>
  <c r="Z72" i="34"/>
  <c r="Z74" i="34"/>
  <c r="AA190" i="34"/>
  <c r="AB100" i="34"/>
  <c r="AA74" i="34"/>
  <c r="AA72" i="34"/>
  <c r="AC233" i="34"/>
  <c r="AD197" i="34"/>
  <c r="AB198" i="34"/>
  <c r="AB50" i="34" s="1"/>
  <c r="AB51" i="34" s="1"/>
  <c r="AC192" i="34"/>
  <c r="AB92" i="34"/>
  <c r="Y190" i="33"/>
  <c r="Z100" i="33"/>
  <c r="AP212" i="33"/>
  <c r="X7" i="33"/>
  <c r="AB101" i="33"/>
  <c r="Z197" i="33"/>
  <c r="Y233" i="33"/>
  <c r="Y92" i="33"/>
  <c r="Z198" i="33"/>
  <c r="Z50" i="33" s="1"/>
  <c r="AA192" i="33"/>
  <c r="Y198" i="33"/>
  <c r="W72" i="33"/>
  <c r="W74" i="33"/>
  <c r="AC72" i="36" l="1"/>
  <c r="AC74" i="36"/>
  <c r="AD198" i="36"/>
  <c r="AD50" i="36" s="1"/>
  <c r="AD51" i="36" s="1"/>
  <c r="AE192" i="36"/>
  <c r="AD92" i="36"/>
  <c r="AD190" i="36"/>
  <c r="AE100" i="36"/>
  <c r="AB74" i="36"/>
  <c r="AB72" i="36"/>
  <c r="AE192" i="35"/>
  <c r="AD198" i="35"/>
  <c r="AD50" i="35" s="1"/>
  <c r="AD51" i="35" s="1"/>
  <c r="AC72" i="35"/>
  <c r="AC74" i="35"/>
  <c r="AD190" i="35"/>
  <c r="AE100" i="35"/>
  <c r="AF113" i="35"/>
  <c r="AE92" i="35"/>
  <c r="AB72" i="35"/>
  <c r="AB74" i="35"/>
  <c r="AA82" i="34"/>
  <c r="AS212" i="34"/>
  <c r="AA7" i="34"/>
  <c r="AC198" i="34"/>
  <c r="AC50" i="34" s="1"/>
  <c r="AC51" i="34" s="1"/>
  <c r="AD192" i="34"/>
  <c r="AC92" i="34"/>
  <c r="AB72" i="34"/>
  <c r="AB74" i="34"/>
  <c r="AB190" i="34"/>
  <c r="AC100" i="34"/>
  <c r="AR212" i="34"/>
  <c r="Z7" i="34"/>
  <c r="AD233" i="34"/>
  <c r="AE197" i="34"/>
  <c r="Z82" i="34"/>
  <c r="Z190" i="33"/>
  <c r="AA100" i="33"/>
  <c r="Z51" i="33"/>
  <c r="W82" i="33"/>
  <c r="AB192" i="33"/>
  <c r="AA198" i="33"/>
  <c r="AA50" i="33" s="1"/>
  <c r="AA51" i="33" s="1"/>
  <c r="AA197" i="33"/>
  <c r="Z233" i="33"/>
  <c r="AO212" i="33"/>
  <c r="W7" i="33"/>
  <c r="AC101" i="33"/>
  <c r="Z92" i="33"/>
  <c r="AB82" i="36" l="1"/>
  <c r="AU212" i="36"/>
  <c r="AC7" i="36"/>
  <c r="AC82" i="36"/>
  <c r="AD74" i="36"/>
  <c r="AD72" i="36"/>
  <c r="AT212" i="36"/>
  <c r="AB7" i="36"/>
  <c r="AF192" i="36"/>
  <c r="AE198" i="36"/>
  <c r="AE50" i="36" s="1"/>
  <c r="AE51" i="36" s="1"/>
  <c r="AE92" i="36"/>
  <c r="AE190" i="36"/>
  <c r="AF100" i="36"/>
  <c r="AF190" i="36" s="1"/>
  <c r="AC82" i="35"/>
  <c r="AE190" i="35"/>
  <c r="AF100" i="35"/>
  <c r="AF190" i="35" s="1"/>
  <c r="AD72" i="35"/>
  <c r="AD74" i="35"/>
  <c r="AU212" i="35"/>
  <c r="AC7" i="35"/>
  <c r="AT212" i="35"/>
  <c r="AB7" i="35"/>
  <c r="AB82" i="35"/>
  <c r="AE198" i="35"/>
  <c r="AE50" i="35" s="1"/>
  <c r="AE51" i="35" s="1"/>
  <c r="AF192" i="35"/>
  <c r="AF198" i="35" s="1"/>
  <c r="AF50" i="35" s="1"/>
  <c r="AE233" i="34"/>
  <c r="AF197" i="34"/>
  <c r="AF233" i="34" s="1"/>
  <c r="AT212" i="34"/>
  <c r="AB7" i="34"/>
  <c r="AB82" i="34"/>
  <c r="AE192" i="34"/>
  <c r="AD198" i="34"/>
  <c r="AD50" i="34" s="1"/>
  <c r="AD51" i="34" s="1"/>
  <c r="AD92" i="34"/>
  <c r="AC74" i="34"/>
  <c r="AC72" i="34"/>
  <c r="AC190" i="34"/>
  <c r="AD100" i="34"/>
  <c r="AC192" i="33"/>
  <c r="Z72" i="33"/>
  <c r="Z74" i="33"/>
  <c r="AB197" i="33"/>
  <c r="AA233" i="33"/>
  <c r="AA92" i="33"/>
  <c r="AA190" i="33"/>
  <c r="AB100" i="33"/>
  <c r="AD101" i="33"/>
  <c r="AA72" i="33"/>
  <c r="AA74" i="33"/>
  <c r="AD82" i="36" l="1"/>
  <c r="AF198" i="36"/>
  <c r="AF50" i="36" s="1"/>
  <c r="AF92" i="36"/>
  <c r="AV212" i="36"/>
  <c r="AD7" i="36"/>
  <c r="AE72" i="36"/>
  <c r="AE74" i="36"/>
  <c r="AV212" i="35"/>
  <c r="AD7" i="35"/>
  <c r="AD82" i="35"/>
  <c r="AF51" i="35"/>
  <c r="AH50" i="35"/>
  <c r="AI50" i="35"/>
  <c r="AE74" i="35"/>
  <c r="AE72" i="35"/>
  <c r="AF92" i="35"/>
  <c r="AC82" i="34"/>
  <c r="AU212" i="34"/>
  <c r="AC7" i="34"/>
  <c r="AF192" i="34"/>
  <c r="AE198" i="34"/>
  <c r="AE50" i="34" s="1"/>
  <c r="AE51" i="34" s="1"/>
  <c r="AE92" i="34"/>
  <c r="AD72" i="34"/>
  <c r="AD74" i="34"/>
  <c r="AD190" i="34"/>
  <c r="AE100" i="34"/>
  <c r="AS212" i="33"/>
  <c r="AA7" i="33"/>
  <c r="Z82" i="33"/>
  <c r="AC197" i="33"/>
  <c r="AB233" i="33"/>
  <c r="AB92" i="33"/>
  <c r="AA82" i="33"/>
  <c r="AE101" i="33"/>
  <c r="AB190" i="33"/>
  <c r="AC100" i="33"/>
  <c r="AB198" i="33"/>
  <c r="AB50" i="33" s="1"/>
  <c r="AR212" i="33"/>
  <c r="Z7" i="33"/>
  <c r="AD192" i="33"/>
  <c r="AC198" i="33"/>
  <c r="AC51" i="33" s="1"/>
  <c r="AW212" i="36" l="1"/>
  <c r="AE7" i="36"/>
  <c r="AI92" i="36"/>
  <c r="AH92" i="36"/>
  <c r="AE82" i="36"/>
  <c r="AF51" i="36"/>
  <c r="AI50" i="36"/>
  <c r="AH50" i="36"/>
  <c r="AE82" i="35"/>
  <c r="AW212" i="35"/>
  <c r="AE7" i="35"/>
  <c r="AF74" i="35"/>
  <c r="AF72" i="35"/>
  <c r="AH51" i="35"/>
  <c r="AI51" i="35"/>
  <c r="AH92" i="35"/>
  <c r="AI92" i="35"/>
  <c r="AD82" i="34"/>
  <c r="AE72" i="34"/>
  <c r="AE74" i="34"/>
  <c r="AF198" i="34"/>
  <c r="AF50" i="34" s="1"/>
  <c r="AF92" i="34"/>
  <c r="AE190" i="34"/>
  <c r="AF100" i="34"/>
  <c r="AF190" i="34" s="1"/>
  <c r="AV212" i="34"/>
  <c r="AD7" i="34"/>
  <c r="AB51" i="33"/>
  <c r="AC190" i="33"/>
  <c r="AD100" i="33"/>
  <c r="AC72" i="33"/>
  <c r="AC74" i="33"/>
  <c r="AE192" i="33"/>
  <c r="AC233" i="33"/>
  <c r="AD197" i="33"/>
  <c r="AC92" i="33"/>
  <c r="AF101" i="33"/>
  <c r="AF72" i="36" l="1"/>
  <c r="AF74" i="36"/>
  <c r="AI51" i="36"/>
  <c r="AH51" i="36"/>
  <c r="AF82" i="35"/>
  <c r="AI72" i="35"/>
  <c r="AH72" i="35"/>
  <c r="AX212" i="35"/>
  <c r="AF7" i="35"/>
  <c r="A7" i="35" s="1"/>
  <c r="AH74" i="35"/>
  <c r="AI74" i="35"/>
  <c r="AW212" i="34"/>
  <c r="AE7" i="34"/>
  <c r="AI92" i="34"/>
  <c r="AH92" i="34"/>
  <c r="AF51" i="34"/>
  <c r="AI50" i="34"/>
  <c r="AH50" i="34"/>
  <c r="AE82" i="34"/>
  <c r="AC82" i="33"/>
  <c r="AU212" i="33"/>
  <c r="AC7" i="33"/>
  <c r="AD190" i="33"/>
  <c r="AE100" i="33"/>
  <c r="AE198" i="33"/>
  <c r="AE51" i="33" s="1"/>
  <c r="AF192" i="33"/>
  <c r="AD233" i="33"/>
  <c r="AE197" i="33"/>
  <c r="AD92" i="33"/>
  <c r="AD198" i="33"/>
  <c r="AD51" i="33" s="1"/>
  <c r="AB74" i="33"/>
  <c r="AB72" i="33"/>
  <c r="AB82" i="33" s="1"/>
  <c r="AX212" i="36" l="1"/>
  <c r="AF7" i="36"/>
  <c r="A7" i="36" s="1"/>
  <c r="AH74" i="36"/>
  <c r="AI74" i="36"/>
  <c r="AF82" i="36"/>
  <c r="AH72" i="36"/>
  <c r="AI72" i="36"/>
  <c r="AH82" i="35"/>
  <c r="AI82" i="35"/>
  <c r="AF74" i="34"/>
  <c r="AF72" i="34"/>
  <c r="AI51" i="34"/>
  <c r="AH51" i="34"/>
  <c r="AD74" i="33"/>
  <c r="AD72" i="33"/>
  <c r="AE74" i="33"/>
  <c r="AE72" i="33"/>
  <c r="AE82" i="33" s="1"/>
  <c r="AT212" i="33"/>
  <c r="AB7" i="33"/>
  <c r="AE190" i="33"/>
  <c r="AF100" i="33"/>
  <c r="AF190" i="33" s="1"/>
  <c r="AF92" i="33"/>
  <c r="AE233" i="33"/>
  <c r="AF197" i="33"/>
  <c r="AF233" i="33" s="1"/>
  <c r="AE92" i="33"/>
  <c r="AI82" i="36" l="1"/>
  <c r="AH82" i="36"/>
  <c r="AF82" i="34"/>
  <c r="AI72" i="34"/>
  <c r="AH72" i="34"/>
  <c r="AX212" i="34"/>
  <c r="AF7" i="34"/>
  <c r="A7" i="34" s="1"/>
  <c r="AI74" i="34"/>
  <c r="AH74" i="34"/>
  <c r="AD82" i="33"/>
  <c r="AW212" i="33"/>
  <c r="AE7" i="33"/>
  <c r="AH92" i="33"/>
  <c r="AI92" i="33"/>
  <c r="AV212" i="33"/>
  <c r="AD7" i="33"/>
  <c r="AF198" i="33"/>
  <c r="AI82" i="34" l="1"/>
  <c r="AH82" i="34"/>
  <c r="AF51" i="33"/>
  <c r="AH50" i="33"/>
  <c r="AI50" i="33"/>
  <c r="AF74" i="33" l="1"/>
  <c r="AF72" i="33"/>
  <c r="AI51" i="33"/>
  <c r="AH51" i="33"/>
  <c r="AF82" i="33" l="1"/>
  <c r="AI72" i="33"/>
  <c r="AH72" i="33"/>
  <c r="AX212" i="33"/>
  <c r="AF7" i="33"/>
  <c r="AI74" i="33"/>
  <c r="AH74" i="33"/>
  <c r="A7" i="33" l="1"/>
  <c r="AI7" i="33"/>
  <c r="AH7" i="33"/>
  <c r="AI82" i="33"/>
  <c r="AH82" i="33"/>
  <c r="S36" i="31" l="1"/>
  <c r="R94" i="31"/>
  <c r="R36" i="31"/>
  <c r="Q36" i="31"/>
  <c r="P36" i="31"/>
  <c r="O36" i="31"/>
  <c r="N36" i="31"/>
  <c r="M36" i="31"/>
  <c r="AH98" i="31"/>
  <c r="AI98" i="31" s="1"/>
  <c r="C94" i="31"/>
  <c r="C36" i="31"/>
  <c r="B94" i="31"/>
  <c r="B36" i="31"/>
  <c r="B92" i="31"/>
  <c r="B79" i="31"/>
  <c r="B78" i="31"/>
  <c r="B77" i="31"/>
  <c r="B76" i="31"/>
  <c r="B75" i="31"/>
  <c r="B71" i="31"/>
  <c r="B67" i="31"/>
  <c r="B55" i="31"/>
  <c r="B37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235" i="31"/>
  <c r="AF234" i="31"/>
  <c r="AE234" i="31"/>
  <c r="AD234" i="31"/>
  <c r="AC234" i="31"/>
  <c r="AB234" i="31"/>
  <c r="AA234" i="31"/>
  <c r="Z234" i="31"/>
  <c r="Y234" i="31"/>
  <c r="X234" i="31"/>
  <c r="W234" i="31"/>
  <c r="V234" i="31"/>
  <c r="U234" i="31"/>
  <c r="T234" i="31"/>
  <c r="S234" i="3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A234" i="31"/>
  <c r="B233" i="31"/>
  <c r="S208" i="31"/>
  <c r="AG198" i="31"/>
  <c r="B198" i="31"/>
  <c r="B50" i="31" s="1"/>
  <c r="B51" i="31" s="1"/>
  <c r="C197" i="31"/>
  <c r="C196" i="31"/>
  <c r="D196" i="31" s="1"/>
  <c r="E196" i="31" s="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C195" i="31"/>
  <c r="D195" i="31" s="1"/>
  <c r="E195" i="31" s="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C194" i="31"/>
  <c r="D194" i="31" s="1"/>
  <c r="E194" i="31" s="1"/>
  <c r="F194" i="31" s="1"/>
  <c r="G194" i="31" s="1"/>
  <c r="H194" i="31" s="1"/>
  <c r="I194" i="31" s="1"/>
  <c r="J194" i="31" s="1"/>
  <c r="K194" i="31" s="1"/>
  <c r="L194" i="31" s="1"/>
  <c r="M194" i="31" s="1"/>
  <c r="N194" i="31" s="1"/>
  <c r="O194" i="31" s="1"/>
  <c r="P194" i="31" s="1"/>
  <c r="Q194" i="31" s="1"/>
  <c r="R194" i="31" s="1"/>
  <c r="S194" i="31" s="1"/>
  <c r="T194" i="31" s="1"/>
  <c r="U194" i="31" s="1"/>
  <c r="V194" i="31" s="1"/>
  <c r="W194" i="31" s="1"/>
  <c r="X194" i="31" s="1"/>
  <c r="Y194" i="31" s="1"/>
  <c r="Z194" i="31" s="1"/>
  <c r="AA194" i="31" s="1"/>
  <c r="AB194" i="31" s="1"/>
  <c r="AC194" i="31" s="1"/>
  <c r="AD194" i="31" s="1"/>
  <c r="AE194" i="31" s="1"/>
  <c r="AF194" i="31" s="1"/>
  <c r="C193" i="31"/>
  <c r="D193" i="31" s="1"/>
  <c r="E193" i="31" s="1"/>
  <c r="F193" i="31" s="1"/>
  <c r="G193" i="31" s="1"/>
  <c r="H193" i="31" s="1"/>
  <c r="I193" i="31" s="1"/>
  <c r="J193" i="31" s="1"/>
  <c r="K193" i="31" s="1"/>
  <c r="L193" i="31" s="1"/>
  <c r="M193" i="31" s="1"/>
  <c r="N193" i="31" s="1"/>
  <c r="O193" i="31" s="1"/>
  <c r="P193" i="31" s="1"/>
  <c r="Q193" i="31" s="1"/>
  <c r="R193" i="31" s="1"/>
  <c r="S193" i="31" s="1"/>
  <c r="T193" i="31" s="1"/>
  <c r="U193" i="31" s="1"/>
  <c r="V193" i="31" s="1"/>
  <c r="W193" i="31" s="1"/>
  <c r="X193" i="31" s="1"/>
  <c r="Y193" i="31" s="1"/>
  <c r="Z193" i="31" s="1"/>
  <c r="AA193" i="31" s="1"/>
  <c r="AB193" i="31" s="1"/>
  <c r="AC193" i="31" s="1"/>
  <c r="AD193" i="31" s="1"/>
  <c r="AE193" i="31" s="1"/>
  <c r="AF193" i="31" s="1"/>
  <c r="C192" i="31"/>
  <c r="D192" i="31" s="1"/>
  <c r="AG190" i="31"/>
  <c r="B190" i="31"/>
  <c r="D189" i="31"/>
  <c r="E189" i="31" s="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C189" i="31"/>
  <c r="C188" i="31"/>
  <c r="D188" i="31" s="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C187" i="31"/>
  <c r="D187" i="31" s="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C186" i="31"/>
  <c r="D186" i="31" s="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C185" i="31"/>
  <c r="D185" i="31" s="1"/>
  <c r="E185" i="31" s="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C184" i="31"/>
  <c r="D184" i="31" s="1"/>
  <c r="E184" i="31" s="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C183" i="31"/>
  <c r="D183" i="31" s="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C182" i="31"/>
  <c r="D182" i="31" s="1"/>
  <c r="E182" i="31" s="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C181" i="31"/>
  <c r="D181" i="31" s="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C180" i="31"/>
  <c r="D180" i="31" s="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C179" i="31"/>
  <c r="D179" i="31" s="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C178" i="31"/>
  <c r="D178" i="31" s="1"/>
  <c r="E178" i="31" s="1"/>
  <c r="F178" i="31" s="1"/>
  <c r="G178" i="31" s="1"/>
  <c r="H178" i="31" s="1"/>
  <c r="I178" i="31" s="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T178" i="31" s="1"/>
  <c r="U178" i="31" s="1"/>
  <c r="V178" i="31" s="1"/>
  <c r="W178" i="31" s="1"/>
  <c r="X178" i="31" s="1"/>
  <c r="Y178" i="31" s="1"/>
  <c r="Z178" i="31" s="1"/>
  <c r="AA178" i="31" s="1"/>
  <c r="AB178" i="31" s="1"/>
  <c r="AC178" i="31" s="1"/>
  <c r="AD178" i="31" s="1"/>
  <c r="AE178" i="31" s="1"/>
  <c r="AF178" i="31" s="1"/>
  <c r="C177" i="31"/>
  <c r="D177" i="31" s="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C175" i="31"/>
  <c r="D175" i="31" s="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C174" i="31"/>
  <c r="D174" i="31" s="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C173" i="31"/>
  <c r="D173" i="31" s="1"/>
  <c r="E173" i="31" s="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G172" i="3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C172" i="31"/>
  <c r="D172" i="31" s="1"/>
  <c r="E172" i="31" s="1"/>
  <c r="F172" i="31" s="1"/>
  <c r="C171" i="31"/>
  <c r="D171" i="31" s="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C170" i="31"/>
  <c r="D170" i="31" s="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C169" i="31"/>
  <c r="D169" i="31" s="1"/>
  <c r="E169" i="31" s="1"/>
  <c r="F169" i="31" s="1"/>
  <c r="G169" i="31" s="1"/>
  <c r="H169" i="31" s="1"/>
  <c r="I169" i="31" s="1"/>
  <c r="J169" i="31" s="1"/>
  <c r="K169" i="31" s="1"/>
  <c r="L169" i="31" s="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C168" i="31"/>
  <c r="D168" i="31" s="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C166" i="31"/>
  <c r="D166" i="31" s="1"/>
  <c r="E166" i="31" s="1"/>
  <c r="F166" i="31" s="1"/>
  <c r="G166" i="31" s="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C165" i="31"/>
  <c r="D165" i="31" s="1"/>
  <c r="E165" i="31" s="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C164" i="31"/>
  <c r="D164" i="31" s="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D163" i="31"/>
  <c r="E163" i="31" s="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C163" i="31"/>
  <c r="C162" i="31"/>
  <c r="D162" i="31" s="1"/>
  <c r="E162" i="31" s="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C161" i="31"/>
  <c r="D161" i="31" s="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C160" i="31"/>
  <c r="D160" i="31" s="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C159" i="31"/>
  <c r="D159" i="31" s="1"/>
  <c r="E159" i="31" s="1"/>
  <c r="F159" i="31" s="1"/>
  <c r="G159" i="31" s="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C158" i="31"/>
  <c r="D158" i="31" s="1"/>
  <c r="E158" i="31" s="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F157" i="3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C157" i="31"/>
  <c r="D157" i="31" s="1"/>
  <c r="E157" i="31" s="1"/>
  <c r="C156" i="31"/>
  <c r="D156" i="31" s="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C155" i="31"/>
  <c r="D155" i="31" s="1"/>
  <c r="E155" i="31" s="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Q155" i="31" s="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C154" i="31"/>
  <c r="D154" i="31" s="1"/>
  <c r="E154" i="31" s="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C152" i="31"/>
  <c r="D152" i="31" s="1"/>
  <c r="E152" i="31" s="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C151" i="31"/>
  <c r="D151" i="31" s="1"/>
  <c r="E151" i="31" s="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C150" i="31"/>
  <c r="D150" i="31" s="1"/>
  <c r="E150" i="31" s="1"/>
  <c r="F150" i="31" s="1"/>
  <c r="G150" i="31" s="1"/>
  <c r="H150" i="31" s="1"/>
  <c r="I150" i="31" s="1"/>
  <c r="J150" i="31" s="1"/>
  <c r="K150" i="31" s="1"/>
  <c r="L150" i="31" s="1"/>
  <c r="M150" i="31" s="1"/>
  <c r="N150" i="31" s="1"/>
  <c r="O150" i="31" s="1"/>
  <c r="P150" i="31" s="1"/>
  <c r="Q150" i="31" s="1"/>
  <c r="R150" i="31" s="1"/>
  <c r="S150" i="31" s="1"/>
  <c r="T150" i="31" s="1"/>
  <c r="U150" i="31" s="1"/>
  <c r="V150" i="31" s="1"/>
  <c r="W150" i="31" s="1"/>
  <c r="X150" i="31" s="1"/>
  <c r="Y150" i="31" s="1"/>
  <c r="Z150" i="31" s="1"/>
  <c r="AA150" i="31" s="1"/>
  <c r="AB150" i="31" s="1"/>
  <c r="AC150" i="31" s="1"/>
  <c r="AD150" i="31" s="1"/>
  <c r="AE150" i="31" s="1"/>
  <c r="AF150" i="31" s="1"/>
  <c r="C149" i="31"/>
  <c r="D149" i="31" s="1"/>
  <c r="E149" i="31" s="1"/>
  <c r="F149" i="31" s="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C147" i="31"/>
  <c r="D147" i="31" s="1"/>
  <c r="E147" i="31" s="1"/>
  <c r="F147" i="31" s="1"/>
  <c r="G147" i="31" s="1"/>
  <c r="H147" i="31" s="1"/>
  <c r="I147" i="31" s="1"/>
  <c r="J147" i="31" s="1"/>
  <c r="K147" i="31" s="1"/>
  <c r="L147" i="31" s="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Y147" i="31" s="1"/>
  <c r="Z147" i="31" s="1"/>
  <c r="AA147" i="31" s="1"/>
  <c r="AB147" i="31" s="1"/>
  <c r="AC147" i="31" s="1"/>
  <c r="AD147" i="31" s="1"/>
  <c r="AE147" i="31" s="1"/>
  <c r="AF147" i="31" s="1"/>
  <c r="C146" i="31"/>
  <c r="D146" i="31" s="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C144" i="31"/>
  <c r="D144" i="31" s="1"/>
  <c r="E144" i="31" s="1"/>
  <c r="F144" i="31" s="1"/>
  <c r="G144" i="31" s="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C143" i="31"/>
  <c r="D143" i="31" s="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J142" i="3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C142" i="31"/>
  <c r="D142" i="31" s="1"/>
  <c r="E142" i="31" s="1"/>
  <c r="F142" i="31" s="1"/>
  <c r="G142" i="31" s="1"/>
  <c r="H142" i="31" s="1"/>
  <c r="I142" i="31" s="1"/>
  <c r="C141" i="31"/>
  <c r="D141" i="31" s="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C140" i="31"/>
  <c r="D140" i="31" s="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C139" i="31"/>
  <c r="D139" i="31" s="1"/>
  <c r="E139" i="31" s="1"/>
  <c r="F139" i="31" s="1"/>
  <c r="G139" i="31" s="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C138" i="31"/>
  <c r="D138" i="31" s="1"/>
  <c r="E138" i="31" s="1"/>
  <c r="F138" i="31" s="1"/>
  <c r="G138" i="31" s="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C136" i="31"/>
  <c r="D136" i="31" s="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C135" i="31"/>
  <c r="D135" i="31" s="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C134" i="31"/>
  <c r="D134" i="31" s="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C133" i="31"/>
  <c r="D133" i="31" s="1"/>
  <c r="E133" i="31" s="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C132" i="31"/>
  <c r="D132" i="31" s="1"/>
  <c r="E132" i="31" s="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C131" i="31"/>
  <c r="D131" i="31" s="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C130" i="31"/>
  <c r="D130" i="31" s="1"/>
  <c r="E130" i="31" s="1"/>
  <c r="F130" i="31" s="1"/>
  <c r="G130" i="31" s="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O129" i="3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C129" i="31"/>
  <c r="D129" i="31" s="1"/>
  <c r="E129" i="31" s="1"/>
  <c r="F129" i="31" s="1"/>
  <c r="G129" i="31" s="1"/>
  <c r="H129" i="31" s="1"/>
  <c r="I129" i="31" s="1"/>
  <c r="J129" i="31" s="1"/>
  <c r="K129" i="31" s="1"/>
  <c r="L129" i="31" s="1"/>
  <c r="M129" i="31" s="1"/>
  <c r="N129" i="31" s="1"/>
  <c r="C127" i="31"/>
  <c r="D127" i="31" s="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C126" i="31"/>
  <c r="D126" i="31" s="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C125" i="31"/>
  <c r="D125" i="31" s="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C124" i="31"/>
  <c r="D124" i="31" s="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C123" i="31"/>
  <c r="C122" i="31"/>
  <c r="D122" i="31" s="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C121" i="31"/>
  <c r="D121" i="31" s="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C120" i="31"/>
  <c r="D120" i="31" s="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C119" i="31"/>
  <c r="D119" i="31" s="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C118" i="31"/>
  <c r="D118" i="31" s="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C117" i="31"/>
  <c r="D117" i="31" s="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C116" i="31"/>
  <c r="D116" i="31" s="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C115" i="31"/>
  <c r="D115" i="31" s="1"/>
  <c r="E115" i="31" s="1"/>
  <c r="F115" i="31" s="1"/>
  <c r="G115" i="31" s="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C114" i="31"/>
  <c r="D114" i="31" s="1"/>
  <c r="E114" i="31" s="1"/>
  <c r="F114" i="31" s="1"/>
  <c r="G114" i="31" s="1"/>
  <c r="H114" i="31" s="1"/>
  <c r="I114" i="31" s="1"/>
  <c r="J114" i="31" s="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C113" i="31"/>
  <c r="J112" i="3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C112" i="31"/>
  <c r="D112" i="31" s="1"/>
  <c r="E112" i="31" s="1"/>
  <c r="F112" i="31" s="1"/>
  <c r="G112" i="31" s="1"/>
  <c r="H112" i="31" s="1"/>
  <c r="C111" i="31"/>
  <c r="D111" i="31" s="1"/>
  <c r="E111" i="31" s="1"/>
  <c r="F111" i="31" s="1"/>
  <c r="G111" i="31" s="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C110" i="31"/>
  <c r="D110" i="31" s="1"/>
  <c r="E110" i="31" s="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C108" i="31"/>
  <c r="D108" i="31" s="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C107" i="31"/>
  <c r="C105" i="31"/>
  <c r="D105" i="31" s="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C104" i="31"/>
  <c r="D104" i="31" s="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C103" i="31"/>
  <c r="D103" i="31" s="1"/>
  <c r="E103" i="31" s="1"/>
  <c r="F103" i="31" s="1"/>
  <c r="G103" i="31" s="1"/>
  <c r="H103" i="31" s="1"/>
  <c r="I103" i="31" s="1"/>
  <c r="J103" i="31" s="1"/>
  <c r="K103" i="31" s="1"/>
  <c r="L103" i="31" s="1"/>
  <c r="M103" i="31" s="1"/>
  <c r="N103" i="31" s="1"/>
  <c r="O103" i="31" s="1"/>
  <c r="P103" i="31" s="1"/>
  <c r="Q103" i="31" s="1"/>
  <c r="R103" i="31" s="1"/>
  <c r="S103" i="31" s="1"/>
  <c r="T103" i="31" s="1"/>
  <c r="U103" i="31" s="1"/>
  <c r="V103" i="31" s="1"/>
  <c r="W103" i="31" s="1"/>
  <c r="X103" i="31" s="1"/>
  <c r="Y103" i="31" s="1"/>
  <c r="Z103" i="31" s="1"/>
  <c r="AA103" i="31" s="1"/>
  <c r="AB103" i="31" s="1"/>
  <c r="AC103" i="31" s="1"/>
  <c r="AD103" i="31" s="1"/>
  <c r="AE103" i="31" s="1"/>
  <c r="AF103" i="31" s="1"/>
  <c r="D102" i="31"/>
  <c r="E102" i="31" s="1"/>
  <c r="F102" i="31" s="1"/>
  <c r="G102" i="31" s="1"/>
  <c r="H102" i="31" s="1"/>
  <c r="I102" i="31" s="1"/>
  <c r="J102" i="31" s="1"/>
  <c r="K102" i="31" s="1"/>
  <c r="L102" i="31" s="1"/>
  <c r="M102" i="31" s="1"/>
  <c r="N102" i="31" s="1"/>
  <c r="O102" i="31" s="1"/>
  <c r="P102" i="31" s="1"/>
  <c r="Q102" i="31" s="1"/>
  <c r="R102" i="31" s="1"/>
  <c r="S102" i="31" s="1"/>
  <c r="T102" i="31" s="1"/>
  <c r="U102" i="31" s="1"/>
  <c r="V102" i="31" s="1"/>
  <c r="W102" i="31" s="1"/>
  <c r="X102" i="31" s="1"/>
  <c r="Y102" i="31" s="1"/>
  <c r="Z102" i="31" s="1"/>
  <c r="AA102" i="31" s="1"/>
  <c r="AB102" i="31" s="1"/>
  <c r="AC102" i="31" s="1"/>
  <c r="AD102" i="31" s="1"/>
  <c r="AE102" i="31" s="1"/>
  <c r="AF102" i="31" s="1"/>
  <c r="C102" i="31"/>
  <c r="C101" i="31"/>
  <c r="D101" i="31" s="1"/>
  <c r="D100" i="31"/>
  <c r="C100" i="31"/>
  <c r="AH97" i="31"/>
  <c r="AI97" i="31" s="1"/>
  <c r="AH96" i="31"/>
  <c r="AI96" i="31" s="1"/>
  <c r="AH95" i="31"/>
  <c r="AI95" i="31" s="1"/>
  <c r="AH94" i="31"/>
  <c r="AI94" i="31" s="1"/>
  <c r="AH93" i="31"/>
  <c r="AI93" i="31" s="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G81" i="31"/>
  <c r="AI80" i="31"/>
  <c r="AH80" i="31"/>
  <c r="AF79" i="31"/>
  <c r="AE79" i="31"/>
  <c r="AD79" i="31"/>
  <c r="AC79" i="31"/>
  <c r="AB79" i="31"/>
  <c r="AA79" i="31"/>
  <c r="Z79" i="31"/>
  <c r="Y79" i="31"/>
  <c r="X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AF78" i="31"/>
  <c r="AE78" i="31"/>
  <c r="AD78" i="31"/>
  <c r="AC78" i="31"/>
  <c r="AB78" i="31"/>
  <c r="AA78" i="31"/>
  <c r="Z78" i="31"/>
  <c r="Y78" i="31"/>
  <c r="X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AF77" i="31"/>
  <c r="AE77" i="31"/>
  <c r="AD77" i="31"/>
  <c r="AC77" i="31"/>
  <c r="AB77" i="31"/>
  <c r="AA77" i="31"/>
  <c r="Z77" i="31"/>
  <c r="Y77" i="31"/>
  <c r="X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AF76" i="31"/>
  <c r="AE76" i="31"/>
  <c r="AD76" i="31"/>
  <c r="AC76" i="31"/>
  <c r="AB76" i="31"/>
  <c r="AA76" i="31"/>
  <c r="Z76" i="31"/>
  <c r="Y76" i="31"/>
  <c r="X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AF75" i="31"/>
  <c r="AE75" i="31"/>
  <c r="AD75" i="31"/>
  <c r="AC75" i="31"/>
  <c r="AB75" i="31"/>
  <c r="AA75" i="31"/>
  <c r="Z75" i="31"/>
  <c r="Z81" i="31" s="1"/>
  <c r="Y75" i="31"/>
  <c r="X75" i="31"/>
  <c r="V75" i="31"/>
  <c r="U75" i="31"/>
  <c r="T75" i="31"/>
  <c r="S75" i="31"/>
  <c r="R75" i="31"/>
  <c r="R81" i="31" s="1"/>
  <c r="Q75" i="31"/>
  <c r="P75" i="31"/>
  <c r="O75" i="31"/>
  <c r="N75" i="31"/>
  <c r="M75" i="31"/>
  <c r="L75" i="31"/>
  <c r="K75" i="31"/>
  <c r="J75" i="31"/>
  <c r="J81" i="31" s="1"/>
  <c r="I75" i="31"/>
  <c r="H75" i="31"/>
  <c r="G75" i="31"/>
  <c r="F75" i="31"/>
  <c r="E75" i="31"/>
  <c r="D75" i="31"/>
  <c r="C75" i="31"/>
  <c r="AI73" i="31"/>
  <c r="AH73" i="31"/>
  <c r="AG71" i="31"/>
  <c r="AF71" i="31"/>
  <c r="AE71" i="31"/>
  <c r="AD71" i="31"/>
  <c r="AC71" i="31"/>
  <c r="AB71" i="31"/>
  <c r="AA71" i="31"/>
  <c r="Z71" i="31"/>
  <c r="Y71" i="31"/>
  <c r="X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AI70" i="31"/>
  <c r="AH70" i="31"/>
  <c r="AI69" i="31"/>
  <c r="AH69" i="31"/>
  <c r="AI68" i="31"/>
  <c r="AH68" i="31"/>
  <c r="AG67" i="31"/>
  <c r="AF67" i="31"/>
  <c r="AF5" i="31" s="1"/>
  <c r="AE67" i="31"/>
  <c r="AE5" i="31" s="1"/>
  <c r="AD67" i="31"/>
  <c r="AC67" i="31"/>
  <c r="AC5" i="31" s="1"/>
  <c r="AB67" i="31"/>
  <c r="AA67" i="31"/>
  <c r="AA5" i="31" s="1"/>
  <c r="Z67" i="31"/>
  <c r="Y67" i="31"/>
  <c r="X67" i="31"/>
  <c r="X5" i="31" s="1"/>
  <c r="W5" i="31"/>
  <c r="V67" i="31"/>
  <c r="V5" i="31" s="1"/>
  <c r="U67" i="31"/>
  <c r="T67" i="31"/>
  <c r="T5" i="31" s="1"/>
  <c r="S67" i="31"/>
  <c r="S5" i="31" s="1"/>
  <c r="R67" i="31"/>
  <c r="R5" i="31" s="1"/>
  <c r="Q67" i="31"/>
  <c r="P67" i="31"/>
  <c r="P5" i="31" s="1"/>
  <c r="O67" i="31"/>
  <c r="N67" i="31"/>
  <c r="N5" i="31" s="1"/>
  <c r="M67" i="31"/>
  <c r="M5" i="31" s="1"/>
  <c r="L67" i="31"/>
  <c r="L5" i="31" s="1"/>
  <c r="K67" i="31"/>
  <c r="K5" i="31" s="1"/>
  <c r="J67" i="31"/>
  <c r="I67" i="31"/>
  <c r="H67" i="31"/>
  <c r="H5" i="31" s="1"/>
  <c r="G67" i="31"/>
  <c r="F67" i="31"/>
  <c r="F5" i="31" s="1"/>
  <c r="E67" i="31"/>
  <c r="D67" i="31"/>
  <c r="C67" i="31"/>
  <c r="C5" i="31" s="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G55" i="31"/>
  <c r="AG4" i="31" s="1"/>
  <c r="AF55" i="31"/>
  <c r="AE55" i="31"/>
  <c r="AD55" i="31"/>
  <c r="AC55" i="31"/>
  <c r="AB55" i="31"/>
  <c r="AA55" i="31"/>
  <c r="Z55" i="31"/>
  <c r="Y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I54" i="31"/>
  <c r="AH54" i="31"/>
  <c r="AI53" i="31"/>
  <c r="AH53" i="31"/>
  <c r="AI52" i="31"/>
  <c r="AH52" i="31"/>
  <c r="Y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G51" i="31" s="1"/>
  <c r="AG3" i="31" s="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G37" i="31"/>
  <c r="AF37" i="31"/>
  <c r="AE37" i="31"/>
  <c r="AD37" i="31"/>
  <c r="AC37" i="31"/>
  <c r="AB37" i="31"/>
  <c r="AA37" i="31"/>
  <c r="Z37" i="31"/>
  <c r="Y37" i="31"/>
  <c r="X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D5" i="31"/>
  <c r="AB5" i="31"/>
  <c r="Z5" i="31"/>
  <c r="O5" i="31"/>
  <c r="J5" i="31"/>
  <c r="G5" i="31"/>
  <c r="E5" i="31"/>
  <c r="D5" i="31"/>
  <c r="B5" i="31"/>
  <c r="K4" i="31"/>
  <c r="B4" i="31"/>
  <c r="AG2" i="31"/>
  <c r="E4" i="31"/>
  <c r="B81" i="31" l="1"/>
  <c r="U81" i="31"/>
  <c r="M81" i="31"/>
  <c r="AC81" i="31"/>
  <c r="F81" i="31"/>
  <c r="V81" i="31"/>
  <c r="AD81" i="31"/>
  <c r="AF81" i="31"/>
  <c r="X81" i="31"/>
  <c r="S81" i="31"/>
  <c r="AA81" i="31"/>
  <c r="Y74" i="31"/>
  <c r="Y81" i="31"/>
  <c r="G81" i="31"/>
  <c r="AE81" i="31"/>
  <c r="H74" i="31"/>
  <c r="P74" i="31"/>
  <c r="D81" i="31"/>
  <c r="T81" i="31"/>
  <c r="AB81" i="31"/>
  <c r="S74" i="31"/>
  <c r="AK212" i="31" s="1"/>
  <c r="S72" i="31"/>
  <c r="Q81" i="31"/>
  <c r="P81" i="31"/>
  <c r="O81" i="31"/>
  <c r="O72" i="31"/>
  <c r="N81" i="31"/>
  <c r="M72" i="31"/>
  <c r="L81" i="31"/>
  <c r="L72" i="31"/>
  <c r="L74" i="31"/>
  <c r="K81" i="31"/>
  <c r="K72" i="31"/>
  <c r="K74" i="31"/>
  <c r="I81" i="31"/>
  <c r="I74" i="31"/>
  <c r="AA212" i="31" s="1"/>
  <c r="H81" i="31"/>
  <c r="AI79" i="31"/>
  <c r="E81" i="31"/>
  <c r="AH76" i="31"/>
  <c r="E72" i="31"/>
  <c r="D72" i="31"/>
  <c r="G74" i="31"/>
  <c r="G7" i="31" s="1"/>
  <c r="G72" i="31"/>
  <c r="AH79" i="31"/>
  <c r="C81" i="31"/>
  <c r="C72" i="31"/>
  <c r="C74" i="31"/>
  <c r="D74" i="31"/>
  <c r="V212" i="31" s="1"/>
  <c r="B74" i="31"/>
  <c r="AI78" i="31"/>
  <c r="B72" i="31"/>
  <c r="H4" i="31"/>
  <c r="AH212" i="31"/>
  <c r="P7" i="31"/>
  <c r="I7" i="31"/>
  <c r="AQ212" i="31"/>
  <c r="Y7" i="31"/>
  <c r="Z212" i="31"/>
  <c r="H7" i="31"/>
  <c r="AI37" i="31"/>
  <c r="AH37" i="31"/>
  <c r="E74" i="31"/>
  <c r="M74" i="31"/>
  <c r="M82" i="31" s="1"/>
  <c r="AH75" i="31"/>
  <c r="AI77" i="31"/>
  <c r="U5" i="31"/>
  <c r="AI55" i="31"/>
  <c r="F74" i="31"/>
  <c r="N74" i="31"/>
  <c r="AI75" i="31"/>
  <c r="AI76" i="31"/>
  <c r="AG6" i="31"/>
  <c r="D113" i="3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C92" i="31"/>
  <c r="F72" i="31"/>
  <c r="N72" i="31"/>
  <c r="H72" i="31"/>
  <c r="H82" i="31" s="1"/>
  <c r="P72" i="31"/>
  <c r="P82" i="31" s="1"/>
  <c r="O74" i="31"/>
  <c r="O82" i="31" s="1"/>
  <c r="E100" i="31"/>
  <c r="E101" i="31"/>
  <c r="I72" i="31"/>
  <c r="I5" i="31"/>
  <c r="Q5" i="31"/>
  <c r="Q72" i="31"/>
  <c r="Y72" i="31"/>
  <c r="Y82" i="31" s="1"/>
  <c r="Y5" i="31"/>
  <c r="AG72" i="31"/>
  <c r="S82" i="31"/>
  <c r="S209" i="31"/>
  <c r="D209" i="31"/>
  <c r="J72" i="31"/>
  <c r="R72" i="31"/>
  <c r="Q74" i="31"/>
  <c r="AG74" i="31"/>
  <c r="AH78" i="31"/>
  <c r="J74" i="31"/>
  <c r="R74" i="31"/>
  <c r="C190" i="31"/>
  <c r="AH55" i="31"/>
  <c r="AH67" i="31"/>
  <c r="AH71" i="31"/>
  <c r="AI67" i="31"/>
  <c r="AI71" i="31"/>
  <c r="AH77" i="31"/>
  <c r="C233" i="31"/>
  <c r="D197" i="31"/>
  <c r="D198" i="31" s="1"/>
  <c r="E192" i="31"/>
  <c r="C198" i="31"/>
  <c r="AH81" i="31" l="1"/>
  <c r="F82" i="31"/>
  <c r="E82" i="31"/>
  <c r="I82" i="31"/>
  <c r="AI81" i="31"/>
  <c r="G82" i="31"/>
  <c r="K82" i="31"/>
  <c r="D92" i="31"/>
  <c r="AG82" i="31"/>
  <c r="Y212" i="31"/>
  <c r="S7" i="31"/>
  <c r="R82" i="31"/>
  <c r="Q82" i="31"/>
  <c r="N82" i="31"/>
  <c r="AD212" i="31"/>
  <c r="L7" i="31"/>
  <c r="L82" i="31"/>
  <c r="AC212" i="31"/>
  <c r="K7" i="31"/>
  <c r="J82" i="31"/>
  <c r="D7" i="31"/>
  <c r="C82" i="31"/>
  <c r="U212" i="31"/>
  <c r="C7" i="31"/>
  <c r="D82" i="31"/>
  <c r="B82" i="31"/>
  <c r="AJ212" i="31"/>
  <c r="R7" i="31"/>
  <c r="E92" i="31"/>
  <c r="F101" i="31"/>
  <c r="E190" i="31"/>
  <c r="F100" i="31"/>
  <c r="F192" i="31"/>
  <c r="D190" i="31"/>
  <c r="B207" i="31"/>
  <c r="X212" i="31"/>
  <c r="C207" i="31"/>
  <c r="F7" i="31"/>
  <c r="AE212" i="31"/>
  <c r="M7" i="31"/>
  <c r="AF212" i="31"/>
  <c r="N7" i="31"/>
  <c r="AI212" i="31"/>
  <c r="Q7" i="31"/>
  <c r="AG212" i="31"/>
  <c r="O7" i="31"/>
  <c r="W212" i="31"/>
  <c r="E7" i="31"/>
  <c r="AB212" i="31"/>
  <c r="J7" i="31"/>
  <c r="D233" i="31"/>
  <c r="E197" i="31"/>
  <c r="K6" i="31" l="1"/>
  <c r="E233" i="31"/>
  <c r="F197" i="31"/>
  <c r="E198" i="31"/>
  <c r="G192" i="31"/>
  <c r="F198" i="31"/>
  <c r="F190" i="31"/>
  <c r="G100" i="31"/>
  <c r="T212" i="31"/>
  <c r="B7" i="31"/>
  <c r="G101" i="31"/>
  <c r="F92" i="31"/>
  <c r="G190" i="31" l="1"/>
  <c r="H100" i="31"/>
  <c r="H101" i="31"/>
  <c r="G92" i="31"/>
  <c r="H192" i="31"/>
  <c r="F233" i="31"/>
  <c r="G197" i="31"/>
  <c r="H197" i="31" l="1"/>
  <c r="H198" i="31" s="1"/>
  <c r="G233" i="31"/>
  <c r="H190" i="31"/>
  <c r="I100" i="31"/>
  <c r="I192" i="31"/>
  <c r="I101" i="31"/>
  <c r="H92" i="31"/>
  <c r="G198" i="31"/>
  <c r="J192" i="31" l="1"/>
  <c r="I92" i="31"/>
  <c r="J101" i="31"/>
  <c r="I190" i="31"/>
  <c r="J100" i="31"/>
  <c r="I197" i="31"/>
  <c r="H233" i="31"/>
  <c r="J197" i="31" l="1"/>
  <c r="I233" i="31"/>
  <c r="J190" i="31"/>
  <c r="K100" i="31"/>
  <c r="K101" i="31"/>
  <c r="J92" i="31"/>
  <c r="J198" i="31"/>
  <c r="K192" i="31"/>
  <c r="I198" i="31"/>
  <c r="L192" i="31" l="1"/>
  <c r="L101" i="31"/>
  <c r="K190" i="31"/>
  <c r="L100" i="31"/>
  <c r="K197" i="31"/>
  <c r="K92" i="31" s="1"/>
  <c r="J233" i="31"/>
  <c r="K233" i="31" l="1"/>
  <c r="L197" i="31"/>
  <c r="L190" i="31"/>
  <c r="M100" i="31"/>
  <c r="M101" i="31"/>
  <c r="L92" i="31"/>
  <c r="M192" i="31"/>
  <c r="L198" i="31"/>
  <c r="K198" i="31"/>
  <c r="N101" i="31" l="1"/>
  <c r="M190" i="31"/>
  <c r="N100" i="31"/>
  <c r="L233" i="31"/>
  <c r="M197" i="31"/>
  <c r="N192" i="31"/>
  <c r="M198" i="31"/>
  <c r="M233" i="31" l="1"/>
  <c r="N197" i="31"/>
  <c r="N190" i="31"/>
  <c r="O100" i="31"/>
  <c r="O101" i="31"/>
  <c r="N92" i="31"/>
  <c r="O192" i="31"/>
  <c r="N198" i="31"/>
  <c r="M92" i="31"/>
  <c r="O190" i="31" l="1"/>
  <c r="P100" i="31"/>
  <c r="N233" i="31"/>
  <c r="O197" i="31"/>
  <c r="O198" i="31" s="1"/>
  <c r="P192" i="31"/>
  <c r="P101" i="31"/>
  <c r="O92" i="31"/>
  <c r="Q101" i="31" l="1"/>
  <c r="Q192" i="31"/>
  <c r="P190" i="31"/>
  <c r="Q100" i="31"/>
  <c r="O233" i="31"/>
  <c r="P197" i="31"/>
  <c r="P92" i="31" s="1"/>
  <c r="Q197" i="31" l="1"/>
  <c r="P233" i="31"/>
  <c r="Q190" i="31"/>
  <c r="R100" i="31"/>
  <c r="Q198" i="31"/>
  <c r="R192" i="31"/>
  <c r="P198" i="31"/>
  <c r="Q92" i="31"/>
  <c r="R101" i="31"/>
  <c r="R190" i="31" l="1"/>
  <c r="S100" i="31"/>
  <c r="S192" i="31"/>
  <c r="S101" i="31"/>
  <c r="R92" i="31"/>
  <c r="R197" i="31"/>
  <c r="Q233" i="31"/>
  <c r="S197" i="31" l="1"/>
  <c r="R233" i="31"/>
  <c r="R198" i="31"/>
  <c r="T101" i="31"/>
  <c r="S92" i="31"/>
  <c r="T192" i="31"/>
  <c r="S198" i="31"/>
  <c r="S190" i="31"/>
  <c r="T100" i="31"/>
  <c r="U192" i="31" l="1"/>
  <c r="U101" i="31"/>
  <c r="T190" i="31"/>
  <c r="U100" i="31"/>
  <c r="T197" i="31"/>
  <c r="S233" i="31"/>
  <c r="T233" i="31" l="1"/>
  <c r="U197" i="31"/>
  <c r="U198" i="31" s="1"/>
  <c r="U50" i="31" s="1"/>
  <c r="U51" i="31" s="1"/>
  <c r="U190" i="31"/>
  <c r="V100" i="31"/>
  <c r="T92" i="31"/>
  <c r="U92" i="31"/>
  <c r="V101" i="31"/>
  <c r="V192" i="31"/>
  <c r="T198" i="31"/>
  <c r="T50" i="31" s="1"/>
  <c r="W101" i="31" l="1"/>
  <c r="V92" i="31"/>
  <c r="V190" i="31"/>
  <c r="W100" i="31"/>
  <c r="W192" i="31"/>
  <c r="V198" i="31"/>
  <c r="V50" i="31" s="1"/>
  <c r="V51" i="31" s="1"/>
  <c r="T51" i="31"/>
  <c r="U233" i="31"/>
  <c r="V197" i="31"/>
  <c r="U72" i="31"/>
  <c r="U74" i="31"/>
  <c r="T74" i="31" l="1"/>
  <c r="T72" i="31"/>
  <c r="AM212" i="31"/>
  <c r="U7" i="31"/>
  <c r="V72" i="31"/>
  <c r="V74" i="31"/>
  <c r="X192" i="31"/>
  <c r="U82" i="31"/>
  <c r="W190" i="31"/>
  <c r="X100" i="31"/>
  <c r="V233" i="31"/>
  <c r="W197" i="31"/>
  <c r="X101" i="31"/>
  <c r="AN212" i="31" l="1"/>
  <c r="V7" i="31"/>
  <c r="W233" i="31"/>
  <c r="X197" i="31"/>
  <c r="V82" i="31"/>
  <c r="X190" i="31"/>
  <c r="Y100" i="31"/>
  <c r="W92" i="31"/>
  <c r="Y192" i="31"/>
  <c r="T82" i="31"/>
  <c r="Y101" i="31"/>
  <c r="X92" i="31"/>
  <c r="W198" i="31"/>
  <c r="AL212" i="31"/>
  <c r="T7" i="31"/>
  <c r="Z101" i="31" l="1"/>
  <c r="Z192" i="31"/>
  <c r="Y190" i="31"/>
  <c r="Z100" i="31"/>
  <c r="Y197" i="31"/>
  <c r="Y198" i="31" s="1"/>
  <c r="X233" i="31"/>
  <c r="X198" i="31"/>
  <c r="X50" i="31" s="1"/>
  <c r="X51" i="31" s="1"/>
  <c r="Y92" i="31" l="1"/>
  <c r="X74" i="31"/>
  <c r="X72" i="31"/>
  <c r="X82" i="31" s="1"/>
  <c r="AA101" i="31"/>
  <c r="Y233" i="31"/>
  <c r="Z197" i="31"/>
  <c r="AA192" i="31"/>
  <c r="Z190" i="31"/>
  <c r="AA100" i="31"/>
  <c r="AA197" i="31" l="1"/>
  <c r="Z233" i="31"/>
  <c r="AO212" i="31"/>
  <c r="W7" i="31"/>
  <c r="AB101" i="31"/>
  <c r="AA92" i="31"/>
  <c r="AA190" i="31"/>
  <c r="AB100" i="31"/>
  <c r="AA198" i="31"/>
  <c r="AA50" i="31" s="1"/>
  <c r="AA51" i="31" s="1"/>
  <c r="AB192" i="31"/>
  <c r="Z198" i="31"/>
  <c r="Z50" i="31" s="1"/>
  <c r="Z92" i="31"/>
  <c r="AP212" i="31"/>
  <c r="X7" i="31"/>
  <c r="AC192" i="31" l="1"/>
  <c r="AA74" i="31"/>
  <c r="AA72" i="31"/>
  <c r="Z51" i="31"/>
  <c r="AC101" i="31"/>
  <c r="AB190" i="31"/>
  <c r="AC100" i="31"/>
  <c r="AB197" i="31"/>
  <c r="AB198" i="31" s="1"/>
  <c r="AB50" i="31" s="1"/>
  <c r="AA233" i="31"/>
  <c r="AA82" i="31" l="1"/>
  <c r="AB51" i="31"/>
  <c r="AS212" i="31"/>
  <c r="AA7" i="31"/>
  <c r="AC92" i="31"/>
  <c r="AD101" i="31"/>
  <c r="Z72" i="31"/>
  <c r="Z74" i="31"/>
  <c r="AC190" i="31"/>
  <c r="AD100" i="31"/>
  <c r="AC197" i="31"/>
  <c r="AB233" i="31"/>
  <c r="AB92" i="31"/>
  <c r="AD192" i="31"/>
  <c r="AR212" i="31" l="1"/>
  <c r="Z7" i="31"/>
  <c r="Z82" i="31"/>
  <c r="AE101" i="31"/>
  <c r="AC233" i="31"/>
  <c r="AD197" i="31"/>
  <c r="AD198" i="31" s="1"/>
  <c r="AD50" i="31" s="1"/>
  <c r="AD51" i="31" s="1"/>
  <c r="AD190" i="31"/>
  <c r="AE100" i="31"/>
  <c r="AE192" i="31"/>
  <c r="AC198" i="31"/>
  <c r="AC50" i="31" s="1"/>
  <c r="AC51" i="31" s="1"/>
  <c r="AB74" i="31"/>
  <c r="AB72" i="31"/>
  <c r="AB82" i="31" l="1"/>
  <c r="AD74" i="31"/>
  <c r="AD72" i="31"/>
  <c r="AD82" i="31" s="1"/>
  <c r="AE190" i="31"/>
  <c r="AF100" i="31"/>
  <c r="AC72" i="31"/>
  <c r="AC74" i="31"/>
  <c r="AF101" i="31"/>
  <c r="AF192" i="31"/>
  <c r="AD233" i="31"/>
  <c r="AE197" i="31"/>
  <c r="AT212" i="31"/>
  <c r="AB7" i="31"/>
  <c r="AD92" i="31"/>
  <c r="AU212" i="31" l="1"/>
  <c r="AC7" i="31"/>
  <c r="AE233" i="31"/>
  <c r="AF197" i="31"/>
  <c r="AF233" i="31" s="1"/>
  <c r="AC82" i="31"/>
  <c r="AE198" i="31"/>
  <c r="AE50" i="31" s="1"/>
  <c r="AE51" i="31" s="1"/>
  <c r="AF190" i="31"/>
  <c r="AE92" i="31"/>
  <c r="AV212" i="31"/>
  <c r="AD7" i="31"/>
  <c r="AF92" i="31" l="1"/>
  <c r="AF198" i="31"/>
  <c r="AF50" i="31" s="1"/>
  <c r="AE74" i="31"/>
  <c r="AE72" i="31"/>
  <c r="AE82" i="31" s="1"/>
  <c r="AH92" i="31" l="1"/>
  <c r="AI92" i="31"/>
  <c r="AW212" i="31"/>
  <c r="AE7" i="31"/>
  <c r="AF51" i="31"/>
  <c r="AI50" i="31"/>
  <c r="AH50" i="31"/>
  <c r="AF74" i="31" l="1"/>
  <c r="AF72" i="31"/>
  <c r="AI51" i="31"/>
  <c r="AH51" i="31"/>
  <c r="AF82" i="31" l="1"/>
  <c r="AI72" i="31"/>
  <c r="AH72" i="31"/>
  <c r="AX212" i="31"/>
  <c r="AF7" i="31"/>
  <c r="A7" i="31" s="1"/>
  <c r="AH74" i="31"/>
  <c r="AI74" i="31"/>
  <c r="AH82" i="31" l="1"/>
  <c r="AI82" i="31"/>
  <c r="AF94" i="30" l="1"/>
  <c r="AF36" i="30"/>
  <c r="AE94" i="30"/>
  <c r="AE36" i="30"/>
  <c r="AD94" i="30"/>
  <c r="AD36" i="30"/>
  <c r="Z36" i="30"/>
  <c r="Y36" i="30"/>
  <c r="X36" i="30" l="1"/>
  <c r="W50" i="30"/>
  <c r="W51" i="30"/>
  <c r="W55" i="30"/>
  <c r="V36" i="30"/>
  <c r="U37" i="30"/>
  <c r="U36" i="30"/>
  <c r="T36" i="30"/>
  <c r="S36" i="30"/>
  <c r="R36" i="30"/>
  <c r="Q94" i="30"/>
  <c r="Q36" i="30"/>
  <c r="AK41" i="30" l="1"/>
  <c r="AK39" i="30"/>
  <c r="N36" i="30" l="1"/>
  <c r="M94" i="30"/>
  <c r="M36" i="30"/>
  <c r="L94" i="30"/>
  <c r="L36" i="30"/>
  <c r="K36" i="30"/>
  <c r="E36" i="30"/>
  <c r="AH98" i="30"/>
  <c r="AI98" i="30" s="1"/>
  <c r="B37" i="30"/>
  <c r="B92" i="30"/>
  <c r="B79" i="30"/>
  <c r="B78" i="30"/>
  <c r="B77" i="30"/>
  <c r="B76" i="30"/>
  <c r="B75" i="30"/>
  <c r="B81" i="30" s="1"/>
  <c r="B71" i="30"/>
  <c r="B67" i="30"/>
  <c r="B55" i="30"/>
  <c r="B50" i="30"/>
  <c r="B51" i="30" s="1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B235" i="30"/>
  <c r="A235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B234" i="30"/>
  <c r="A234" i="30"/>
  <c r="C233" i="30"/>
  <c r="B233" i="30"/>
  <c r="S208" i="30"/>
  <c r="AG198" i="30"/>
  <c r="B198" i="30"/>
  <c r="C197" i="30"/>
  <c r="D197" i="30" s="1"/>
  <c r="E197" i="30" s="1"/>
  <c r="E233" i="30" s="1"/>
  <c r="D196" i="30"/>
  <c r="E196" i="30" s="1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C196" i="30"/>
  <c r="C195" i="30"/>
  <c r="D195" i="30" s="1"/>
  <c r="E195" i="30" s="1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E194" i="30"/>
  <c r="F194" i="30" s="1"/>
  <c r="G194" i="30" s="1"/>
  <c r="H194" i="30" s="1"/>
  <c r="I194" i="30" s="1"/>
  <c r="J194" i="30" s="1"/>
  <c r="K194" i="30" s="1"/>
  <c r="L194" i="30" s="1"/>
  <c r="M194" i="30" s="1"/>
  <c r="N194" i="30" s="1"/>
  <c r="O194" i="30" s="1"/>
  <c r="P194" i="30" s="1"/>
  <c r="Q194" i="30" s="1"/>
  <c r="R194" i="30" s="1"/>
  <c r="S194" i="30" s="1"/>
  <c r="T194" i="30" s="1"/>
  <c r="U194" i="30" s="1"/>
  <c r="V194" i="30" s="1"/>
  <c r="W194" i="30" s="1"/>
  <c r="X194" i="30" s="1"/>
  <c r="Y194" i="30" s="1"/>
  <c r="Z194" i="30" s="1"/>
  <c r="AA194" i="30" s="1"/>
  <c r="AB194" i="30" s="1"/>
  <c r="AC194" i="30" s="1"/>
  <c r="AD194" i="30" s="1"/>
  <c r="AE194" i="30" s="1"/>
  <c r="AF194" i="30" s="1"/>
  <c r="D194" i="30"/>
  <c r="C194" i="30"/>
  <c r="E193" i="30"/>
  <c r="F193" i="30" s="1"/>
  <c r="G193" i="30" s="1"/>
  <c r="H193" i="30" s="1"/>
  <c r="I193" i="30" s="1"/>
  <c r="J193" i="30" s="1"/>
  <c r="K193" i="30" s="1"/>
  <c r="L193" i="30" s="1"/>
  <c r="M193" i="30" s="1"/>
  <c r="N193" i="30" s="1"/>
  <c r="O193" i="30" s="1"/>
  <c r="P193" i="30" s="1"/>
  <c r="Q193" i="30" s="1"/>
  <c r="R193" i="30" s="1"/>
  <c r="S193" i="30" s="1"/>
  <c r="T193" i="30" s="1"/>
  <c r="U193" i="30" s="1"/>
  <c r="V193" i="30" s="1"/>
  <c r="W193" i="30" s="1"/>
  <c r="X193" i="30" s="1"/>
  <c r="Y193" i="30" s="1"/>
  <c r="Z193" i="30" s="1"/>
  <c r="AA193" i="30" s="1"/>
  <c r="AB193" i="30" s="1"/>
  <c r="AC193" i="30" s="1"/>
  <c r="AD193" i="30" s="1"/>
  <c r="AE193" i="30" s="1"/>
  <c r="AF193" i="30" s="1"/>
  <c r="C193" i="30"/>
  <c r="D193" i="30" s="1"/>
  <c r="C192" i="30"/>
  <c r="C198" i="30" s="1"/>
  <c r="AG190" i="30"/>
  <c r="B190" i="30"/>
  <c r="D189" i="30"/>
  <c r="E189" i="30" s="1"/>
  <c r="F189" i="30" s="1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C189" i="30"/>
  <c r="C188" i="30"/>
  <c r="D188" i="30" s="1"/>
  <c r="E188" i="30" s="1"/>
  <c r="F188" i="30" s="1"/>
  <c r="G188" i="30" s="1"/>
  <c r="H188" i="30" s="1"/>
  <c r="I188" i="30" s="1"/>
  <c r="J188" i="30" s="1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C187" i="30"/>
  <c r="D187" i="30" s="1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F186" i="30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D186" i="30"/>
  <c r="E186" i="30" s="1"/>
  <c r="C186" i="30"/>
  <c r="C185" i="30"/>
  <c r="D185" i="30" s="1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R184" i="30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E184" i="30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C184" i="30"/>
  <c r="D184" i="30" s="1"/>
  <c r="N183" i="30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C183" i="30"/>
  <c r="E182" i="30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D182" i="30"/>
  <c r="C182" i="30"/>
  <c r="C181" i="30"/>
  <c r="D181" i="30" s="1"/>
  <c r="E181" i="30" s="1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H180" i="30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C180" i="30"/>
  <c r="D180" i="30" s="1"/>
  <c r="E180" i="30" s="1"/>
  <c r="F180" i="30" s="1"/>
  <c r="G180" i="30" s="1"/>
  <c r="C179" i="30"/>
  <c r="D179" i="30" s="1"/>
  <c r="E179" i="30" s="1"/>
  <c r="F179" i="30" s="1"/>
  <c r="G179" i="30" s="1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E178" i="30"/>
  <c r="F178" i="30" s="1"/>
  <c r="G178" i="30" s="1"/>
  <c r="H178" i="30" s="1"/>
  <c r="I178" i="30" s="1"/>
  <c r="J178" i="30" s="1"/>
  <c r="K178" i="30" s="1"/>
  <c r="L178" i="30" s="1"/>
  <c r="M178" i="30" s="1"/>
  <c r="N178" i="30" s="1"/>
  <c r="O178" i="30" s="1"/>
  <c r="P178" i="30" s="1"/>
  <c r="Q178" i="30" s="1"/>
  <c r="R178" i="30" s="1"/>
  <c r="S178" i="30" s="1"/>
  <c r="T178" i="30" s="1"/>
  <c r="U178" i="30" s="1"/>
  <c r="V178" i="30" s="1"/>
  <c r="W178" i="30" s="1"/>
  <c r="X178" i="30" s="1"/>
  <c r="Y178" i="30" s="1"/>
  <c r="Z178" i="30" s="1"/>
  <c r="AA178" i="30" s="1"/>
  <c r="AB178" i="30" s="1"/>
  <c r="AC178" i="30" s="1"/>
  <c r="AD178" i="30" s="1"/>
  <c r="AE178" i="30" s="1"/>
  <c r="AF178" i="30" s="1"/>
  <c r="C178" i="30"/>
  <c r="D178" i="30" s="1"/>
  <c r="Q177" i="30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E177" i="30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C177" i="30"/>
  <c r="D177" i="30" s="1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C175" i="30"/>
  <c r="C174" i="30"/>
  <c r="D174" i="30" s="1"/>
  <c r="E174" i="30" s="1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C173" i="30"/>
  <c r="D173" i="30" s="1"/>
  <c r="E173" i="30" s="1"/>
  <c r="F173" i="30" s="1"/>
  <c r="G173" i="30" s="1"/>
  <c r="H173" i="30" s="1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C172" i="30"/>
  <c r="D172" i="30" s="1"/>
  <c r="E172" i="30" s="1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C171" i="30"/>
  <c r="D171" i="30" s="1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O170" i="30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C170" i="30"/>
  <c r="D170" i="30" s="1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E169" i="30"/>
  <c r="F169" i="30" s="1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C169" i="30"/>
  <c r="D169" i="30" s="1"/>
  <c r="AC168" i="30"/>
  <c r="AD168" i="30" s="1"/>
  <c r="AE168" i="30" s="1"/>
  <c r="AF168" i="30" s="1"/>
  <c r="D168" i="30"/>
  <c r="E168" i="30" s="1"/>
  <c r="F168" i="30" s="1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C168" i="30"/>
  <c r="C166" i="30"/>
  <c r="D166" i="30" s="1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C165" i="30"/>
  <c r="D165" i="30" s="1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C164" i="30"/>
  <c r="D164" i="30" s="1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D163" i="30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C163" i="30"/>
  <c r="E162" i="30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C162" i="30"/>
  <c r="D162" i="30" s="1"/>
  <c r="AF161" i="30"/>
  <c r="C161" i="30"/>
  <c r="D161" i="30" s="1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G160" i="30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C160" i="30"/>
  <c r="D160" i="30" s="1"/>
  <c r="E160" i="30" s="1"/>
  <c r="F160" i="30" s="1"/>
  <c r="C159" i="30"/>
  <c r="D159" i="30" s="1"/>
  <c r="E159" i="30" s="1"/>
  <c r="F159" i="30" s="1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E158" i="30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C158" i="30"/>
  <c r="D158" i="30" s="1"/>
  <c r="G157" i="30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C157" i="30"/>
  <c r="D157" i="30" s="1"/>
  <c r="E157" i="30" s="1"/>
  <c r="F157" i="30" s="1"/>
  <c r="F156" i="30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C156" i="30"/>
  <c r="D156" i="30" s="1"/>
  <c r="E156" i="30" s="1"/>
  <c r="C155" i="30"/>
  <c r="D155" i="30" s="1"/>
  <c r="E155" i="30" s="1"/>
  <c r="F155" i="30" s="1"/>
  <c r="G155" i="30" s="1"/>
  <c r="H155" i="30" s="1"/>
  <c r="I155" i="30" s="1"/>
  <c r="J155" i="30" s="1"/>
  <c r="K155" i="30" s="1"/>
  <c r="L155" i="30" s="1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Y155" i="30" s="1"/>
  <c r="Z155" i="30" s="1"/>
  <c r="AA155" i="30" s="1"/>
  <c r="AB155" i="30" s="1"/>
  <c r="AC155" i="30" s="1"/>
  <c r="AD155" i="30" s="1"/>
  <c r="AE155" i="30" s="1"/>
  <c r="AF155" i="30" s="1"/>
  <c r="C154" i="30"/>
  <c r="D154" i="30" s="1"/>
  <c r="E154" i="30" s="1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C152" i="30"/>
  <c r="D152" i="30" s="1"/>
  <c r="E152" i="30" s="1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C151" i="30"/>
  <c r="E150" i="30"/>
  <c r="F150" i="30" s="1"/>
  <c r="G150" i="30" s="1"/>
  <c r="H150" i="30" s="1"/>
  <c r="I150" i="30" s="1"/>
  <c r="J150" i="30" s="1"/>
  <c r="K150" i="30" s="1"/>
  <c r="L150" i="30" s="1"/>
  <c r="M150" i="30" s="1"/>
  <c r="N150" i="30" s="1"/>
  <c r="O150" i="30" s="1"/>
  <c r="P150" i="30" s="1"/>
  <c r="Q150" i="30" s="1"/>
  <c r="R150" i="30" s="1"/>
  <c r="S150" i="30" s="1"/>
  <c r="T150" i="30" s="1"/>
  <c r="U150" i="30" s="1"/>
  <c r="V150" i="30" s="1"/>
  <c r="W150" i="30" s="1"/>
  <c r="X150" i="30" s="1"/>
  <c r="Y150" i="30" s="1"/>
  <c r="Z150" i="30" s="1"/>
  <c r="AA150" i="30" s="1"/>
  <c r="AB150" i="30" s="1"/>
  <c r="AC150" i="30" s="1"/>
  <c r="AD150" i="30" s="1"/>
  <c r="AE150" i="30" s="1"/>
  <c r="AF150" i="30" s="1"/>
  <c r="C150" i="30"/>
  <c r="D150" i="30" s="1"/>
  <c r="E149" i="30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C149" i="30"/>
  <c r="D149" i="30" s="1"/>
  <c r="C147" i="30"/>
  <c r="D147" i="30" s="1"/>
  <c r="E147" i="30" s="1"/>
  <c r="F147" i="30" s="1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G146" i="30"/>
  <c r="H146" i="30" s="1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D146" i="30"/>
  <c r="E146" i="30" s="1"/>
  <c r="F146" i="30" s="1"/>
  <c r="C146" i="30"/>
  <c r="G144" i="30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C144" i="30"/>
  <c r="D144" i="30" s="1"/>
  <c r="E144" i="30" s="1"/>
  <c r="F144" i="30" s="1"/>
  <c r="C143" i="30"/>
  <c r="D143" i="30" s="1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C142" i="30"/>
  <c r="R141" i="30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G141" i="30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D141" i="30"/>
  <c r="E141" i="30" s="1"/>
  <c r="F141" i="30" s="1"/>
  <c r="C141" i="30"/>
  <c r="R140" i="30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C140" i="30"/>
  <c r="D140" i="30" s="1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S139" i="30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C139" i="30"/>
  <c r="D139" i="30" s="1"/>
  <c r="E139" i="30" s="1"/>
  <c r="F139" i="30" s="1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Q138" i="30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D138" i="30"/>
  <c r="E138" i="30" s="1"/>
  <c r="F138" i="30" s="1"/>
  <c r="G138" i="30" s="1"/>
  <c r="H138" i="30" s="1"/>
  <c r="I138" i="30" s="1"/>
  <c r="J138" i="30" s="1"/>
  <c r="K138" i="30" s="1"/>
  <c r="L138" i="30" s="1"/>
  <c r="M138" i="30" s="1"/>
  <c r="N138" i="30" s="1"/>
  <c r="O138" i="30" s="1"/>
  <c r="P138" i="30" s="1"/>
  <c r="C138" i="30"/>
  <c r="O136" i="30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G136" i="30"/>
  <c r="H136" i="30" s="1"/>
  <c r="I136" i="30" s="1"/>
  <c r="J136" i="30" s="1"/>
  <c r="K136" i="30" s="1"/>
  <c r="L136" i="30" s="1"/>
  <c r="M136" i="30" s="1"/>
  <c r="N136" i="30" s="1"/>
  <c r="D136" i="30"/>
  <c r="E136" i="30" s="1"/>
  <c r="F136" i="30" s="1"/>
  <c r="C136" i="30"/>
  <c r="C135" i="30"/>
  <c r="D135" i="30" s="1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C134" i="30"/>
  <c r="D134" i="30" s="1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O133" i="30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C133" i="30"/>
  <c r="D133" i="30" s="1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C132" i="30"/>
  <c r="D132" i="30" s="1"/>
  <c r="E132" i="30" s="1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C131" i="30"/>
  <c r="D131" i="30" s="1"/>
  <c r="E131" i="30" s="1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E130" i="30"/>
  <c r="F130" i="30" s="1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30" i="30"/>
  <c r="D130" i="30" s="1"/>
  <c r="G129" i="30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C129" i="30"/>
  <c r="D129" i="30" s="1"/>
  <c r="E129" i="30" s="1"/>
  <c r="F129" i="30" s="1"/>
  <c r="U127" i="30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E127" i="30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C127" i="30"/>
  <c r="D127" i="30" s="1"/>
  <c r="G126" i="30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C126" i="30"/>
  <c r="D126" i="30" s="1"/>
  <c r="E126" i="30" s="1"/>
  <c r="F126" i="30" s="1"/>
  <c r="U125" i="30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E125" i="30"/>
  <c r="F125" i="30" s="1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C125" i="30"/>
  <c r="D125" i="30" s="1"/>
  <c r="G124" i="30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C124" i="30"/>
  <c r="D124" i="30" s="1"/>
  <c r="E124" i="30" s="1"/>
  <c r="F124" i="30" s="1"/>
  <c r="U123" i="30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E123" i="30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C123" i="30"/>
  <c r="D123" i="30" s="1"/>
  <c r="G122" i="30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C122" i="30"/>
  <c r="D122" i="30" s="1"/>
  <c r="E122" i="30" s="1"/>
  <c r="F122" i="30" s="1"/>
  <c r="E121" i="30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C121" i="30"/>
  <c r="D121" i="30" s="1"/>
  <c r="G120" i="30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C120" i="30"/>
  <c r="D120" i="30" s="1"/>
  <c r="E120" i="30" s="1"/>
  <c r="F120" i="30" s="1"/>
  <c r="U119" i="30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E119" i="30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D119" i="30"/>
  <c r="C119" i="30"/>
  <c r="AA118" i="30"/>
  <c r="AB118" i="30" s="1"/>
  <c r="AC118" i="30" s="1"/>
  <c r="AD118" i="30" s="1"/>
  <c r="AE118" i="30" s="1"/>
  <c r="AF118" i="30" s="1"/>
  <c r="G118" i="30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C118" i="30"/>
  <c r="D118" i="30" s="1"/>
  <c r="E118" i="30" s="1"/>
  <c r="F118" i="30" s="1"/>
  <c r="G117" i="30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C117" i="30"/>
  <c r="D117" i="30" s="1"/>
  <c r="E117" i="30" s="1"/>
  <c r="F117" i="30" s="1"/>
  <c r="C116" i="30"/>
  <c r="D116" i="30" s="1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C115" i="30"/>
  <c r="D115" i="30" s="1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G114" i="30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C114" i="30"/>
  <c r="D114" i="30" s="1"/>
  <c r="E114" i="30" s="1"/>
  <c r="F114" i="30" s="1"/>
  <c r="C113" i="30"/>
  <c r="D113" i="30" s="1"/>
  <c r="E113" i="30" s="1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S112" i="30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K112" i="30"/>
  <c r="L112" i="30" s="1"/>
  <c r="M112" i="30" s="1"/>
  <c r="N112" i="30" s="1"/>
  <c r="O112" i="30" s="1"/>
  <c r="P112" i="30" s="1"/>
  <c r="Q112" i="30" s="1"/>
  <c r="R112" i="30" s="1"/>
  <c r="J112" i="30"/>
  <c r="D112" i="30"/>
  <c r="E112" i="30" s="1"/>
  <c r="F112" i="30" s="1"/>
  <c r="G112" i="30" s="1"/>
  <c r="H112" i="30" s="1"/>
  <c r="C112" i="30"/>
  <c r="H111" i="30"/>
  <c r="I111" i="30" s="1"/>
  <c r="J111" i="30" s="1"/>
  <c r="K111" i="30" s="1"/>
  <c r="L111" i="30" s="1"/>
  <c r="M111" i="30" s="1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D111" i="30"/>
  <c r="E111" i="30" s="1"/>
  <c r="F111" i="30" s="1"/>
  <c r="G111" i="30" s="1"/>
  <c r="C111" i="30"/>
  <c r="C110" i="30"/>
  <c r="D110" i="30" s="1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L108" i="30"/>
  <c r="M108" i="30" s="1"/>
  <c r="N108" i="30" s="1"/>
  <c r="O108" i="30" s="1"/>
  <c r="P108" i="30" s="1"/>
  <c r="Q108" i="30" s="1"/>
  <c r="R108" i="30" s="1"/>
  <c r="S108" i="30" s="1"/>
  <c r="T108" i="30" s="1"/>
  <c r="U108" i="30" s="1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D108" i="30"/>
  <c r="E108" i="30" s="1"/>
  <c r="F108" i="30" s="1"/>
  <c r="G108" i="30" s="1"/>
  <c r="H108" i="30" s="1"/>
  <c r="I108" i="30" s="1"/>
  <c r="J108" i="30" s="1"/>
  <c r="K108" i="30" s="1"/>
  <c r="C108" i="30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C107" i="30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C105" i="30"/>
  <c r="C104" i="30"/>
  <c r="D104" i="30" s="1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D103" i="30"/>
  <c r="E103" i="30" s="1"/>
  <c r="F103" i="30" s="1"/>
  <c r="G103" i="30" s="1"/>
  <c r="H103" i="30" s="1"/>
  <c r="I103" i="30" s="1"/>
  <c r="J103" i="30" s="1"/>
  <c r="K103" i="30" s="1"/>
  <c r="L103" i="30" s="1"/>
  <c r="M103" i="30" s="1"/>
  <c r="N103" i="30" s="1"/>
  <c r="O103" i="30" s="1"/>
  <c r="P103" i="30" s="1"/>
  <c r="Q103" i="30" s="1"/>
  <c r="R103" i="30" s="1"/>
  <c r="S103" i="30" s="1"/>
  <c r="T103" i="30" s="1"/>
  <c r="U103" i="30" s="1"/>
  <c r="V103" i="30" s="1"/>
  <c r="W103" i="30" s="1"/>
  <c r="X103" i="30" s="1"/>
  <c r="Y103" i="30" s="1"/>
  <c r="Z103" i="30" s="1"/>
  <c r="AA103" i="30" s="1"/>
  <c r="AB103" i="30" s="1"/>
  <c r="AC103" i="30" s="1"/>
  <c r="AD103" i="30" s="1"/>
  <c r="AE103" i="30" s="1"/>
  <c r="AF103" i="30" s="1"/>
  <c r="C103" i="30"/>
  <c r="J102" i="30"/>
  <c r="K102" i="30" s="1"/>
  <c r="L102" i="30" s="1"/>
  <c r="M102" i="30" s="1"/>
  <c r="N102" i="30" s="1"/>
  <c r="O102" i="30" s="1"/>
  <c r="P102" i="30" s="1"/>
  <c r="Q102" i="30" s="1"/>
  <c r="R102" i="30" s="1"/>
  <c r="S102" i="30" s="1"/>
  <c r="T102" i="30" s="1"/>
  <c r="U102" i="30" s="1"/>
  <c r="V102" i="30" s="1"/>
  <c r="W102" i="30" s="1"/>
  <c r="X102" i="30" s="1"/>
  <c r="Y102" i="30" s="1"/>
  <c r="Z102" i="30" s="1"/>
  <c r="AA102" i="30" s="1"/>
  <c r="AB102" i="30" s="1"/>
  <c r="AC102" i="30" s="1"/>
  <c r="AD102" i="30" s="1"/>
  <c r="AE102" i="30" s="1"/>
  <c r="AF102" i="30" s="1"/>
  <c r="D102" i="30"/>
  <c r="E102" i="30" s="1"/>
  <c r="F102" i="30" s="1"/>
  <c r="G102" i="30" s="1"/>
  <c r="H102" i="30" s="1"/>
  <c r="I102" i="30" s="1"/>
  <c r="C102" i="30"/>
  <c r="D101" i="30"/>
  <c r="E101" i="30" s="1"/>
  <c r="C101" i="30"/>
  <c r="C100" i="30"/>
  <c r="AH97" i="30"/>
  <c r="AI97" i="30" s="1"/>
  <c r="AH96" i="30"/>
  <c r="AI96" i="30" s="1"/>
  <c r="AH95" i="30"/>
  <c r="AI95" i="30" s="1"/>
  <c r="AH94" i="30"/>
  <c r="AI94" i="30" s="1"/>
  <c r="AH93" i="30"/>
  <c r="AI93" i="30" s="1"/>
  <c r="C92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G81" i="30"/>
  <c r="AI80" i="30"/>
  <c r="AH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AF78" i="30"/>
  <c r="AE78" i="30"/>
  <c r="AD78" i="30"/>
  <c r="AC78" i="30"/>
  <c r="AB78" i="30"/>
  <c r="AA78" i="30"/>
  <c r="Z78" i="30"/>
  <c r="Y78" i="30"/>
  <c r="X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L81" i="30" s="1"/>
  <c r="K76" i="30"/>
  <c r="J76" i="30"/>
  <c r="I76" i="30"/>
  <c r="H76" i="30"/>
  <c r="G76" i="30"/>
  <c r="F76" i="30"/>
  <c r="E76" i="30"/>
  <c r="D76" i="30"/>
  <c r="D81" i="30" s="1"/>
  <c r="C76" i="30"/>
  <c r="AF75" i="30"/>
  <c r="AF81" i="30" s="1"/>
  <c r="AE75" i="30"/>
  <c r="AD75" i="30"/>
  <c r="AC75" i="30"/>
  <c r="AC81" i="30" s="1"/>
  <c r="AB75" i="30"/>
  <c r="AA75" i="30"/>
  <c r="AA81" i="30" s="1"/>
  <c r="Z75" i="30"/>
  <c r="Y75" i="30"/>
  <c r="X75" i="30"/>
  <c r="W75" i="30"/>
  <c r="W81" i="30" s="1"/>
  <c r="V75" i="30"/>
  <c r="U75" i="30"/>
  <c r="T75" i="30"/>
  <c r="S75" i="30"/>
  <c r="S81" i="30" s="1"/>
  <c r="R75" i="30"/>
  <c r="Q75" i="30"/>
  <c r="P75" i="30"/>
  <c r="O75" i="30"/>
  <c r="O81" i="30" s="1"/>
  <c r="N75" i="30"/>
  <c r="M75" i="30"/>
  <c r="L75" i="30"/>
  <c r="K75" i="30"/>
  <c r="K81" i="30" s="1"/>
  <c r="J75" i="30"/>
  <c r="I75" i="30"/>
  <c r="H75" i="30"/>
  <c r="G75" i="30"/>
  <c r="F75" i="30"/>
  <c r="E75" i="30"/>
  <c r="D75" i="30"/>
  <c r="C75" i="30"/>
  <c r="AI73" i="30"/>
  <c r="AH73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AI70" i="30"/>
  <c r="AH70" i="30"/>
  <c r="AI69" i="30"/>
  <c r="AH69" i="30"/>
  <c r="AI68" i="30"/>
  <c r="AH68" i="30"/>
  <c r="AG67" i="30"/>
  <c r="AF67" i="30"/>
  <c r="AE67" i="30"/>
  <c r="AD67" i="30"/>
  <c r="AC67" i="30"/>
  <c r="AB67" i="30"/>
  <c r="AA67" i="30"/>
  <c r="Z67" i="30"/>
  <c r="Z5" i="30" s="1"/>
  <c r="Y67" i="30"/>
  <c r="Y5" i="30" s="1"/>
  <c r="X67" i="30"/>
  <c r="W67" i="30"/>
  <c r="W5" i="30" s="1"/>
  <c r="V67" i="30"/>
  <c r="V5" i="30" s="1"/>
  <c r="U67" i="30"/>
  <c r="U5" i="30" s="1"/>
  <c r="T67" i="30"/>
  <c r="T5" i="30" s="1"/>
  <c r="S67" i="30"/>
  <c r="R67" i="30"/>
  <c r="Q67" i="30"/>
  <c r="P67" i="30"/>
  <c r="O67" i="30"/>
  <c r="O5" i="30" s="1"/>
  <c r="N67" i="30"/>
  <c r="N5" i="30" s="1"/>
  <c r="M67" i="30"/>
  <c r="L67" i="30"/>
  <c r="L5" i="30" s="1"/>
  <c r="K67" i="30"/>
  <c r="K5" i="30" s="1"/>
  <c r="J67" i="30"/>
  <c r="I67" i="30"/>
  <c r="H67" i="30"/>
  <c r="H5" i="30" s="1"/>
  <c r="G67" i="30"/>
  <c r="F67" i="30"/>
  <c r="F5" i="30" s="1"/>
  <c r="E67" i="30"/>
  <c r="D67" i="30"/>
  <c r="D5" i="30" s="1"/>
  <c r="C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G55" i="30"/>
  <c r="AG72" i="30" s="1"/>
  <c r="AF55" i="30"/>
  <c r="AE55" i="30"/>
  <c r="AD55" i="30"/>
  <c r="AC55" i="30"/>
  <c r="AB55" i="30"/>
  <c r="AA55" i="30"/>
  <c r="Z55" i="30"/>
  <c r="Y55" i="30"/>
  <c r="X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I54" i="30"/>
  <c r="AH54" i="30"/>
  <c r="AI53" i="30"/>
  <c r="AH53" i="30"/>
  <c r="AI52" i="30"/>
  <c r="AH52" i="30"/>
  <c r="Y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G51" i="30" s="1"/>
  <c r="AG3" i="30" s="1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F5" i="30"/>
  <c r="AE5" i="30"/>
  <c r="AD5" i="30"/>
  <c r="AB5" i="30"/>
  <c r="AA5" i="30"/>
  <c r="X5" i="30"/>
  <c r="S5" i="30"/>
  <c r="R5" i="30"/>
  <c r="Q5" i="30"/>
  <c r="P5" i="30"/>
  <c r="J5" i="30"/>
  <c r="I5" i="30"/>
  <c r="G5" i="30"/>
  <c r="C5" i="30"/>
  <c r="B5" i="30"/>
  <c r="AG4" i="30"/>
  <c r="K4" i="30"/>
  <c r="B4" i="30"/>
  <c r="AG2" i="30"/>
  <c r="E4" i="30"/>
  <c r="AE81" i="30" l="1"/>
  <c r="AD81" i="30"/>
  <c r="AB81" i="30"/>
  <c r="Y81" i="30"/>
  <c r="Y72" i="30"/>
  <c r="Y74" i="30"/>
  <c r="X81" i="30"/>
  <c r="V81" i="30"/>
  <c r="U81" i="30"/>
  <c r="T81" i="30"/>
  <c r="S72" i="30"/>
  <c r="R74" i="30"/>
  <c r="AJ212" i="30" s="1"/>
  <c r="Q81" i="30"/>
  <c r="Q72" i="30"/>
  <c r="P81" i="30"/>
  <c r="O74" i="30"/>
  <c r="AI79" i="30"/>
  <c r="N81" i="30"/>
  <c r="AH79" i="30"/>
  <c r="AH55" i="30"/>
  <c r="N72" i="30"/>
  <c r="M81" i="30"/>
  <c r="M72" i="30"/>
  <c r="K72" i="30"/>
  <c r="J74" i="30"/>
  <c r="AB212" i="30" s="1"/>
  <c r="I72" i="30"/>
  <c r="I81" i="30"/>
  <c r="I74" i="30"/>
  <c r="I7" i="30" s="1"/>
  <c r="H81" i="30"/>
  <c r="AI77" i="30"/>
  <c r="G81" i="30"/>
  <c r="F81" i="30"/>
  <c r="AH77" i="30"/>
  <c r="F72" i="30"/>
  <c r="AI37" i="30"/>
  <c r="E81" i="30"/>
  <c r="E74" i="30"/>
  <c r="W212" i="30" s="1"/>
  <c r="AH76" i="30"/>
  <c r="AI55" i="30"/>
  <c r="C81" i="30"/>
  <c r="C72" i="30"/>
  <c r="B74" i="30"/>
  <c r="B72" i="30"/>
  <c r="B82" i="30" s="1"/>
  <c r="H4" i="30"/>
  <c r="AQ212" i="30"/>
  <c r="Y7" i="30"/>
  <c r="AG6" i="30"/>
  <c r="AG212" i="30"/>
  <c r="O7" i="30"/>
  <c r="F74" i="30"/>
  <c r="E5" i="30"/>
  <c r="AC5" i="30"/>
  <c r="D74" i="30"/>
  <c r="L74" i="30"/>
  <c r="E72" i="30"/>
  <c r="N74" i="30"/>
  <c r="AH78" i="30"/>
  <c r="D72" i="30"/>
  <c r="L72" i="30"/>
  <c r="Q74" i="30"/>
  <c r="AG74" i="30"/>
  <c r="AI76" i="30"/>
  <c r="AI78" i="30"/>
  <c r="R7" i="30"/>
  <c r="AI75" i="30"/>
  <c r="J81" i="30"/>
  <c r="R81" i="30"/>
  <c r="Z81" i="30"/>
  <c r="M5" i="30"/>
  <c r="G72" i="30"/>
  <c r="O72" i="30"/>
  <c r="O82" i="30" s="1"/>
  <c r="H74" i="30"/>
  <c r="P74" i="30"/>
  <c r="G74" i="30"/>
  <c r="H72" i="30"/>
  <c r="P72" i="30"/>
  <c r="Y82" i="30"/>
  <c r="AG82" i="30"/>
  <c r="S209" i="30"/>
  <c r="D209" i="30"/>
  <c r="AH37" i="30"/>
  <c r="AH71" i="30"/>
  <c r="AI71" i="30"/>
  <c r="J72" i="30"/>
  <c r="R72" i="30"/>
  <c r="AI67" i="30"/>
  <c r="C74" i="30"/>
  <c r="K74" i="30"/>
  <c r="S74" i="30"/>
  <c r="S82" i="30" s="1"/>
  <c r="M74" i="30"/>
  <c r="F101" i="30"/>
  <c r="C190" i="30"/>
  <c r="AH75" i="30"/>
  <c r="D100" i="30"/>
  <c r="AH67" i="30"/>
  <c r="D233" i="30"/>
  <c r="F197" i="30"/>
  <c r="D192" i="30"/>
  <c r="AC36" i="29"/>
  <c r="T36" i="29"/>
  <c r="S36" i="29"/>
  <c r="R82" i="30" l="1"/>
  <c r="P82" i="30"/>
  <c r="L82" i="30"/>
  <c r="AA212" i="30"/>
  <c r="I82" i="30"/>
  <c r="K82" i="30"/>
  <c r="E82" i="30"/>
  <c r="M82" i="30"/>
  <c r="J7" i="30"/>
  <c r="J82" i="30"/>
  <c r="G82" i="30"/>
  <c r="H82" i="30"/>
  <c r="E7" i="30"/>
  <c r="AH212" i="30"/>
  <c r="P7" i="30"/>
  <c r="AF212" i="30"/>
  <c r="N7" i="30"/>
  <c r="AI81" i="30"/>
  <c r="AH81" i="30"/>
  <c r="AI212" i="30"/>
  <c r="Q7" i="30"/>
  <c r="AK212" i="30"/>
  <c r="S7" i="30"/>
  <c r="F233" i="30"/>
  <c r="G197" i="30"/>
  <c r="G101" i="30"/>
  <c r="Z212" i="30"/>
  <c r="H7" i="30"/>
  <c r="X212" i="30"/>
  <c r="C207" i="30"/>
  <c r="B207" i="30"/>
  <c r="F7" i="30"/>
  <c r="N82" i="30"/>
  <c r="F82" i="30"/>
  <c r="AC212" i="30"/>
  <c r="K7" i="30"/>
  <c r="U212" i="30"/>
  <c r="C7" i="30"/>
  <c r="Y212" i="30"/>
  <c r="G7" i="30"/>
  <c r="V212" i="30"/>
  <c r="D7" i="30"/>
  <c r="AE212" i="30"/>
  <c r="M7" i="30"/>
  <c r="C82" i="30"/>
  <c r="Q82" i="30"/>
  <c r="D82" i="30"/>
  <c r="D198" i="30"/>
  <c r="E192" i="30"/>
  <c r="D92" i="30"/>
  <c r="D190" i="30"/>
  <c r="E100" i="30"/>
  <c r="AD212" i="30"/>
  <c r="L7" i="30"/>
  <c r="Q94" i="29"/>
  <c r="Q36" i="29"/>
  <c r="P94" i="29"/>
  <c r="P36" i="29"/>
  <c r="O94" i="29"/>
  <c r="O36" i="29"/>
  <c r="K6" i="30" l="1"/>
  <c r="T212" i="30"/>
  <c r="B7" i="30"/>
  <c r="E190" i="30"/>
  <c r="F100" i="30"/>
  <c r="G233" i="30"/>
  <c r="H197" i="30"/>
  <c r="E198" i="30"/>
  <c r="F192" i="30"/>
  <c r="E92" i="30"/>
  <c r="H101" i="30"/>
  <c r="G192" i="30" l="1"/>
  <c r="F198" i="30"/>
  <c r="F92" i="30"/>
  <c r="H233" i="30"/>
  <c r="I197" i="30"/>
  <c r="I101" i="30"/>
  <c r="F190" i="30"/>
  <c r="G100" i="30"/>
  <c r="J197" i="30" l="1"/>
  <c r="I233" i="30"/>
  <c r="G190" i="30"/>
  <c r="H100" i="30"/>
  <c r="H192" i="30"/>
  <c r="G198" i="30"/>
  <c r="G92" i="30"/>
  <c r="J101" i="30"/>
  <c r="M94" i="29"/>
  <c r="M36" i="29"/>
  <c r="L94" i="29"/>
  <c r="L36" i="29"/>
  <c r="AI36" i="29" s="1"/>
  <c r="K94" i="29"/>
  <c r="K36" i="29"/>
  <c r="J36" i="29"/>
  <c r="I36" i="29"/>
  <c r="G94" i="29"/>
  <c r="H36" i="29"/>
  <c r="G36" i="29"/>
  <c r="F94" i="29"/>
  <c r="F36" i="29"/>
  <c r="E36" i="29"/>
  <c r="D36" i="29"/>
  <c r="AH98" i="29"/>
  <c r="AI98" i="29" s="1"/>
  <c r="C36" i="29"/>
  <c r="B94" i="29"/>
  <c r="B36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235" i="29"/>
  <c r="AF234" i="29"/>
  <c r="AE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A234" i="29"/>
  <c r="B233" i="29"/>
  <c r="S208" i="29"/>
  <c r="AG198" i="29"/>
  <c r="B198" i="29"/>
  <c r="C197" i="29"/>
  <c r="C196" i="29"/>
  <c r="D196" i="29" s="1"/>
  <c r="E196" i="29" s="1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C195" i="29"/>
  <c r="D195" i="29" s="1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E194" i="29"/>
  <c r="F194" i="29" s="1"/>
  <c r="G194" i="29" s="1"/>
  <c r="H194" i="29" s="1"/>
  <c r="I194" i="29" s="1"/>
  <c r="J194" i="29" s="1"/>
  <c r="K194" i="29" s="1"/>
  <c r="L194" i="29" s="1"/>
  <c r="M194" i="29" s="1"/>
  <c r="N194" i="29" s="1"/>
  <c r="O194" i="29" s="1"/>
  <c r="P194" i="29" s="1"/>
  <c r="Q194" i="29" s="1"/>
  <c r="R194" i="29" s="1"/>
  <c r="S194" i="29" s="1"/>
  <c r="T194" i="29" s="1"/>
  <c r="U194" i="29" s="1"/>
  <c r="V194" i="29" s="1"/>
  <c r="W194" i="29" s="1"/>
  <c r="X194" i="29" s="1"/>
  <c r="Y194" i="29" s="1"/>
  <c r="Z194" i="29" s="1"/>
  <c r="AA194" i="29" s="1"/>
  <c r="AB194" i="29" s="1"/>
  <c r="AC194" i="29" s="1"/>
  <c r="AD194" i="29" s="1"/>
  <c r="AE194" i="29" s="1"/>
  <c r="AF194" i="29" s="1"/>
  <c r="D194" i="29"/>
  <c r="C194" i="29"/>
  <c r="C193" i="29"/>
  <c r="D193" i="29" s="1"/>
  <c r="E193" i="29" s="1"/>
  <c r="F193" i="29" s="1"/>
  <c r="G193" i="29" s="1"/>
  <c r="H193" i="29" s="1"/>
  <c r="I193" i="29" s="1"/>
  <c r="J193" i="29" s="1"/>
  <c r="K193" i="29" s="1"/>
  <c r="L193" i="29" s="1"/>
  <c r="M193" i="29" s="1"/>
  <c r="N193" i="29" s="1"/>
  <c r="O193" i="29" s="1"/>
  <c r="P193" i="29" s="1"/>
  <c r="Q193" i="29" s="1"/>
  <c r="R193" i="29" s="1"/>
  <c r="S193" i="29" s="1"/>
  <c r="T193" i="29" s="1"/>
  <c r="U193" i="29" s="1"/>
  <c r="V193" i="29" s="1"/>
  <c r="W193" i="29" s="1"/>
  <c r="X193" i="29" s="1"/>
  <c r="Y193" i="29" s="1"/>
  <c r="Z193" i="29" s="1"/>
  <c r="AA193" i="29" s="1"/>
  <c r="AB193" i="29" s="1"/>
  <c r="AC193" i="29" s="1"/>
  <c r="AD193" i="29" s="1"/>
  <c r="AE193" i="29" s="1"/>
  <c r="AF193" i="29" s="1"/>
  <c r="C192" i="29"/>
  <c r="AG190" i="29"/>
  <c r="B190" i="29"/>
  <c r="C189" i="29"/>
  <c r="D189" i="29" s="1"/>
  <c r="E189" i="29" s="1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C188" i="29"/>
  <c r="D188" i="29" s="1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C187" i="29"/>
  <c r="D187" i="29" s="1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C186" i="29"/>
  <c r="D186" i="29" s="1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C185" i="29"/>
  <c r="D185" i="29" s="1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C184" i="29"/>
  <c r="D184" i="29" s="1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E183" i="29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C183" i="29"/>
  <c r="D183" i="29" s="1"/>
  <c r="C182" i="29"/>
  <c r="D182" i="29" s="1"/>
  <c r="E182" i="29" s="1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G181" i="29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C181" i="29"/>
  <c r="D181" i="29" s="1"/>
  <c r="E181" i="29" s="1"/>
  <c r="F181" i="29" s="1"/>
  <c r="C180" i="29"/>
  <c r="D180" i="29" s="1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C179" i="29"/>
  <c r="D179" i="29" s="1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H178" i="29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E178" i="29"/>
  <c r="F178" i="29" s="1"/>
  <c r="G178" i="29" s="1"/>
  <c r="C178" i="29"/>
  <c r="D178" i="29" s="1"/>
  <c r="C177" i="29"/>
  <c r="D177" i="29" s="1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C175" i="29"/>
  <c r="D175" i="29" s="1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C174" i="29"/>
  <c r="D174" i="29" s="1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C173" i="29"/>
  <c r="C172" i="29"/>
  <c r="D172" i="29" s="1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C171" i="29"/>
  <c r="D171" i="29" s="1"/>
  <c r="E171" i="29" s="1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D170" i="29"/>
  <c r="E170" i="29" s="1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C170" i="29"/>
  <c r="D169" i="29"/>
  <c r="E169" i="29" s="1"/>
  <c r="F169" i="29" s="1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C169" i="29"/>
  <c r="C168" i="29"/>
  <c r="D168" i="29" s="1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D166" i="29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C166" i="29"/>
  <c r="C165" i="29"/>
  <c r="D165" i="29" s="1"/>
  <c r="E165" i="29" s="1"/>
  <c r="F165" i="29" s="1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D164" i="29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C164" i="29"/>
  <c r="F163" i="29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C163" i="29"/>
  <c r="D163" i="29" s="1"/>
  <c r="E163" i="29" s="1"/>
  <c r="C162" i="29"/>
  <c r="D162" i="29" s="1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C161" i="29"/>
  <c r="D161" i="29" s="1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C160" i="29"/>
  <c r="D160" i="29" s="1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D159" i="29"/>
  <c r="E159" i="29" s="1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C159" i="29"/>
  <c r="C158" i="29"/>
  <c r="D158" i="29" s="1"/>
  <c r="E158" i="29" s="1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F157" i="29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C157" i="29"/>
  <c r="D157" i="29" s="1"/>
  <c r="E157" i="29" s="1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C156" i="29"/>
  <c r="D155" i="29"/>
  <c r="E155" i="29" s="1"/>
  <c r="F155" i="29" s="1"/>
  <c r="G155" i="29" s="1"/>
  <c r="H155" i="29" s="1"/>
  <c r="I155" i="29" s="1"/>
  <c r="J155" i="29" s="1"/>
  <c r="K155" i="29" s="1"/>
  <c r="L155" i="29" s="1"/>
  <c r="M155" i="29" s="1"/>
  <c r="N155" i="29" s="1"/>
  <c r="O155" i="29" s="1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C155" i="29"/>
  <c r="C154" i="29"/>
  <c r="D154" i="29" s="1"/>
  <c r="E154" i="29" s="1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D152" i="29"/>
  <c r="E152" i="29" s="1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C152" i="29"/>
  <c r="I151" i="29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D151" i="29"/>
  <c r="E151" i="29" s="1"/>
  <c r="F151" i="29" s="1"/>
  <c r="G151" i="29" s="1"/>
  <c r="H151" i="29" s="1"/>
  <c r="C151" i="29"/>
  <c r="D150" i="29"/>
  <c r="E150" i="29" s="1"/>
  <c r="F150" i="29" s="1"/>
  <c r="G150" i="29" s="1"/>
  <c r="H150" i="29" s="1"/>
  <c r="I150" i="29" s="1"/>
  <c r="J150" i="29" s="1"/>
  <c r="K150" i="29" s="1"/>
  <c r="L150" i="29" s="1"/>
  <c r="M150" i="29" s="1"/>
  <c r="N150" i="29" s="1"/>
  <c r="O150" i="29" s="1"/>
  <c r="P150" i="29" s="1"/>
  <c r="Q150" i="29" s="1"/>
  <c r="R150" i="29" s="1"/>
  <c r="S150" i="29" s="1"/>
  <c r="T150" i="29" s="1"/>
  <c r="U150" i="29" s="1"/>
  <c r="V150" i="29" s="1"/>
  <c r="W150" i="29" s="1"/>
  <c r="X150" i="29" s="1"/>
  <c r="Y150" i="29" s="1"/>
  <c r="Z150" i="29" s="1"/>
  <c r="AA150" i="29" s="1"/>
  <c r="AB150" i="29" s="1"/>
  <c r="AC150" i="29" s="1"/>
  <c r="AD150" i="29" s="1"/>
  <c r="AE150" i="29" s="1"/>
  <c r="AF150" i="29" s="1"/>
  <c r="C150" i="29"/>
  <c r="C149" i="29"/>
  <c r="D149" i="29" s="1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V147" i="29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L147" i="29"/>
  <c r="M147" i="29" s="1"/>
  <c r="N147" i="29" s="1"/>
  <c r="O147" i="29" s="1"/>
  <c r="P147" i="29" s="1"/>
  <c r="Q147" i="29" s="1"/>
  <c r="R147" i="29" s="1"/>
  <c r="S147" i="29" s="1"/>
  <c r="T147" i="29" s="1"/>
  <c r="U147" i="29" s="1"/>
  <c r="C147" i="29"/>
  <c r="D147" i="29" s="1"/>
  <c r="E147" i="29" s="1"/>
  <c r="F147" i="29" s="1"/>
  <c r="G147" i="29" s="1"/>
  <c r="H147" i="29" s="1"/>
  <c r="I147" i="29" s="1"/>
  <c r="J147" i="29" s="1"/>
  <c r="K147" i="29" s="1"/>
  <c r="I146" i="29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D146" i="29"/>
  <c r="E146" i="29" s="1"/>
  <c r="F146" i="29" s="1"/>
  <c r="G146" i="29" s="1"/>
  <c r="H146" i="29" s="1"/>
  <c r="C146" i="29"/>
  <c r="D144" i="29"/>
  <c r="E144" i="29" s="1"/>
  <c r="F144" i="29" s="1"/>
  <c r="G144" i="29" s="1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C144" i="29"/>
  <c r="C143" i="29"/>
  <c r="D143" i="29" s="1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C142" i="29"/>
  <c r="D142" i="29" s="1"/>
  <c r="E142" i="29" s="1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C141" i="29"/>
  <c r="D141" i="29" s="1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C140" i="29"/>
  <c r="M139" i="29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H139" i="29"/>
  <c r="I139" i="29" s="1"/>
  <c r="J139" i="29" s="1"/>
  <c r="K139" i="29" s="1"/>
  <c r="L139" i="29" s="1"/>
  <c r="C139" i="29"/>
  <c r="D139" i="29" s="1"/>
  <c r="E139" i="29" s="1"/>
  <c r="F139" i="29" s="1"/>
  <c r="G139" i="29" s="1"/>
  <c r="C138" i="29"/>
  <c r="D138" i="29" s="1"/>
  <c r="E138" i="29" s="1"/>
  <c r="F138" i="29" s="1"/>
  <c r="G138" i="29" s="1"/>
  <c r="H138" i="29" s="1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D136" i="29"/>
  <c r="E136" i="29" s="1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C136" i="29"/>
  <c r="C135" i="29"/>
  <c r="D135" i="29" s="1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C134" i="29"/>
  <c r="D134" i="29" s="1"/>
  <c r="E134" i="29" s="1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C133" i="29"/>
  <c r="D133" i="29" s="1"/>
  <c r="E133" i="29" s="1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C132" i="29"/>
  <c r="D132" i="29" s="1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C131" i="29"/>
  <c r="D131" i="29" s="1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D130" i="29"/>
  <c r="E130" i="29" s="1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C130" i="29"/>
  <c r="J129" i="29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C129" i="29"/>
  <c r="D129" i="29" s="1"/>
  <c r="E129" i="29" s="1"/>
  <c r="F129" i="29" s="1"/>
  <c r="G129" i="29" s="1"/>
  <c r="H129" i="29" s="1"/>
  <c r="I129" i="29" s="1"/>
  <c r="C127" i="29"/>
  <c r="D127" i="29" s="1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D126" i="29"/>
  <c r="E126" i="29" s="1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C126" i="29"/>
  <c r="C125" i="29"/>
  <c r="D125" i="29" s="1"/>
  <c r="E125" i="29" s="1"/>
  <c r="F125" i="29" s="1"/>
  <c r="G125" i="29" s="1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C124" i="29"/>
  <c r="D124" i="29" s="1"/>
  <c r="E124" i="29" s="1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C123" i="29"/>
  <c r="D123" i="29" s="1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D122" i="29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C122" i="29"/>
  <c r="E121" i="29"/>
  <c r="F121" i="29" s="1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C121" i="29"/>
  <c r="D121" i="29" s="1"/>
  <c r="C120" i="29"/>
  <c r="D120" i="29" s="1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C119" i="29"/>
  <c r="D119" i="29" s="1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D118" i="29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C118" i="29"/>
  <c r="C117" i="29"/>
  <c r="D117" i="29" s="1"/>
  <c r="E117" i="29" s="1"/>
  <c r="F117" i="29" s="1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C116" i="29"/>
  <c r="D116" i="29" s="1"/>
  <c r="E116" i="29" s="1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C115" i="29"/>
  <c r="D115" i="29" s="1"/>
  <c r="E115" i="29" s="1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D114" i="29"/>
  <c r="E114" i="29" s="1"/>
  <c r="F114" i="29" s="1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C114" i="29"/>
  <c r="D113" i="29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C113" i="29"/>
  <c r="J112" i="29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D112" i="29"/>
  <c r="E112" i="29" s="1"/>
  <c r="F112" i="29" s="1"/>
  <c r="G112" i="29" s="1"/>
  <c r="H112" i="29" s="1"/>
  <c r="C112" i="29"/>
  <c r="C111" i="29"/>
  <c r="D111" i="29" s="1"/>
  <c r="E111" i="29" s="1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H110" i="29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C110" i="29"/>
  <c r="D110" i="29" s="1"/>
  <c r="E110" i="29" s="1"/>
  <c r="F110" i="29" s="1"/>
  <c r="G110" i="29" s="1"/>
  <c r="F108" i="29"/>
  <c r="G108" i="29" s="1"/>
  <c r="H108" i="29" s="1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C108" i="29"/>
  <c r="D108" i="29" s="1"/>
  <c r="E108" i="29" s="1"/>
  <c r="D107" i="29"/>
  <c r="E107" i="29" s="1"/>
  <c r="F107" i="29" s="1"/>
  <c r="G107" i="29" s="1"/>
  <c r="H107" i="29" s="1"/>
  <c r="I107" i="29" s="1"/>
  <c r="J107" i="29" s="1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C107" i="29"/>
  <c r="C105" i="29"/>
  <c r="D105" i="29" s="1"/>
  <c r="E105" i="29" s="1"/>
  <c r="F105" i="29" s="1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C104" i="29"/>
  <c r="D104" i="29" s="1"/>
  <c r="E104" i="29" s="1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I103" i="29"/>
  <c r="J103" i="29" s="1"/>
  <c r="K103" i="29" s="1"/>
  <c r="L103" i="29" s="1"/>
  <c r="M103" i="29" s="1"/>
  <c r="N103" i="29" s="1"/>
  <c r="O103" i="29" s="1"/>
  <c r="P103" i="29" s="1"/>
  <c r="Q103" i="29" s="1"/>
  <c r="R103" i="29" s="1"/>
  <c r="S103" i="29" s="1"/>
  <c r="T103" i="29" s="1"/>
  <c r="U103" i="29" s="1"/>
  <c r="V103" i="29" s="1"/>
  <c r="W103" i="29" s="1"/>
  <c r="X103" i="29" s="1"/>
  <c r="Y103" i="29" s="1"/>
  <c r="Z103" i="29" s="1"/>
  <c r="AA103" i="29" s="1"/>
  <c r="AB103" i="29" s="1"/>
  <c r="AC103" i="29" s="1"/>
  <c r="AD103" i="29" s="1"/>
  <c r="AE103" i="29" s="1"/>
  <c r="AF103" i="29" s="1"/>
  <c r="C103" i="29"/>
  <c r="D103" i="29" s="1"/>
  <c r="E103" i="29" s="1"/>
  <c r="F103" i="29" s="1"/>
  <c r="G103" i="29" s="1"/>
  <c r="H103" i="29" s="1"/>
  <c r="D102" i="29"/>
  <c r="E102" i="29" s="1"/>
  <c r="F102" i="29" s="1"/>
  <c r="G102" i="29" s="1"/>
  <c r="H102" i="29" s="1"/>
  <c r="I102" i="29" s="1"/>
  <c r="J102" i="29" s="1"/>
  <c r="K102" i="29" s="1"/>
  <c r="L102" i="29" s="1"/>
  <c r="M102" i="29" s="1"/>
  <c r="N102" i="29" s="1"/>
  <c r="O102" i="29" s="1"/>
  <c r="P102" i="29" s="1"/>
  <c r="Q102" i="29" s="1"/>
  <c r="R102" i="29" s="1"/>
  <c r="S102" i="29" s="1"/>
  <c r="T102" i="29" s="1"/>
  <c r="U102" i="29" s="1"/>
  <c r="V102" i="29" s="1"/>
  <c r="W102" i="29" s="1"/>
  <c r="X102" i="29" s="1"/>
  <c r="Y102" i="29" s="1"/>
  <c r="Z102" i="29" s="1"/>
  <c r="AA102" i="29" s="1"/>
  <c r="AB102" i="29" s="1"/>
  <c r="AC102" i="29" s="1"/>
  <c r="AD102" i="29" s="1"/>
  <c r="AE102" i="29" s="1"/>
  <c r="AF102" i="29" s="1"/>
  <c r="C102" i="29"/>
  <c r="C101" i="29"/>
  <c r="D101" i="29" s="1"/>
  <c r="E101" i="29" s="1"/>
  <c r="C100" i="29"/>
  <c r="AH97" i="29"/>
  <c r="AI97" i="29" s="1"/>
  <c r="AH96" i="29"/>
  <c r="AI96" i="29" s="1"/>
  <c r="AH95" i="29"/>
  <c r="AI95" i="29" s="1"/>
  <c r="AH94" i="29"/>
  <c r="AI94" i="29" s="1"/>
  <c r="AH93" i="29"/>
  <c r="AI93" i="29" s="1"/>
  <c r="B92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G81" i="29"/>
  <c r="AI80" i="29"/>
  <c r="AH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AI73" i="29"/>
  <c r="AH73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AI70" i="29"/>
  <c r="AH70" i="29"/>
  <c r="AI69" i="29"/>
  <c r="AH69" i="29"/>
  <c r="AI68" i="29"/>
  <c r="AH68" i="29"/>
  <c r="AG67" i="29"/>
  <c r="AF67" i="29"/>
  <c r="AE67" i="29"/>
  <c r="AD67" i="29"/>
  <c r="AD5" i="29" s="1"/>
  <c r="AC67" i="29"/>
  <c r="AC5" i="29" s="1"/>
  <c r="AB67" i="29"/>
  <c r="AB5" i="29" s="1"/>
  <c r="AA67" i="29"/>
  <c r="Z67" i="29"/>
  <c r="Z5" i="29" s="1"/>
  <c r="Y67" i="29"/>
  <c r="X67" i="29"/>
  <c r="W67" i="29"/>
  <c r="V67" i="29"/>
  <c r="V5" i="29" s="1"/>
  <c r="U67" i="29"/>
  <c r="U5" i="29" s="1"/>
  <c r="T67" i="29"/>
  <c r="T5" i="29" s="1"/>
  <c r="S67" i="29"/>
  <c r="R67" i="29"/>
  <c r="R5" i="29" s="1"/>
  <c r="Q67" i="29"/>
  <c r="Q5" i="29" s="1"/>
  <c r="P67" i="29"/>
  <c r="O67" i="29"/>
  <c r="N67" i="29"/>
  <c r="M67" i="29"/>
  <c r="M5" i="29" s="1"/>
  <c r="L67" i="29"/>
  <c r="L5" i="29" s="1"/>
  <c r="K67" i="29"/>
  <c r="J67" i="29"/>
  <c r="J5" i="29" s="1"/>
  <c r="I67" i="29"/>
  <c r="I5" i="29" s="1"/>
  <c r="H67" i="29"/>
  <c r="G67" i="29"/>
  <c r="F67" i="29"/>
  <c r="F5" i="29" s="1"/>
  <c r="E67" i="29"/>
  <c r="E5" i="29" s="1"/>
  <c r="D67" i="29"/>
  <c r="C67" i="29"/>
  <c r="B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AI54" i="29"/>
  <c r="AH54" i="29"/>
  <c r="AI53" i="29"/>
  <c r="AH53" i="29"/>
  <c r="AI52" i="29"/>
  <c r="AH52" i="29"/>
  <c r="Y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AG50" i="29"/>
  <c r="AG51" i="29" s="1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Y5" i="29"/>
  <c r="D5" i="29"/>
  <c r="AG4" i="29"/>
  <c r="K4" i="29"/>
  <c r="B4" i="29"/>
  <c r="AG2" i="29"/>
  <c r="AF94" i="28"/>
  <c r="AF36" i="28"/>
  <c r="AE94" i="28"/>
  <c r="AE36" i="28"/>
  <c r="AD94" i="28"/>
  <c r="AD36" i="28"/>
  <c r="AC94" i="28"/>
  <c r="AC36" i="28"/>
  <c r="AK44" i="28"/>
  <c r="AK43" i="28"/>
  <c r="AK45" i="28" s="1"/>
  <c r="AB94" i="28"/>
  <c r="AB36" i="28"/>
  <c r="AA94" i="28"/>
  <c r="AA36" i="28"/>
  <c r="Z36" i="28"/>
  <c r="Y36" i="28"/>
  <c r="W67" i="28"/>
  <c r="W51" i="28"/>
  <c r="W37" i="28"/>
  <c r="V36" i="28"/>
  <c r="U36" i="28"/>
  <c r="T36" i="28"/>
  <c r="S36" i="28"/>
  <c r="E4" i="29"/>
  <c r="H198" i="30" l="1"/>
  <c r="I192" i="30"/>
  <c r="H92" i="30"/>
  <c r="H190" i="30"/>
  <c r="I100" i="30"/>
  <c r="K101" i="30"/>
  <c r="J233" i="30"/>
  <c r="K197" i="30"/>
  <c r="AF81" i="29"/>
  <c r="AB81" i="29"/>
  <c r="AC81" i="29"/>
  <c r="AA81" i="29"/>
  <c r="S81" i="29"/>
  <c r="AG74" i="29"/>
  <c r="AE81" i="29"/>
  <c r="C198" i="29"/>
  <c r="AH71" i="29"/>
  <c r="AI71" i="29"/>
  <c r="C92" i="29"/>
  <c r="Y81" i="29"/>
  <c r="Y74" i="29"/>
  <c r="AQ212" i="29" s="1"/>
  <c r="Y72" i="29"/>
  <c r="Y82" i="29" s="1"/>
  <c r="W81" i="29"/>
  <c r="X81" i="29"/>
  <c r="U81" i="29"/>
  <c r="T81" i="29"/>
  <c r="S74" i="29"/>
  <c r="AK212" i="29" s="1"/>
  <c r="S72" i="29"/>
  <c r="R74" i="29"/>
  <c r="AJ212" i="29" s="1"/>
  <c r="R72" i="29"/>
  <c r="Q81" i="29"/>
  <c r="Q72" i="29"/>
  <c r="Q74" i="29"/>
  <c r="P81" i="29"/>
  <c r="P74" i="29"/>
  <c r="AH212" i="29" s="1"/>
  <c r="P72" i="29"/>
  <c r="O81" i="29"/>
  <c r="O72" i="29"/>
  <c r="N72" i="29"/>
  <c r="M81" i="29"/>
  <c r="M74" i="29"/>
  <c r="L81" i="29"/>
  <c r="L72" i="29"/>
  <c r="L74" i="29"/>
  <c r="AD212" i="29" s="1"/>
  <c r="K81" i="29"/>
  <c r="K74" i="29"/>
  <c r="AC212" i="29" s="1"/>
  <c r="H72" i="29"/>
  <c r="G74" i="29"/>
  <c r="G7" i="29" s="1"/>
  <c r="I72" i="29"/>
  <c r="J72" i="29"/>
  <c r="I81" i="29"/>
  <c r="D81" i="29"/>
  <c r="E81" i="29"/>
  <c r="G81" i="29"/>
  <c r="H81" i="29"/>
  <c r="AH76" i="29"/>
  <c r="G72" i="29"/>
  <c r="I74" i="29"/>
  <c r="J74" i="29"/>
  <c r="K72" i="29"/>
  <c r="E74" i="29"/>
  <c r="E7" i="29" s="1"/>
  <c r="D72" i="29"/>
  <c r="D74" i="29"/>
  <c r="V212" i="29" s="1"/>
  <c r="AH75" i="29"/>
  <c r="C81" i="29"/>
  <c r="AH67" i="29"/>
  <c r="AH55" i="29"/>
  <c r="C72" i="29"/>
  <c r="AI37" i="29"/>
  <c r="B5" i="29"/>
  <c r="AH77" i="29"/>
  <c r="AI55" i="29"/>
  <c r="B72" i="29"/>
  <c r="B74" i="29" s="1"/>
  <c r="H4" i="29"/>
  <c r="Y212" i="29"/>
  <c r="AI212" i="29"/>
  <c r="Q7" i="29"/>
  <c r="AG72" i="29"/>
  <c r="AG82" i="29" s="1"/>
  <c r="AG3" i="29"/>
  <c r="AG6" i="29" s="1"/>
  <c r="D7" i="29"/>
  <c r="W212" i="29"/>
  <c r="AE212" i="29"/>
  <c r="M7" i="29"/>
  <c r="Q82" i="29"/>
  <c r="S209" i="29"/>
  <c r="D209" i="29"/>
  <c r="E72" i="29"/>
  <c r="M72" i="29"/>
  <c r="M82" i="29" s="1"/>
  <c r="AI77" i="29"/>
  <c r="AH78" i="29"/>
  <c r="AI78" i="29"/>
  <c r="N5" i="29"/>
  <c r="P82" i="29"/>
  <c r="F72" i="29"/>
  <c r="C74" i="29"/>
  <c r="C82" i="29" s="1"/>
  <c r="F74" i="29"/>
  <c r="AI76" i="29"/>
  <c r="G5" i="29"/>
  <c r="O5" i="29"/>
  <c r="W5" i="29"/>
  <c r="AE5" i="29"/>
  <c r="AH37" i="29"/>
  <c r="F81" i="29"/>
  <c r="N81" i="29"/>
  <c r="V81" i="29"/>
  <c r="AD81" i="29"/>
  <c r="N74" i="29"/>
  <c r="AH79" i="29"/>
  <c r="H5" i="29"/>
  <c r="P5" i="29"/>
  <c r="X5" i="29"/>
  <c r="AF5" i="29"/>
  <c r="O74" i="29"/>
  <c r="O82" i="29" s="1"/>
  <c r="AI67" i="29"/>
  <c r="K82" i="29"/>
  <c r="P7" i="29"/>
  <c r="H74" i="29"/>
  <c r="H82" i="29" s="1"/>
  <c r="F101" i="29"/>
  <c r="C5" i="29"/>
  <c r="K5" i="29"/>
  <c r="S5" i="29"/>
  <c r="AA5" i="29"/>
  <c r="Y7" i="29"/>
  <c r="B81" i="29"/>
  <c r="J81" i="29"/>
  <c r="R81" i="29"/>
  <c r="R82" i="29" s="1"/>
  <c r="Z81" i="29"/>
  <c r="AI75" i="29"/>
  <c r="AI79" i="29"/>
  <c r="C190" i="29"/>
  <c r="D100" i="29"/>
  <c r="C233" i="29"/>
  <c r="D197" i="29"/>
  <c r="D192" i="29"/>
  <c r="D92" i="29" s="1"/>
  <c r="P94" i="28"/>
  <c r="P36" i="28"/>
  <c r="K94" i="28"/>
  <c r="K36" i="28"/>
  <c r="C36" i="28"/>
  <c r="D36" i="28"/>
  <c r="E36" i="28"/>
  <c r="AH36" i="28" s="1"/>
  <c r="AH98" i="28"/>
  <c r="AI98" i="28" s="1"/>
  <c r="B94" i="28"/>
  <c r="B36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E234" i="28"/>
  <c r="D234" i="28"/>
  <c r="C234" i="28"/>
  <c r="B234" i="28"/>
  <c r="A234" i="28"/>
  <c r="B233" i="28"/>
  <c r="S208" i="28"/>
  <c r="AG198" i="28"/>
  <c r="B198" i="28"/>
  <c r="B50" i="28" s="1"/>
  <c r="B51" i="28" s="1"/>
  <c r="F197" i="28"/>
  <c r="F233" i="28" s="1"/>
  <c r="C197" i="28"/>
  <c r="D197" i="28" s="1"/>
  <c r="E197" i="28" s="1"/>
  <c r="E233" i="28" s="1"/>
  <c r="D196" i="28"/>
  <c r="E196" i="28" s="1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C196" i="28"/>
  <c r="K195" i="28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G195" i="28"/>
  <c r="H195" i="28" s="1"/>
  <c r="I195" i="28" s="1"/>
  <c r="J195" i="28" s="1"/>
  <c r="C195" i="28"/>
  <c r="D195" i="28" s="1"/>
  <c r="E195" i="28" s="1"/>
  <c r="F195" i="28" s="1"/>
  <c r="E194" i="28"/>
  <c r="F194" i="28" s="1"/>
  <c r="G194" i="28" s="1"/>
  <c r="H194" i="28" s="1"/>
  <c r="I194" i="28" s="1"/>
  <c r="J194" i="28" s="1"/>
  <c r="K194" i="28" s="1"/>
  <c r="L194" i="28" s="1"/>
  <c r="M194" i="28" s="1"/>
  <c r="N194" i="28" s="1"/>
  <c r="O194" i="28" s="1"/>
  <c r="P194" i="28" s="1"/>
  <c r="Q194" i="28" s="1"/>
  <c r="R194" i="28" s="1"/>
  <c r="S194" i="28" s="1"/>
  <c r="T194" i="28" s="1"/>
  <c r="U194" i="28" s="1"/>
  <c r="V194" i="28" s="1"/>
  <c r="W194" i="28" s="1"/>
  <c r="X194" i="28" s="1"/>
  <c r="Y194" i="28" s="1"/>
  <c r="Z194" i="28" s="1"/>
  <c r="AA194" i="28" s="1"/>
  <c r="AB194" i="28" s="1"/>
  <c r="AC194" i="28" s="1"/>
  <c r="AD194" i="28" s="1"/>
  <c r="AE194" i="28" s="1"/>
  <c r="AF194" i="28" s="1"/>
  <c r="D194" i="28"/>
  <c r="C194" i="28"/>
  <c r="AA193" i="28"/>
  <c r="AB193" i="28" s="1"/>
  <c r="AC193" i="28" s="1"/>
  <c r="AD193" i="28" s="1"/>
  <c r="AE193" i="28" s="1"/>
  <c r="AF193" i="28" s="1"/>
  <c r="C193" i="28"/>
  <c r="D193" i="28" s="1"/>
  <c r="E193" i="28" s="1"/>
  <c r="F193" i="28" s="1"/>
  <c r="G193" i="28" s="1"/>
  <c r="H193" i="28" s="1"/>
  <c r="I193" i="28" s="1"/>
  <c r="J193" i="28" s="1"/>
  <c r="K193" i="28" s="1"/>
  <c r="L193" i="28" s="1"/>
  <c r="M193" i="28" s="1"/>
  <c r="N193" i="28" s="1"/>
  <c r="O193" i="28" s="1"/>
  <c r="P193" i="28" s="1"/>
  <c r="Q193" i="28" s="1"/>
  <c r="R193" i="28" s="1"/>
  <c r="S193" i="28" s="1"/>
  <c r="T193" i="28" s="1"/>
  <c r="U193" i="28" s="1"/>
  <c r="V193" i="28" s="1"/>
  <c r="W193" i="28" s="1"/>
  <c r="X193" i="28" s="1"/>
  <c r="Y193" i="28" s="1"/>
  <c r="Z193" i="28" s="1"/>
  <c r="E192" i="28"/>
  <c r="D192" i="28"/>
  <c r="D198" i="28" s="1"/>
  <c r="C192" i="28"/>
  <c r="AG190" i="28"/>
  <c r="B190" i="28"/>
  <c r="C189" i="28"/>
  <c r="D189" i="28" s="1"/>
  <c r="E189" i="28" s="1"/>
  <c r="F189" i="28" s="1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D188" i="28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C188" i="28"/>
  <c r="C187" i="28"/>
  <c r="D187" i="28" s="1"/>
  <c r="E187" i="28" s="1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C186" i="28"/>
  <c r="D186" i="28" s="1"/>
  <c r="E186" i="28" s="1"/>
  <c r="F186" i="28" s="1"/>
  <c r="G186" i="28" s="1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D185" i="28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C185" i="28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C184" i="28"/>
  <c r="AD183" i="28"/>
  <c r="AE183" i="28" s="1"/>
  <c r="AF183" i="28" s="1"/>
  <c r="D183" i="28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C183" i="28"/>
  <c r="AF182" i="28"/>
  <c r="D182" i="28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C182" i="28"/>
  <c r="C181" i="28"/>
  <c r="D181" i="28" s="1"/>
  <c r="E181" i="28" s="1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C180" i="28"/>
  <c r="D180" i="28" s="1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C179" i="28"/>
  <c r="D179" i="28" s="1"/>
  <c r="E179" i="28" s="1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C178" i="28"/>
  <c r="D178" i="28" s="1"/>
  <c r="E178" i="28" s="1"/>
  <c r="F178" i="28" s="1"/>
  <c r="G178" i="28" s="1"/>
  <c r="H178" i="28" s="1"/>
  <c r="I178" i="28" s="1"/>
  <c r="J178" i="28" s="1"/>
  <c r="K178" i="28" s="1"/>
  <c r="L178" i="28" s="1"/>
  <c r="M178" i="28" s="1"/>
  <c r="N178" i="28" s="1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D177" i="28"/>
  <c r="E177" i="28" s="1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C177" i="28"/>
  <c r="C175" i="28"/>
  <c r="D175" i="28" s="1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J173" i="28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D173" i="28"/>
  <c r="E173" i="28" s="1"/>
  <c r="F173" i="28" s="1"/>
  <c r="G173" i="28" s="1"/>
  <c r="H173" i="28" s="1"/>
  <c r="I173" i="28" s="1"/>
  <c r="C173" i="28"/>
  <c r="J172" i="28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C172" i="28"/>
  <c r="D172" i="28" s="1"/>
  <c r="E172" i="28" s="1"/>
  <c r="F172" i="28" s="1"/>
  <c r="G172" i="28" s="1"/>
  <c r="H172" i="28" s="1"/>
  <c r="I172" i="28" s="1"/>
  <c r="C171" i="28"/>
  <c r="D171" i="28" s="1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C170" i="28"/>
  <c r="D170" i="28" s="1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C169" i="28"/>
  <c r="D169" i="28" s="1"/>
  <c r="E169" i="28" s="1"/>
  <c r="F169" i="28" s="1"/>
  <c r="G169" i="28" s="1"/>
  <c r="H169" i="28" s="1"/>
  <c r="I169" i="28" s="1"/>
  <c r="J169" i="28" s="1"/>
  <c r="K169" i="28" s="1"/>
  <c r="L169" i="28" s="1"/>
  <c r="M169" i="28" s="1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C168" i="28"/>
  <c r="D168" i="28" s="1"/>
  <c r="E168" i="28" s="1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F166" i="28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C166" i="28"/>
  <c r="D166" i="28" s="1"/>
  <c r="E166" i="28" s="1"/>
  <c r="D165" i="28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C165" i="28"/>
  <c r="C164" i="28"/>
  <c r="D164" i="28" s="1"/>
  <c r="E164" i="28" s="1"/>
  <c r="F164" i="28" s="1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C163" i="28"/>
  <c r="D163" i="28" s="1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C162" i="28"/>
  <c r="D162" i="28" s="1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E161" i="28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D161" i="28"/>
  <c r="C161" i="28"/>
  <c r="C160" i="28"/>
  <c r="D160" i="28" s="1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C159" i="28"/>
  <c r="D159" i="28" s="1"/>
  <c r="E159" i="28" s="1"/>
  <c r="F159" i="28" s="1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C158" i="28"/>
  <c r="D158" i="28" s="1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D157" i="28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C157" i="28"/>
  <c r="C156" i="28"/>
  <c r="D156" i="28" s="1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C155" i="28"/>
  <c r="D155" i="28" s="1"/>
  <c r="E155" i="28" s="1"/>
  <c r="F155" i="28" s="1"/>
  <c r="G155" i="28" s="1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F154" i="28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D154" i="28"/>
  <c r="E154" i="28" s="1"/>
  <c r="C154" i="28"/>
  <c r="J152" i="28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D152" i="28"/>
  <c r="E152" i="28" s="1"/>
  <c r="F152" i="28" s="1"/>
  <c r="G152" i="28" s="1"/>
  <c r="H152" i="28" s="1"/>
  <c r="I152" i="28" s="1"/>
  <c r="C152" i="28"/>
  <c r="P151" i="28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C151" i="28"/>
  <c r="D151" i="28" s="1"/>
  <c r="E151" i="28" s="1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D150" i="28"/>
  <c r="E150" i="28" s="1"/>
  <c r="F150" i="28" s="1"/>
  <c r="G150" i="28" s="1"/>
  <c r="H150" i="28" s="1"/>
  <c r="I150" i="28" s="1"/>
  <c r="J150" i="28" s="1"/>
  <c r="K150" i="28" s="1"/>
  <c r="L150" i="28" s="1"/>
  <c r="M150" i="28" s="1"/>
  <c r="N150" i="28" s="1"/>
  <c r="O150" i="28" s="1"/>
  <c r="P150" i="28" s="1"/>
  <c r="Q150" i="28" s="1"/>
  <c r="R150" i="28" s="1"/>
  <c r="S150" i="28" s="1"/>
  <c r="T150" i="28" s="1"/>
  <c r="U150" i="28" s="1"/>
  <c r="V150" i="28" s="1"/>
  <c r="W150" i="28" s="1"/>
  <c r="X150" i="28" s="1"/>
  <c r="Y150" i="28" s="1"/>
  <c r="Z150" i="28" s="1"/>
  <c r="AA150" i="28" s="1"/>
  <c r="AB150" i="28" s="1"/>
  <c r="AC150" i="28" s="1"/>
  <c r="AD150" i="28" s="1"/>
  <c r="AE150" i="28" s="1"/>
  <c r="AF150" i="28" s="1"/>
  <c r="C150" i="28"/>
  <c r="F149" i="28"/>
  <c r="G149" i="28" s="1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D149" i="28"/>
  <c r="E149" i="28" s="1"/>
  <c r="C149" i="28"/>
  <c r="C147" i="28"/>
  <c r="D147" i="28" s="1"/>
  <c r="E147" i="28" s="1"/>
  <c r="F147" i="28" s="1"/>
  <c r="G147" i="28" s="1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S147" i="28" s="1"/>
  <c r="T147" i="28" s="1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C146" i="28"/>
  <c r="D146" i="28" s="1"/>
  <c r="E146" i="28" s="1"/>
  <c r="F146" i="28" s="1"/>
  <c r="G146" i="28" s="1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F144" i="28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D144" i="28"/>
  <c r="E144" i="28" s="1"/>
  <c r="C144" i="28"/>
  <c r="D143" i="28"/>
  <c r="E143" i="28" s="1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C143" i="28"/>
  <c r="D142" i="28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C142" i="28"/>
  <c r="E141" i="28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C141" i="28"/>
  <c r="D141" i="28" s="1"/>
  <c r="C140" i="28"/>
  <c r="D140" i="28" s="1"/>
  <c r="E140" i="28" s="1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C139" i="28"/>
  <c r="D139" i="28" s="1"/>
  <c r="E139" i="28" s="1"/>
  <c r="F139" i="28" s="1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D138" i="28"/>
  <c r="E138" i="28" s="1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C138" i="28"/>
  <c r="D136" i="28"/>
  <c r="E136" i="28" s="1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C136" i="28"/>
  <c r="C135" i="28"/>
  <c r="D135" i="28" s="1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D134" i="28"/>
  <c r="E134" i="28" s="1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C134" i="28"/>
  <c r="D133" i="28"/>
  <c r="E133" i="28" s="1"/>
  <c r="F133" i="28" s="1"/>
  <c r="G133" i="28" s="1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C133" i="28"/>
  <c r="E132" i="28"/>
  <c r="F132" i="28" s="1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C132" i="28"/>
  <c r="D132" i="28" s="1"/>
  <c r="C131" i="28"/>
  <c r="D131" i="28" s="1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C130" i="28"/>
  <c r="D130" i="28" s="1"/>
  <c r="E130" i="28" s="1"/>
  <c r="F130" i="28" s="1"/>
  <c r="G130" i="28" s="1"/>
  <c r="H130" i="28" s="1"/>
  <c r="I130" i="28" s="1"/>
  <c r="J130" i="28" s="1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C129" i="28"/>
  <c r="D129" i="28" s="1"/>
  <c r="E129" i="28" s="1"/>
  <c r="F129" i="28" s="1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C127" i="28"/>
  <c r="D127" i="28" s="1"/>
  <c r="E127" i="28" s="1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I126" i="28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C126" i="28"/>
  <c r="D126" i="28" s="1"/>
  <c r="E126" i="28" s="1"/>
  <c r="F126" i="28" s="1"/>
  <c r="G126" i="28" s="1"/>
  <c r="H126" i="28" s="1"/>
  <c r="C125" i="28"/>
  <c r="D125" i="28" s="1"/>
  <c r="E125" i="28" s="1"/>
  <c r="F125" i="28" s="1"/>
  <c r="G125" i="28" s="1"/>
  <c r="H125" i="28" s="1"/>
  <c r="I125" i="28" s="1"/>
  <c r="J125" i="28" s="1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D124" i="28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C124" i="28"/>
  <c r="E123" i="28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D123" i="28"/>
  <c r="C123" i="28"/>
  <c r="C122" i="28"/>
  <c r="D122" i="28" s="1"/>
  <c r="E122" i="28" s="1"/>
  <c r="F122" i="28" s="1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E121" i="28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D121" i="28"/>
  <c r="C121" i="28"/>
  <c r="D120" i="28"/>
  <c r="E120" i="28" s="1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C120" i="28"/>
  <c r="C119" i="28"/>
  <c r="D119" i="28" s="1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C118" i="28"/>
  <c r="D118" i="28" s="1"/>
  <c r="E118" i="28" s="1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C117" i="28"/>
  <c r="D117" i="28" s="1"/>
  <c r="E117" i="28" s="1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C116" i="28"/>
  <c r="D116" i="28" s="1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C115" i="28"/>
  <c r="D115" i="28" s="1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C114" i="28"/>
  <c r="D114" i="28" s="1"/>
  <c r="E114" i="28" s="1"/>
  <c r="F114" i="28" s="1"/>
  <c r="G114" i="28" s="1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D113" i="28"/>
  <c r="E113" i="28" s="1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C113" i="28"/>
  <c r="O112" i="28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M112" i="28"/>
  <c r="N112" i="28" s="1"/>
  <c r="J112" i="28"/>
  <c r="K112" i="28" s="1"/>
  <c r="L112" i="28" s="1"/>
  <c r="D112" i="28"/>
  <c r="E112" i="28" s="1"/>
  <c r="F112" i="28" s="1"/>
  <c r="G112" i="28" s="1"/>
  <c r="H112" i="28" s="1"/>
  <c r="C112" i="28"/>
  <c r="C111" i="28"/>
  <c r="D111" i="28" s="1"/>
  <c r="E111" i="28" s="1"/>
  <c r="F111" i="28" s="1"/>
  <c r="G111" i="28" s="1"/>
  <c r="H111" i="28" s="1"/>
  <c r="I111" i="28" s="1"/>
  <c r="J111" i="28" s="1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D110" i="28"/>
  <c r="E110" i="28" s="1"/>
  <c r="F110" i="28" s="1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C110" i="28"/>
  <c r="F108" i="28"/>
  <c r="G108" i="28" s="1"/>
  <c r="H108" i="28" s="1"/>
  <c r="I108" i="28" s="1"/>
  <c r="J108" i="28" s="1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C108" i="28"/>
  <c r="D108" i="28" s="1"/>
  <c r="E108" i="28" s="1"/>
  <c r="C107" i="28"/>
  <c r="D107" i="28" s="1"/>
  <c r="E107" i="28" s="1"/>
  <c r="D105" i="28"/>
  <c r="E105" i="28" s="1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C105" i="28"/>
  <c r="C104" i="28"/>
  <c r="D104" i="28" s="1"/>
  <c r="E104" i="28" s="1"/>
  <c r="F104" i="28" s="1"/>
  <c r="G104" i="28" s="1"/>
  <c r="H104" i="28" s="1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C103" i="28"/>
  <c r="D103" i="28" s="1"/>
  <c r="E103" i="28" s="1"/>
  <c r="F103" i="28" s="1"/>
  <c r="G103" i="28" s="1"/>
  <c r="H103" i="28" s="1"/>
  <c r="I103" i="28" s="1"/>
  <c r="J103" i="28" s="1"/>
  <c r="K103" i="28" s="1"/>
  <c r="L103" i="28" s="1"/>
  <c r="M103" i="28" s="1"/>
  <c r="N103" i="28" s="1"/>
  <c r="O103" i="28" s="1"/>
  <c r="P103" i="28" s="1"/>
  <c r="Q103" i="28" s="1"/>
  <c r="R103" i="28" s="1"/>
  <c r="S103" i="28" s="1"/>
  <c r="T103" i="28" s="1"/>
  <c r="U103" i="28" s="1"/>
  <c r="V103" i="28" s="1"/>
  <c r="W103" i="28" s="1"/>
  <c r="X103" i="28" s="1"/>
  <c r="Y103" i="28" s="1"/>
  <c r="Z103" i="28" s="1"/>
  <c r="AA103" i="28" s="1"/>
  <c r="AB103" i="28" s="1"/>
  <c r="AC103" i="28" s="1"/>
  <c r="AD103" i="28" s="1"/>
  <c r="AE103" i="28" s="1"/>
  <c r="AF103" i="28" s="1"/>
  <c r="D102" i="28"/>
  <c r="E102" i="28" s="1"/>
  <c r="F102" i="28" s="1"/>
  <c r="G102" i="28" s="1"/>
  <c r="H102" i="28" s="1"/>
  <c r="I102" i="28" s="1"/>
  <c r="J102" i="28" s="1"/>
  <c r="K102" i="28" s="1"/>
  <c r="L102" i="28" s="1"/>
  <c r="M102" i="28" s="1"/>
  <c r="N102" i="28" s="1"/>
  <c r="O102" i="28" s="1"/>
  <c r="P102" i="28" s="1"/>
  <c r="Q102" i="28" s="1"/>
  <c r="R102" i="28" s="1"/>
  <c r="S102" i="28" s="1"/>
  <c r="T102" i="28" s="1"/>
  <c r="U102" i="28" s="1"/>
  <c r="V102" i="28" s="1"/>
  <c r="W102" i="28" s="1"/>
  <c r="X102" i="28" s="1"/>
  <c r="Y102" i="28" s="1"/>
  <c r="Z102" i="28" s="1"/>
  <c r="AA102" i="28" s="1"/>
  <c r="AB102" i="28" s="1"/>
  <c r="AC102" i="28" s="1"/>
  <c r="AD102" i="28" s="1"/>
  <c r="AE102" i="28" s="1"/>
  <c r="AF102" i="28" s="1"/>
  <c r="C102" i="28"/>
  <c r="F101" i="28"/>
  <c r="D101" i="28"/>
  <c r="E101" i="28" s="1"/>
  <c r="C101" i="28"/>
  <c r="E100" i="28"/>
  <c r="D100" i="28"/>
  <c r="C100" i="28"/>
  <c r="AH97" i="28"/>
  <c r="AI97" i="28" s="1"/>
  <c r="AH96" i="28"/>
  <c r="AI96" i="28" s="1"/>
  <c r="AH95" i="28"/>
  <c r="AI95" i="28" s="1"/>
  <c r="AH94" i="28"/>
  <c r="AI94" i="28" s="1"/>
  <c r="AH93" i="28"/>
  <c r="AI93" i="28" s="1"/>
  <c r="B92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G81" i="28"/>
  <c r="AI80" i="28"/>
  <c r="AH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B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AF75" i="28"/>
  <c r="AE75" i="28"/>
  <c r="AD75" i="28"/>
  <c r="AC75" i="28"/>
  <c r="AB75" i="28"/>
  <c r="AA75" i="28"/>
  <c r="Z75" i="28"/>
  <c r="Y75" i="28"/>
  <c r="X75" i="28"/>
  <c r="X81" i="28" s="1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K81" i="28" s="1"/>
  <c r="J75" i="28"/>
  <c r="I75" i="28"/>
  <c r="H75" i="28"/>
  <c r="G75" i="28"/>
  <c r="F75" i="28"/>
  <c r="E75" i="28"/>
  <c r="D75" i="28"/>
  <c r="C75" i="28"/>
  <c r="C81" i="28" s="1"/>
  <c r="B75" i="28"/>
  <c r="AI73" i="28"/>
  <c r="AH73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AI70" i="28"/>
  <c r="AH70" i="28"/>
  <c r="AI69" i="28"/>
  <c r="AH69" i="28"/>
  <c r="AI68" i="28"/>
  <c r="AH68" i="28"/>
  <c r="AG67" i="28"/>
  <c r="AF67" i="28"/>
  <c r="AE67" i="28"/>
  <c r="AE5" i="28" s="1"/>
  <c r="AD67" i="28"/>
  <c r="AC67" i="28"/>
  <c r="AB67" i="28"/>
  <c r="AA67" i="28"/>
  <c r="AA5" i="28" s="1"/>
  <c r="Z67" i="28"/>
  <c r="Y67" i="28"/>
  <c r="Y5" i="28" s="1"/>
  <c r="X67" i="28"/>
  <c r="V67" i="28"/>
  <c r="U67" i="28"/>
  <c r="U5" i="28" s="1"/>
  <c r="T67" i="28"/>
  <c r="T5" i="28" s="1"/>
  <c r="S67" i="28"/>
  <c r="S5" i="28" s="1"/>
  <c r="R67" i="28"/>
  <c r="Q67" i="28"/>
  <c r="P67" i="28"/>
  <c r="P5" i="28" s="1"/>
  <c r="O67" i="28"/>
  <c r="O5" i="28" s="1"/>
  <c r="N67" i="28"/>
  <c r="M67" i="28"/>
  <c r="L67" i="28"/>
  <c r="L5" i="28" s="1"/>
  <c r="K67" i="28"/>
  <c r="J67" i="28"/>
  <c r="I67" i="28"/>
  <c r="I5" i="28" s="1"/>
  <c r="H67" i="28"/>
  <c r="G67" i="28"/>
  <c r="G5" i="28" s="1"/>
  <c r="F67" i="28"/>
  <c r="E67" i="28"/>
  <c r="E5" i="28" s="1"/>
  <c r="D67" i="28"/>
  <c r="C67" i="28"/>
  <c r="B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G55" i="28"/>
  <c r="AG4" i="28" s="1"/>
  <c r="AF55" i="28"/>
  <c r="AE55" i="28"/>
  <c r="AD55" i="28"/>
  <c r="AC55" i="28"/>
  <c r="AB55" i="28"/>
  <c r="AA55" i="28"/>
  <c r="Z55" i="28"/>
  <c r="Y55" i="28"/>
  <c r="X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AI54" i="28"/>
  <c r="AH54" i="28"/>
  <c r="AI53" i="28"/>
  <c r="AH53" i="28"/>
  <c r="AI52" i="28"/>
  <c r="AH52" i="28"/>
  <c r="Y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AG50" i="28"/>
  <c r="AG51" i="28" s="1"/>
  <c r="AG3" i="28" s="1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G37" i="28"/>
  <c r="AG2" i="28" s="1"/>
  <c r="AF37" i="28"/>
  <c r="AE37" i="28"/>
  <c r="AD37" i="28"/>
  <c r="AC37" i="28"/>
  <c r="AB37" i="28"/>
  <c r="AA37" i="28"/>
  <c r="Z37" i="28"/>
  <c r="Y37" i="28"/>
  <c r="X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AI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D5" i="28"/>
  <c r="AC5" i="28"/>
  <c r="AB5" i="28"/>
  <c r="W5" i="28"/>
  <c r="V5" i="28"/>
  <c r="N5" i="28"/>
  <c r="M5" i="28"/>
  <c r="K5" i="28"/>
  <c r="F5" i="28"/>
  <c r="D5" i="28"/>
  <c r="C5" i="28"/>
  <c r="K4" i="28"/>
  <c r="B4" i="28"/>
  <c r="AF94" i="27"/>
  <c r="AF36" i="27"/>
  <c r="AE94" i="27"/>
  <c r="AE36" i="27"/>
  <c r="AD94" i="27"/>
  <c r="AD36" i="27"/>
  <c r="AC94" i="27"/>
  <c r="AC36" i="27"/>
  <c r="AB94" i="27"/>
  <c r="AB36" i="27"/>
  <c r="AA94" i="27"/>
  <c r="Z94" i="27"/>
  <c r="AA36" i="27"/>
  <c r="V36" i="27"/>
  <c r="U36" i="27"/>
  <c r="T36" i="27"/>
  <c r="S36" i="27"/>
  <c r="R36" i="27"/>
  <c r="E4" i="28"/>
  <c r="L101" i="30" l="1"/>
  <c r="I190" i="30"/>
  <c r="J100" i="30"/>
  <c r="J192" i="30"/>
  <c r="I198" i="30"/>
  <c r="I92" i="30"/>
  <c r="K233" i="30"/>
  <c r="L197" i="30"/>
  <c r="K7" i="29"/>
  <c r="I82" i="29"/>
  <c r="S82" i="29"/>
  <c r="S7" i="29"/>
  <c r="R7" i="29"/>
  <c r="N82" i="29"/>
  <c r="L7" i="29"/>
  <c r="L82" i="29"/>
  <c r="J82" i="29"/>
  <c r="G82" i="29"/>
  <c r="E82" i="29"/>
  <c r="D82" i="29"/>
  <c r="AB212" i="29"/>
  <c r="J7" i="29"/>
  <c r="AA212" i="29"/>
  <c r="I7" i="29"/>
  <c r="F82" i="29"/>
  <c r="T212" i="29"/>
  <c r="B7" i="29"/>
  <c r="AH81" i="29"/>
  <c r="AI81" i="29"/>
  <c r="B82" i="29"/>
  <c r="G101" i="29"/>
  <c r="X212" i="29"/>
  <c r="C207" i="29"/>
  <c r="B207" i="29"/>
  <c r="F7" i="29"/>
  <c r="AG212" i="29"/>
  <c r="O7" i="29"/>
  <c r="AF212" i="29"/>
  <c r="N7" i="29"/>
  <c r="D198" i="29"/>
  <c r="E192" i="29"/>
  <c r="U212" i="29"/>
  <c r="C7" i="29"/>
  <c r="D233" i="29"/>
  <c r="E197" i="29"/>
  <c r="Z212" i="29"/>
  <c r="H7" i="29"/>
  <c r="D190" i="29"/>
  <c r="E100" i="29"/>
  <c r="AF81" i="28"/>
  <c r="E92" i="28"/>
  <c r="R74" i="28"/>
  <c r="AJ212" i="28" s="1"/>
  <c r="C92" i="28"/>
  <c r="AD81" i="28"/>
  <c r="AG74" i="28"/>
  <c r="AG72" i="28"/>
  <c r="C198" i="28"/>
  <c r="AH71" i="28"/>
  <c r="AI77" i="28"/>
  <c r="D81" i="28"/>
  <c r="AB81" i="28"/>
  <c r="AA81" i="28"/>
  <c r="Z81" i="28"/>
  <c r="Y74" i="28"/>
  <c r="Y81" i="28"/>
  <c r="V81" i="28"/>
  <c r="T81" i="28"/>
  <c r="S81" i="28"/>
  <c r="S74" i="28"/>
  <c r="AK212" i="28" s="1"/>
  <c r="S72" i="28"/>
  <c r="R81" i="28"/>
  <c r="R72" i="28"/>
  <c r="Q81" i="28"/>
  <c r="Q74" i="28"/>
  <c r="Q72" i="28"/>
  <c r="P81" i="28"/>
  <c r="P74" i="28"/>
  <c r="O72" i="28"/>
  <c r="O74" i="28"/>
  <c r="N81" i="28"/>
  <c r="N72" i="28"/>
  <c r="N74" i="28"/>
  <c r="L81" i="28"/>
  <c r="L72" i="28"/>
  <c r="L74" i="28"/>
  <c r="AH75" i="28"/>
  <c r="K74" i="28"/>
  <c r="AC212" i="28" s="1"/>
  <c r="J81" i="28"/>
  <c r="J74" i="28"/>
  <c r="AB212" i="28" s="1"/>
  <c r="I81" i="28"/>
  <c r="AI75" i="28"/>
  <c r="AH55" i="28"/>
  <c r="H72" i="28"/>
  <c r="AI76" i="28"/>
  <c r="G72" i="28"/>
  <c r="M74" i="28"/>
  <c r="AE212" i="28" s="1"/>
  <c r="M72" i="28"/>
  <c r="F81" i="28"/>
  <c r="AH76" i="28"/>
  <c r="F72" i="28"/>
  <c r="AH77" i="28"/>
  <c r="AH79" i="28"/>
  <c r="AI78" i="28"/>
  <c r="E72" i="28"/>
  <c r="E74" i="28"/>
  <c r="W212" i="28" s="1"/>
  <c r="C74" i="28"/>
  <c r="U212" i="28" s="1"/>
  <c r="D72" i="28"/>
  <c r="K72" i="28"/>
  <c r="K82" i="28" s="1"/>
  <c r="J72" i="28"/>
  <c r="D74" i="28"/>
  <c r="AI37" i="28"/>
  <c r="C72" i="28"/>
  <c r="B81" i="28"/>
  <c r="B72" i="28"/>
  <c r="B74" i="28" s="1"/>
  <c r="H4" i="28"/>
  <c r="AF212" i="28"/>
  <c r="N7" i="28"/>
  <c r="AG212" i="28"/>
  <c r="O7" i="28"/>
  <c r="AH212" i="28"/>
  <c r="P7" i="28"/>
  <c r="AI212" i="28"/>
  <c r="Q7" i="28"/>
  <c r="AQ212" i="28"/>
  <c r="Y7" i="28"/>
  <c r="AG6" i="28"/>
  <c r="R82" i="28"/>
  <c r="F100" i="28"/>
  <c r="E190" i="28"/>
  <c r="F107" i="28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AH37" i="28"/>
  <c r="X5" i="28"/>
  <c r="Q5" i="28"/>
  <c r="AI55" i="28"/>
  <c r="AI67" i="28"/>
  <c r="S82" i="28"/>
  <c r="AI71" i="28"/>
  <c r="I72" i="28"/>
  <c r="Y72" i="28"/>
  <c r="Y82" i="28" s="1"/>
  <c r="H5" i="28"/>
  <c r="AF5" i="28"/>
  <c r="AH67" i="28"/>
  <c r="B5" i="28"/>
  <c r="J5" i="28"/>
  <c r="R5" i="28"/>
  <c r="Z5" i="28"/>
  <c r="F74" i="28"/>
  <c r="AH78" i="28"/>
  <c r="H81" i="28"/>
  <c r="D92" i="28"/>
  <c r="AG82" i="28"/>
  <c r="P72" i="28"/>
  <c r="P82" i="28" s="1"/>
  <c r="G74" i="28"/>
  <c r="E81" i="28"/>
  <c r="M81" i="28"/>
  <c r="U81" i="28"/>
  <c r="AC81" i="28"/>
  <c r="Q82" i="28"/>
  <c r="G101" i="28"/>
  <c r="R7" i="28"/>
  <c r="H74" i="28"/>
  <c r="AI79" i="28"/>
  <c r="S209" i="28"/>
  <c r="D209" i="28"/>
  <c r="K7" i="28"/>
  <c r="S7" i="28"/>
  <c r="I74" i="28"/>
  <c r="G81" i="28"/>
  <c r="O81" i="28"/>
  <c r="O82" i="28" s="1"/>
  <c r="W81" i="28"/>
  <c r="AE81" i="28"/>
  <c r="D190" i="28"/>
  <c r="C190" i="28"/>
  <c r="E198" i="28"/>
  <c r="F192" i="28"/>
  <c r="G197" i="28"/>
  <c r="C233" i="28"/>
  <c r="D233" i="28"/>
  <c r="J198" i="30" l="1"/>
  <c r="K192" i="30"/>
  <c r="J92" i="30"/>
  <c r="J190" i="30"/>
  <c r="K100" i="30"/>
  <c r="M197" i="30"/>
  <c r="L233" i="30"/>
  <c r="M101" i="30"/>
  <c r="K6" i="29"/>
  <c r="E233" i="29"/>
  <c r="F197" i="29"/>
  <c r="H101" i="29"/>
  <c r="E190" i="29"/>
  <c r="F100" i="29"/>
  <c r="F192" i="29"/>
  <c r="E198" i="29"/>
  <c r="E92" i="29"/>
  <c r="B82" i="28"/>
  <c r="J82" i="28"/>
  <c r="J7" i="28"/>
  <c r="E7" i="28"/>
  <c r="N82" i="28"/>
  <c r="M82" i="28"/>
  <c r="M7" i="28"/>
  <c r="AD212" i="28"/>
  <c r="L7" i="28"/>
  <c r="L82" i="28"/>
  <c r="G82" i="28"/>
  <c r="F82" i="28"/>
  <c r="C7" i="28"/>
  <c r="D82" i="28"/>
  <c r="C82" i="28"/>
  <c r="E82" i="28"/>
  <c r="V212" i="28"/>
  <c r="D7" i="28"/>
  <c r="Z212" i="28"/>
  <c r="H7" i="28"/>
  <c r="F190" i="28"/>
  <c r="G100" i="28"/>
  <c r="AI81" i="28"/>
  <c r="H101" i="28"/>
  <c r="G233" i="28"/>
  <c r="H197" i="28"/>
  <c r="AA212" i="28"/>
  <c r="I7" i="28"/>
  <c r="AH81" i="28"/>
  <c r="I82" i="28"/>
  <c r="H82" i="28"/>
  <c r="T212" i="28"/>
  <c r="B7" i="28"/>
  <c r="Y212" i="28"/>
  <c r="G7" i="28"/>
  <c r="G192" i="28"/>
  <c r="F198" i="28"/>
  <c r="X212" i="28"/>
  <c r="C207" i="28"/>
  <c r="B207" i="28"/>
  <c r="F7" i="28"/>
  <c r="F92" i="28"/>
  <c r="N101" i="30" l="1"/>
  <c r="M233" i="30"/>
  <c r="N197" i="30"/>
  <c r="K190" i="30"/>
  <c r="L100" i="30"/>
  <c r="K198" i="30"/>
  <c r="L192" i="30"/>
  <c r="K92" i="30"/>
  <c r="I101" i="29"/>
  <c r="G192" i="29"/>
  <c r="F198" i="29"/>
  <c r="F92" i="29"/>
  <c r="F233" i="29"/>
  <c r="G197" i="29"/>
  <c r="F190" i="29"/>
  <c r="G100" i="29"/>
  <c r="K6" i="28"/>
  <c r="I101" i="28"/>
  <c r="G190" i="28"/>
  <c r="H100" i="28"/>
  <c r="H192" i="28"/>
  <c r="G198" i="28"/>
  <c r="H233" i="28"/>
  <c r="I197" i="28"/>
  <c r="G92" i="28"/>
  <c r="M192" i="30" l="1"/>
  <c r="L198" i="30"/>
  <c r="L92" i="30"/>
  <c r="L190" i="30"/>
  <c r="M100" i="30"/>
  <c r="N233" i="30"/>
  <c r="O197" i="30"/>
  <c r="O101" i="30"/>
  <c r="H192" i="29"/>
  <c r="G198" i="29"/>
  <c r="G92" i="29"/>
  <c r="G190" i="29"/>
  <c r="H100" i="29"/>
  <c r="J101" i="29"/>
  <c r="G233" i="29"/>
  <c r="H197" i="29"/>
  <c r="H198" i="28"/>
  <c r="I192" i="28"/>
  <c r="H190" i="28"/>
  <c r="I100" i="28"/>
  <c r="J197" i="28"/>
  <c r="I233" i="28"/>
  <c r="H92" i="28"/>
  <c r="I92" i="28"/>
  <c r="J101" i="28"/>
  <c r="O233" i="30" l="1"/>
  <c r="P197" i="30"/>
  <c r="P101" i="30"/>
  <c r="M190" i="30"/>
  <c r="N100" i="30"/>
  <c r="M198" i="30"/>
  <c r="N192" i="30"/>
  <c r="M92" i="30"/>
  <c r="K101" i="29"/>
  <c r="H233" i="29"/>
  <c r="I197" i="29"/>
  <c r="H190" i="29"/>
  <c r="I100" i="29"/>
  <c r="H198" i="29"/>
  <c r="I192" i="29"/>
  <c r="H92" i="29"/>
  <c r="J233" i="28"/>
  <c r="K197" i="28"/>
  <c r="I190" i="28"/>
  <c r="J100" i="28"/>
  <c r="J192" i="28"/>
  <c r="I198" i="28"/>
  <c r="K101" i="28"/>
  <c r="J92" i="28"/>
  <c r="O192" i="30" l="1"/>
  <c r="N198" i="30"/>
  <c r="N92" i="30"/>
  <c r="Q101" i="30"/>
  <c r="P233" i="30"/>
  <c r="Q197" i="30"/>
  <c r="N190" i="30"/>
  <c r="O100" i="30"/>
  <c r="J197" i="29"/>
  <c r="I233" i="29"/>
  <c r="I190" i="29"/>
  <c r="J100" i="29"/>
  <c r="L101" i="29"/>
  <c r="I198" i="29"/>
  <c r="J192" i="29"/>
  <c r="I92" i="29"/>
  <c r="K92" i="28"/>
  <c r="L101" i="28"/>
  <c r="J198" i="28"/>
  <c r="K192" i="28"/>
  <c r="L197" i="28"/>
  <c r="K233" i="28"/>
  <c r="J190" i="28"/>
  <c r="K100" i="28"/>
  <c r="R197" i="30" l="1"/>
  <c r="Q233" i="30"/>
  <c r="R101" i="30"/>
  <c r="O190" i="30"/>
  <c r="P100" i="30"/>
  <c r="P192" i="30"/>
  <c r="O198" i="30"/>
  <c r="O92" i="30"/>
  <c r="J198" i="29"/>
  <c r="K192" i="29"/>
  <c r="J92" i="29"/>
  <c r="M101" i="29"/>
  <c r="J190" i="29"/>
  <c r="K100" i="29"/>
  <c r="J233" i="29"/>
  <c r="K197" i="29"/>
  <c r="K190" i="28"/>
  <c r="L100" i="28"/>
  <c r="M197" i="28"/>
  <c r="L233" i="28"/>
  <c r="K198" i="28"/>
  <c r="L192" i="28"/>
  <c r="M101" i="28"/>
  <c r="L92" i="28"/>
  <c r="Q192" i="30" l="1"/>
  <c r="P198" i="30"/>
  <c r="P92" i="30"/>
  <c r="S101" i="30"/>
  <c r="P190" i="30"/>
  <c r="Q100" i="30"/>
  <c r="R233" i="30"/>
  <c r="S197" i="30"/>
  <c r="K190" i="29"/>
  <c r="L100" i="29"/>
  <c r="K198" i="29"/>
  <c r="L192" i="29"/>
  <c r="K92" i="29"/>
  <c r="N101" i="29"/>
  <c r="K233" i="29"/>
  <c r="L197" i="29"/>
  <c r="N101" i="28"/>
  <c r="M233" i="28"/>
  <c r="N197" i="28"/>
  <c r="M192" i="28"/>
  <c r="L198" i="28"/>
  <c r="L190" i="28"/>
  <c r="M100" i="28"/>
  <c r="T101" i="30" l="1"/>
  <c r="Q190" i="30"/>
  <c r="R100" i="30"/>
  <c r="S233" i="30"/>
  <c r="T197" i="30"/>
  <c r="R192" i="30"/>
  <c r="Q198" i="30"/>
  <c r="Q92" i="30"/>
  <c r="L198" i="29"/>
  <c r="M192" i="29"/>
  <c r="L92" i="29"/>
  <c r="L190" i="29"/>
  <c r="M100" i="29"/>
  <c r="O101" i="29"/>
  <c r="L233" i="29"/>
  <c r="M197" i="29"/>
  <c r="M190" i="28"/>
  <c r="N100" i="28"/>
  <c r="M198" i="28"/>
  <c r="N192" i="28"/>
  <c r="O101" i="28"/>
  <c r="N92" i="28"/>
  <c r="N233" i="28"/>
  <c r="O197" i="28"/>
  <c r="M92" i="28"/>
  <c r="U197" i="30" l="1"/>
  <c r="T233" i="30"/>
  <c r="R190" i="30"/>
  <c r="S100" i="30"/>
  <c r="R198" i="30"/>
  <c r="S192" i="30"/>
  <c r="R92" i="30"/>
  <c r="U101" i="30"/>
  <c r="P101" i="29"/>
  <c r="M190" i="29"/>
  <c r="N100" i="29"/>
  <c r="N192" i="29"/>
  <c r="M198" i="29"/>
  <c r="M92" i="29"/>
  <c r="M233" i="29"/>
  <c r="N197" i="29"/>
  <c r="O233" i="28"/>
  <c r="P197" i="28"/>
  <c r="P101" i="28"/>
  <c r="O92" i="28"/>
  <c r="O192" i="28"/>
  <c r="N198" i="28"/>
  <c r="N190" i="28"/>
  <c r="O100" i="28"/>
  <c r="V101" i="30" l="1"/>
  <c r="S198" i="30"/>
  <c r="T192" i="30"/>
  <c r="S92" i="30"/>
  <c r="S190" i="30"/>
  <c r="T100" i="30"/>
  <c r="U233" i="30"/>
  <c r="V197" i="30"/>
  <c r="N190" i="29"/>
  <c r="O100" i="29"/>
  <c r="Q101" i="29"/>
  <c r="O192" i="29"/>
  <c r="N198" i="29"/>
  <c r="N92" i="29"/>
  <c r="N233" i="29"/>
  <c r="O197" i="29"/>
  <c r="O190" i="28"/>
  <c r="P100" i="28"/>
  <c r="P192" i="28"/>
  <c r="O198" i="28"/>
  <c r="Q101" i="28"/>
  <c r="P92" i="28"/>
  <c r="P233" i="28"/>
  <c r="Q197" i="28"/>
  <c r="T190" i="30" l="1"/>
  <c r="U100" i="30"/>
  <c r="T198" i="30"/>
  <c r="T50" i="30" s="1"/>
  <c r="U192" i="30"/>
  <c r="T92" i="30"/>
  <c r="V233" i="30"/>
  <c r="W197" i="30"/>
  <c r="W101" i="30"/>
  <c r="P192" i="29"/>
  <c r="O198" i="29"/>
  <c r="O92" i="29"/>
  <c r="R101" i="29"/>
  <c r="O190" i="29"/>
  <c r="P100" i="29"/>
  <c r="O233" i="29"/>
  <c r="P197" i="29"/>
  <c r="R101" i="28"/>
  <c r="P198" i="28"/>
  <c r="Q192" i="28"/>
  <c r="Q92" i="28" s="1"/>
  <c r="P190" i="28"/>
  <c r="Q100" i="28"/>
  <c r="R197" i="28"/>
  <c r="Q233" i="28"/>
  <c r="W233" i="30" l="1"/>
  <c r="X197" i="30"/>
  <c r="X101" i="30"/>
  <c r="U198" i="30"/>
  <c r="U50" i="30" s="1"/>
  <c r="U51" i="30" s="1"/>
  <c r="V192" i="30"/>
  <c r="U92" i="30"/>
  <c r="T51" i="30"/>
  <c r="U190" i="30"/>
  <c r="V100" i="30"/>
  <c r="S101" i="29"/>
  <c r="P190" i="29"/>
  <c r="Q100" i="29"/>
  <c r="P233" i="29"/>
  <c r="Q197" i="29"/>
  <c r="P198" i="29"/>
  <c r="Q192" i="29"/>
  <c r="P92" i="29"/>
  <c r="Q190" i="28"/>
  <c r="R100" i="28"/>
  <c r="R192" i="28"/>
  <c r="Q198" i="28"/>
  <c r="S101" i="28"/>
  <c r="R92" i="28"/>
  <c r="R233" i="28"/>
  <c r="S197" i="28"/>
  <c r="W192" i="30" l="1"/>
  <c r="V198" i="30"/>
  <c r="V50" i="30" s="1"/>
  <c r="V92" i="30"/>
  <c r="U74" i="30"/>
  <c r="U72" i="30"/>
  <c r="V190" i="30"/>
  <c r="W100" i="30"/>
  <c r="Y101" i="30"/>
  <c r="X233" i="30"/>
  <c r="Y197" i="30"/>
  <c r="T74" i="30"/>
  <c r="T72" i="30"/>
  <c r="R197" i="29"/>
  <c r="Q233" i="29"/>
  <c r="Q190" i="29"/>
  <c r="R100" i="29"/>
  <c r="Q198" i="29"/>
  <c r="R192" i="29"/>
  <c r="Q92" i="29"/>
  <c r="T101" i="29"/>
  <c r="T197" i="28"/>
  <c r="S233" i="28"/>
  <c r="T101" i="28"/>
  <c r="R198" i="28"/>
  <c r="S192" i="28"/>
  <c r="S92" i="28" s="1"/>
  <c r="R190" i="28"/>
  <c r="S100" i="28"/>
  <c r="U82" i="30" l="1"/>
  <c r="W190" i="30"/>
  <c r="X100" i="30"/>
  <c r="T82" i="30"/>
  <c r="AL212" i="30"/>
  <c r="T7" i="30"/>
  <c r="AM212" i="30"/>
  <c r="U7" i="30"/>
  <c r="V51" i="30"/>
  <c r="Z101" i="30"/>
  <c r="Z197" i="30"/>
  <c r="Y233" i="30"/>
  <c r="X192" i="30"/>
  <c r="W198" i="30"/>
  <c r="W92" i="30"/>
  <c r="R198" i="29"/>
  <c r="S192" i="29"/>
  <c r="R92" i="29"/>
  <c r="R190" i="29"/>
  <c r="S100" i="29"/>
  <c r="U101" i="29"/>
  <c r="R233" i="29"/>
  <c r="S197" i="29"/>
  <c r="S190" i="28"/>
  <c r="T100" i="28"/>
  <c r="S198" i="28"/>
  <c r="T192" i="28"/>
  <c r="U101" i="28"/>
  <c r="T92" i="28"/>
  <c r="U197" i="28"/>
  <c r="T233" i="28"/>
  <c r="V72" i="30" l="1"/>
  <c r="V74" i="30"/>
  <c r="X198" i="30"/>
  <c r="X50" i="30" s="1"/>
  <c r="Y192" i="30"/>
  <c r="X92" i="30"/>
  <c r="X190" i="30"/>
  <c r="Y100" i="30"/>
  <c r="Z233" i="30"/>
  <c r="AA197" i="30"/>
  <c r="AA101" i="30"/>
  <c r="S190" i="29"/>
  <c r="T100" i="29"/>
  <c r="V101" i="29"/>
  <c r="S198" i="29"/>
  <c r="T192" i="29"/>
  <c r="S92" i="29"/>
  <c r="S233" i="29"/>
  <c r="T197" i="29"/>
  <c r="U233" i="28"/>
  <c r="V197" i="28"/>
  <c r="V101" i="28"/>
  <c r="T198" i="28"/>
  <c r="T50" i="28" s="1"/>
  <c r="U192" i="28"/>
  <c r="U92" i="28" s="1"/>
  <c r="T190" i="28"/>
  <c r="U100" i="28"/>
  <c r="AA233" i="30" l="1"/>
  <c r="AB197" i="30"/>
  <c r="AN212" i="30"/>
  <c r="V7" i="30"/>
  <c r="Y190" i="30"/>
  <c r="Z100" i="30"/>
  <c r="W72" i="30"/>
  <c r="W74" i="30"/>
  <c r="Z192" i="30"/>
  <c r="Y198" i="30"/>
  <c r="Y92" i="30"/>
  <c r="X51" i="30"/>
  <c r="AB101" i="30"/>
  <c r="V82" i="30"/>
  <c r="T198" i="29"/>
  <c r="T50" i="29" s="1"/>
  <c r="U192" i="29"/>
  <c r="T92" i="29"/>
  <c r="W101" i="29"/>
  <c r="T190" i="29"/>
  <c r="U100" i="29"/>
  <c r="T233" i="29"/>
  <c r="U197" i="29"/>
  <c r="U190" i="28"/>
  <c r="V100" i="28"/>
  <c r="U198" i="28"/>
  <c r="U50" i="28" s="1"/>
  <c r="U51" i="28" s="1"/>
  <c r="V192" i="28"/>
  <c r="T51" i="28"/>
  <c r="V92" i="28"/>
  <c r="W101" i="28"/>
  <c r="V233" i="28"/>
  <c r="W197" i="28"/>
  <c r="X72" i="30" l="1"/>
  <c r="X74" i="30"/>
  <c r="AC197" i="30"/>
  <c r="AB233" i="30"/>
  <c r="AO212" i="30"/>
  <c r="W7" i="30"/>
  <c r="AC101" i="30"/>
  <c r="W82" i="30"/>
  <c r="Z198" i="30"/>
  <c r="Z50" i="30" s="1"/>
  <c r="AA192" i="30"/>
  <c r="Z92" i="30"/>
  <c r="Z190" i="30"/>
  <c r="AA100" i="30"/>
  <c r="X101" i="29"/>
  <c r="V192" i="29"/>
  <c r="U198" i="29"/>
  <c r="U50" i="29" s="1"/>
  <c r="U51" i="29" s="1"/>
  <c r="U92" i="29"/>
  <c r="U190" i="29"/>
  <c r="V100" i="29"/>
  <c r="U233" i="29"/>
  <c r="V197" i="29"/>
  <c r="T51" i="29"/>
  <c r="U72" i="28"/>
  <c r="U74" i="28"/>
  <c r="V190" i="28"/>
  <c r="W100" i="28"/>
  <c r="T72" i="28"/>
  <c r="T74" i="28"/>
  <c r="W192" i="28"/>
  <c r="V198" i="28"/>
  <c r="V50" i="28" s="1"/>
  <c r="W233" i="28"/>
  <c r="X197" i="28"/>
  <c r="X101" i="28"/>
  <c r="W92" i="28"/>
  <c r="AA198" i="30" l="1"/>
  <c r="AA50" i="30" s="1"/>
  <c r="AA51" i="30" s="1"/>
  <c r="AB192" i="30"/>
  <c r="AA92" i="30"/>
  <c r="Z51" i="30"/>
  <c r="AP212" i="30"/>
  <c r="X7" i="30"/>
  <c r="AC233" i="30"/>
  <c r="AD197" i="30"/>
  <c r="AD101" i="30"/>
  <c r="AA190" i="30"/>
  <c r="AB100" i="30"/>
  <c r="X82" i="30"/>
  <c r="U72" i="29"/>
  <c r="U74" i="29"/>
  <c r="W192" i="29"/>
  <c r="V198" i="29"/>
  <c r="V50" i="29" s="1"/>
  <c r="V92" i="29"/>
  <c r="T72" i="29"/>
  <c r="T74" i="29"/>
  <c r="Y101" i="29"/>
  <c r="V190" i="29"/>
  <c r="W100" i="29"/>
  <c r="V233" i="29"/>
  <c r="W197" i="29"/>
  <c r="Y101" i="28"/>
  <c r="X92" i="28"/>
  <c r="AL212" i="28"/>
  <c r="T7" i="28"/>
  <c r="T82" i="28"/>
  <c r="X233" i="28"/>
  <c r="Y197" i="28"/>
  <c r="W190" i="28"/>
  <c r="X100" i="28"/>
  <c r="AM212" i="28"/>
  <c r="U7" i="28"/>
  <c r="V51" i="28"/>
  <c r="X192" i="28"/>
  <c r="W198" i="28"/>
  <c r="U82" i="28"/>
  <c r="AD233" i="30" l="1"/>
  <c r="AE197" i="30"/>
  <c r="AE101" i="30"/>
  <c r="AB190" i="30"/>
  <c r="AC100" i="30"/>
  <c r="Z74" i="30"/>
  <c r="Z72" i="30"/>
  <c r="AC192" i="30"/>
  <c r="AB198" i="30"/>
  <c r="AB50" i="30" s="1"/>
  <c r="AB92" i="30"/>
  <c r="AA74" i="30"/>
  <c r="AA72" i="30"/>
  <c r="AA82" i="30" s="1"/>
  <c r="AL212" i="29"/>
  <c r="T7" i="29"/>
  <c r="W190" i="29"/>
  <c r="X100" i="29"/>
  <c r="X192" i="29"/>
  <c r="W198" i="29"/>
  <c r="W51" i="29" s="1"/>
  <c r="W92" i="29"/>
  <c r="W233" i="29"/>
  <c r="X197" i="29"/>
  <c r="T82" i="29"/>
  <c r="AM212" i="29"/>
  <c r="U7" i="29"/>
  <c r="V51" i="29"/>
  <c r="Z101" i="29"/>
  <c r="U82" i="29"/>
  <c r="V72" i="28"/>
  <c r="V74" i="28"/>
  <c r="W72" i="28"/>
  <c r="W74" i="28"/>
  <c r="X198" i="28"/>
  <c r="X50" i="28" s="1"/>
  <c r="Y192" i="28"/>
  <c r="Z197" i="28"/>
  <c r="Y233" i="28"/>
  <c r="X190" i="28"/>
  <c r="Y100" i="28"/>
  <c r="Z101" i="28"/>
  <c r="AR212" i="30" l="1"/>
  <c r="Z7" i="30"/>
  <c r="Z82" i="30"/>
  <c r="AS212" i="30"/>
  <c r="AA7" i="30"/>
  <c r="AC190" i="30"/>
  <c r="AD100" i="30"/>
  <c r="AF101" i="30"/>
  <c r="AB51" i="30"/>
  <c r="AE233" i="30"/>
  <c r="AF197" i="30"/>
  <c r="AF233" i="30" s="1"/>
  <c r="AC198" i="30"/>
  <c r="AC50" i="30" s="1"/>
  <c r="AC51" i="30" s="1"/>
  <c r="AD192" i="30"/>
  <c r="AC92" i="30"/>
  <c r="X198" i="29"/>
  <c r="Y192" i="29"/>
  <c r="X92" i="29"/>
  <c r="X190" i="29"/>
  <c r="Y100" i="29"/>
  <c r="AA101" i="29"/>
  <c r="X233" i="29"/>
  <c r="Y197" i="29"/>
  <c r="V72" i="29"/>
  <c r="V74" i="29"/>
  <c r="W72" i="29"/>
  <c r="W74" i="29"/>
  <c r="Y190" i="28"/>
  <c r="Z100" i="28"/>
  <c r="Z192" i="28"/>
  <c r="Y198" i="28"/>
  <c r="V82" i="28"/>
  <c r="W82" i="28"/>
  <c r="Z233" i="28"/>
  <c r="AA197" i="28"/>
  <c r="AA101" i="28"/>
  <c r="Z92" i="28"/>
  <c r="X51" i="28"/>
  <c r="AO212" i="28"/>
  <c r="W7" i="28"/>
  <c r="AN212" i="28"/>
  <c r="V7" i="28"/>
  <c r="Y92" i="28"/>
  <c r="AE192" i="30" l="1"/>
  <c r="AD198" i="30"/>
  <c r="AD50" i="30" s="1"/>
  <c r="AD51" i="30" s="1"/>
  <c r="AD92" i="30"/>
  <c r="AC74" i="30"/>
  <c r="AC72" i="30"/>
  <c r="AD190" i="30"/>
  <c r="AE100" i="30"/>
  <c r="AB74" i="30"/>
  <c r="AB72" i="30"/>
  <c r="Y190" i="29"/>
  <c r="Z100" i="29"/>
  <c r="AN212" i="29"/>
  <c r="V7" i="29"/>
  <c r="Z197" i="29"/>
  <c r="Y233" i="29"/>
  <c r="AO212" i="29"/>
  <c r="W7" i="29"/>
  <c r="Y198" i="29"/>
  <c r="Z192" i="29"/>
  <c r="Y92" i="29"/>
  <c r="V82" i="29"/>
  <c r="W82" i="29"/>
  <c r="AB101" i="29"/>
  <c r="X51" i="29"/>
  <c r="X72" i="28"/>
  <c r="X74" i="28"/>
  <c r="Z198" i="28"/>
  <c r="Z50" i="28" s="1"/>
  <c r="AA192" i="28"/>
  <c r="AA233" i="28"/>
  <c r="AB197" i="28"/>
  <c r="Z190" i="28"/>
  <c r="AA100" i="28"/>
  <c r="AA92" i="28"/>
  <c r="AB101" i="28"/>
  <c r="AC82" i="30" l="1"/>
  <c r="AB82" i="30"/>
  <c r="AD72" i="30"/>
  <c r="AD74" i="30"/>
  <c r="AU212" i="30"/>
  <c r="AC7" i="30"/>
  <c r="AT212" i="30"/>
  <c r="AB7" i="30"/>
  <c r="AF192" i="30"/>
  <c r="AE198" i="30"/>
  <c r="AE50" i="30" s="1"/>
  <c r="AE51" i="30" s="1"/>
  <c r="AE92" i="30"/>
  <c r="AE190" i="30"/>
  <c r="AF100" i="30"/>
  <c r="AF190" i="30" s="1"/>
  <c r="X74" i="29"/>
  <c r="X72" i="29"/>
  <c r="Z198" i="29"/>
  <c r="Z50" i="29" s="1"/>
  <c r="AA192" i="29"/>
  <c r="Z92" i="29"/>
  <c r="AC101" i="29"/>
  <c r="Z190" i="29"/>
  <c r="AA100" i="29"/>
  <c r="AA197" i="29"/>
  <c r="Z233" i="29"/>
  <c r="AA198" i="28"/>
  <c r="AA50" i="28" s="1"/>
  <c r="AA51" i="28" s="1"/>
  <c r="AB192" i="28"/>
  <c r="AA190" i="28"/>
  <c r="AB100" i="28"/>
  <c r="AP212" i="28"/>
  <c r="X7" i="28"/>
  <c r="AC101" i="28"/>
  <c r="AB92" i="28"/>
  <c r="Z51" i="28"/>
  <c r="AB233" i="28"/>
  <c r="AC197" i="28"/>
  <c r="X82" i="28"/>
  <c r="AE72" i="30" l="1"/>
  <c r="AE74" i="30"/>
  <c r="AV212" i="30"/>
  <c r="AD7" i="30"/>
  <c r="AF198" i="30"/>
  <c r="AF50" i="30" s="1"/>
  <c r="AF92" i="30"/>
  <c r="AD82" i="30"/>
  <c r="AA198" i="29"/>
  <c r="AA50" i="29" s="1"/>
  <c r="AA51" i="29" s="1"/>
  <c r="AB192" i="29"/>
  <c r="AA92" i="29"/>
  <c r="Z51" i="29"/>
  <c r="AA233" i="29"/>
  <c r="AB197" i="29"/>
  <c r="AA190" i="29"/>
  <c r="AB100" i="29"/>
  <c r="AP212" i="29"/>
  <c r="X7" i="29"/>
  <c r="AD101" i="29"/>
  <c r="X82" i="29"/>
  <c r="AC192" i="28"/>
  <c r="AB198" i="28"/>
  <c r="AB50" i="28" s="1"/>
  <c r="AC233" i="28"/>
  <c r="AD197" i="28"/>
  <c r="AB190" i="28"/>
  <c r="AC100" i="28"/>
  <c r="Z74" i="28"/>
  <c r="Z72" i="28"/>
  <c r="AC92" i="28"/>
  <c r="AD101" i="28"/>
  <c r="AA74" i="28"/>
  <c r="AA72" i="28"/>
  <c r="AA82" i="28" s="1"/>
  <c r="AH92" i="30" l="1"/>
  <c r="AI92" i="30"/>
  <c r="AF51" i="30"/>
  <c r="AH50" i="30"/>
  <c r="AI50" i="30"/>
  <c r="AW212" i="30"/>
  <c r="AE7" i="30"/>
  <c r="AE82" i="30"/>
  <c r="AE101" i="29"/>
  <c r="AB233" i="29"/>
  <c r="AC197" i="29"/>
  <c r="Z74" i="29"/>
  <c r="Z72" i="29"/>
  <c r="AB198" i="29"/>
  <c r="AB50" i="29" s="1"/>
  <c r="AC192" i="29"/>
  <c r="AB92" i="29"/>
  <c r="AB190" i="29"/>
  <c r="AC100" i="29"/>
  <c r="AA72" i="29"/>
  <c r="AA74" i="29"/>
  <c r="AC190" i="28"/>
  <c r="AD100" i="28"/>
  <c r="AD233" i="28"/>
  <c r="AE197" i="28"/>
  <c r="AR212" i="28"/>
  <c r="Z7" i="28"/>
  <c r="AB51" i="28"/>
  <c r="AS212" i="28"/>
  <c r="AA7" i="28"/>
  <c r="AE101" i="28"/>
  <c r="AD92" i="28"/>
  <c r="Z82" i="28"/>
  <c r="AC198" i="28"/>
  <c r="AC50" i="28" s="1"/>
  <c r="AC51" i="28" s="1"/>
  <c r="AD192" i="28"/>
  <c r="AF72" i="30" l="1"/>
  <c r="AF74" i="30"/>
  <c r="AI51" i="30"/>
  <c r="AH51" i="30"/>
  <c r="AR212" i="29"/>
  <c r="Z7" i="29"/>
  <c r="Z82" i="29"/>
  <c r="AA82" i="29"/>
  <c r="AS212" i="29"/>
  <c r="AA7" i="29"/>
  <c r="AC233" i="29"/>
  <c r="AD197" i="29"/>
  <c r="AC190" i="29"/>
  <c r="AD100" i="29"/>
  <c r="AD192" i="29"/>
  <c r="AC198" i="29"/>
  <c r="AC50" i="29" s="1"/>
  <c r="AC51" i="29" s="1"/>
  <c r="AC92" i="29"/>
  <c r="AB51" i="29"/>
  <c r="AF101" i="29"/>
  <c r="AF101" i="28"/>
  <c r="AD190" i="28"/>
  <c r="AE100" i="28"/>
  <c r="AE233" i="28"/>
  <c r="AF197" i="28"/>
  <c r="AF233" i="28" s="1"/>
  <c r="AE192" i="28"/>
  <c r="AD198" i="28"/>
  <c r="AD50" i="28" s="1"/>
  <c r="AD51" i="28" s="1"/>
  <c r="AC72" i="28"/>
  <c r="AC74" i="28"/>
  <c r="AB72" i="28"/>
  <c r="AB74" i="28"/>
  <c r="AX212" i="30" l="1"/>
  <c r="AF7" i="30"/>
  <c r="A7" i="30" s="1"/>
  <c r="AH74" i="30"/>
  <c r="AI74" i="30"/>
  <c r="AF82" i="30"/>
  <c r="AI72" i="30"/>
  <c r="AH72" i="30"/>
  <c r="AB72" i="29"/>
  <c r="AB74" i="29"/>
  <c r="AD190" i="29"/>
  <c r="AE100" i="29"/>
  <c r="AD233" i="29"/>
  <c r="AE197" i="29"/>
  <c r="AC72" i="29"/>
  <c r="AC74" i="29"/>
  <c r="AE192" i="29"/>
  <c r="AD198" i="29"/>
  <c r="AD50" i="29" s="1"/>
  <c r="AD51" i="29" s="1"/>
  <c r="AD92" i="29"/>
  <c r="AD72" i="28"/>
  <c r="AD74" i="28"/>
  <c r="AE190" i="28"/>
  <c r="AF100" i="28"/>
  <c r="AF190" i="28" s="1"/>
  <c r="AF192" i="28"/>
  <c r="AF198" i="28" s="1"/>
  <c r="AF50" i="28" s="1"/>
  <c r="AE198" i="28"/>
  <c r="AE50" i="28" s="1"/>
  <c r="AE51" i="28" s="1"/>
  <c r="AB82" i="28"/>
  <c r="AU212" i="28"/>
  <c r="AC7" i="28"/>
  <c r="AE92" i="28"/>
  <c r="AT212" i="28"/>
  <c r="AB7" i="28"/>
  <c r="AC82" i="28"/>
  <c r="AF92" i="28"/>
  <c r="AI82" i="30" l="1"/>
  <c r="AH82" i="30"/>
  <c r="AC82" i="29"/>
  <c r="AD72" i="29"/>
  <c r="AD74" i="29"/>
  <c r="AE190" i="29"/>
  <c r="AF100" i="29"/>
  <c r="AF190" i="29" s="1"/>
  <c r="AF192" i="29"/>
  <c r="AE198" i="29"/>
  <c r="AE50" i="29" s="1"/>
  <c r="AE51" i="29" s="1"/>
  <c r="AE92" i="29"/>
  <c r="AU212" i="29"/>
  <c r="AC7" i="29"/>
  <c r="AT212" i="29"/>
  <c r="AB7" i="29"/>
  <c r="AE233" i="29"/>
  <c r="AF197" i="29"/>
  <c r="AF233" i="29" s="1"/>
  <c r="AB82" i="29"/>
  <c r="AE72" i="28"/>
  <c r="AE74" i="28"/>
  <c r="AF51" i="28"/>
  <c r="AI50" i="28"/>
  <c r="AH50" i="28"/>
  <c r="AV212" i="28"/>
  <c r="AD7" i="28"/>
  <c r="AH92" i="28"/>
  <c r="AI92" i="28"/>
  <c r="AD82" i="28"/>
  <c r="AE74" i="29" l="1"/>
  <c r="AE72" i="29"/>
  <c r="AF198" i="29"/>
  <c r="AF50" i="29" s="1"/>
  <c r="AF92" i="29"/>
  <c r="AV212" i="29"/>
  <c r="AD7" i="29"/>
  <c r="AD82" i="29"/>
  <c r="AF72" i="28"/>
  <c r="AF74" i="28"/>
  <c r="AH51" i="28"/>
  <c r="AI51" i="28"/>
  <c r="AW212" i="28"/>
  <c r="AE7" i="28"/>
  <c r="AE82" i="28"/>
  <c r="AE82" i="29" l="1"/>
  <c r="AF51" i="29"/>
  <c r="AI50" i="29"/>
  <c r="AH50" i="29"/>
  <c r="AH92" i="29"/>
  <c r="AI92" i="29"/>
  <c r="AW212" i="29"/>
  <c r="AE7" i="29"/>
  <c r="AX212" i="28"/>
  <c r="AF7" i="28"/>
  <c r="A7" i="28" s="1"/>
  <c r="AH74" i="28"/>
  <c r="AI74" i="28"/>
  <c r="AF82" i="28"/>
  <c r="AI72" i="28"/>
  <c r="AH72" i="28"/>
  <c r="AF72" i="29" l="1"/>
  <c r="AF74" i="29"/>
  <c r="AI51" i="29"/>
  <c r="AH51" i="29"/>
  <c r="AI82" i="28"/>
  <c r="AH82" i="28"/>
  <c r="AX212" i="29" l="1"/>
  <c r="AF7" i="29"/>
  <c r="A7" i="29" s="1"/>
  <c r="AI74" i="29"/>
  <c r="AH74" i="29"/>
  <c r="AF82" i="29"/>
  <c r="AH72" i="29"/>
  <c r="AI72" i="29"/>
  <c r="Q36" i="27"/>
  <c r="AH82" i="29" l="1"/>
  <c r="AI82" i="29"/>
  <c r="AK4" i="27"/>
  <c r="O36" i="27" l="1"/>
  <c r="N36" i="27"/>
  <c r="M36" i="27"/>
  <c r="K36" i="27"/>
  <c r="J36" i="27"/>
  <c r="I55" i="27"/>
  <c r="I36" i="27"/>
  <c r="AK14" i="26"/>
  <c r="H36" i="27"/>
  <c r="G36" i="27"/>
  <c r="F36" i="27"/>
  <c r="E36" i="27"/>
  <c r="D36" i="27"/>
  <c r="C55" i="27"/>
  <c r="AH98" i="27"/>
  <c r="AI98" i="27" s="1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P235" i="27"/>
  <c r="O235" i="27"/>
  <c r="N235" i="27"/>
  <c r="M235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AF234" i="27"/>
  <c r="AE234" i="27"/>
  <c r="AD234" i="27"/>
  <c r="AC234" i="27"/>
  <c r="AB234" i="27"/>
  <c r="AA234" i="27"/>
  <c r="Z234" i="27"/>
  <c r="Y234" i="27"/>
  <c r="X234" i="27"/>
  <c r="W234" i="27"/>
  <c r="V234" i="27"/>
  <c r="U234" i="27"/>
  <c r="T234" i="27"/>
  <c r="S234" i="27"/>
  <c r="R234" i="27"/>
  <c r="Q234" i="27"/>
  <c r="P234" i="27"/>
  <c r="O234" i="27"/>
  <c r="N234" i="27"/>
  <c r="M234" i="27"/>
  <c r="L234" i="27"/>
  <c r="K234" i="27"/>
  <c r="J234" i="27"/>
  <c r="I234" i="27"/>
  <c r="H234" i="27"/>
  <c r="G234" i="27"/>
  <c r="F234" i="27"/>
  <c r="E234" i="27"/>
  <c r="D234" i="27"/>
  <c r="C234" i="27"/>
  <c r="B234" i="27"/>
  <c r="A234" i="27"/>
  <c r="B233" i="27"/>
  <c r="S208" i="27"/>
  <c r="AG198" i="27"/>
  <c r="B198" i="27"/>
  <c r="C197" i="27"/>
  <c r="D197" i="27" s="1"/>
  <c r="E196" i="27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D196" i="27"/>
  <c r="C196" i="27"/>
  <c r="G195" i="27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C195" i="27"/>
  <c r="D195" i="27" s="1"/>
  <c r="E195" i="27" s="1"/>
  <c r="F195" i="27" s="1"/>
  <c r="F194" i="27"/>
  <c r="G194" i="27" s="1"/>
  <c r="H194" i="27" s="1"/>
  <c r="I194" i="27" s="1"/>
  <c r="J194" i="27" s="1"/>
  <c r="K194" i="27" s="1"/>
  <c r="L194" i="27" s="1"/>
  <c r="M194" i="27" s="1"/>
  <c r="N194" i="27" s="1"/>
  <c r="O194" i="27" s="1"/>
  <c r="P194" i="27" s="1"/>
  <c r="Q194" i="27" s="1"/>
  <c r="R194" i="27" s="1"/>
  <c r="S194" i="27" s="1"/>
  <c r="T194" i="27" s="1"/>
  <c r="U194" i="27" s="1"/>
  <c r="V194" i="27" s="1"/>
  <c r="W194" i="27" s="1"/>
  <c r="X194" i="27" s="1"/>
  <c r="Y194" i="27" s="1"/>
  <c r="Z194" i="27" s="1"/>
  <c r="AA194" i="27" s="1"/>
  <c r="AB194" i="27" s="1"/>
  <c r="AC194" i="27" s="1"/>
  <c r="AD194" i="27" s="1"/>
  <c r="AE194" i="27" s="1"/>
  <c r="AF194" i="27" s="1"/>
  <c r="E194" i="27"/>
  <c r="C194" i="27"/>
  <c r="D194" i="27" s="1"/>
  <c r="L193" i="27"/>
  <c r="M193" i="27" s="1"/>
  <c r="N193" i="27" s="1"/>
  <c r="O193" i="27" s="1"/>
  <c r="P193" i="27" s="1"/>
  <c r="Q193" i="27" s="1"/>
  <c r="R193" i="27" s="1"/>
  <c r="S193" i="27" s="1"/>
  <c r="T193" i="27" s="1"/>
  <c r="U193" i="27" s="1"/>
  <c r="V193" i="27" s="1"/>
  <c r="W193" i="27" s="1"/>
  <c r="X193" i="27" s="1"/>
  <c r="Y193" i="27" s="1"/>
  <c r="Z193" i="27" s="1"/>
  <c r="AA193" i="27" s="1"/>
  <c r="AB193" i="27" s="1"/>
  <c r="AC193" i="27" s="1"/>
  <c r="AD193" i="27" s="1"/>
  <c r="AE193" i="27" s="1"/>
  <c r="AF193" i="27" s="1"/>
  <c r="E193" i="27"/>
  <c r="F193" i="27" s="1"/>
  <c r="G193" i="27" s="1"/>
  <c r="H193" i="27" s="1"/>
  <c r="I193" i="27" s="1"/>
  <c r="J193" i="27" s="1"/>
  <c r="K193" i="27" s="1"/>
  <c r="D193" i="27"/>
  <c r="C193" i="27"/>
  <c r="E192" i="27"/>
  <c r="D192" i="27"/>
  <c r="C192" i="27"/>
  <c r="AG190" i="27"/>
  <c r="B190" i="27"/>
  <c r="H189" i="27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C189" i="27"/>
  <c r="D189" i="27" s="1"/>
  <c r="E189" i="27" s="1"/>
  <c r="F189" i="27" s="1"/>
  <c r="G189" i="27" s="1"/>
  <c r="G188" i="27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F188" i="27"/>
  <c r="C188" i="27"/>
  <c r="D188" i="27" s="1"/>
  <c r="E188" i="27" s="1"/>
  <c r="U187" i="27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N187" i="27"/>
  <c r="O187" i="27" s="1"/>
  <c r="P187" i="27" s="1"/>
  <c r="Q187" i="27" s="1"/>
  <c r="R187" i="27" s="1"/>
  <c r="S187" i="27" s="1"/>
  <c r="T187" i="27" s="1"/>
  <c r="C187" i="27"/>
  <c r="D187" i="27" s="1"/>
  <c r="E187" i="27" s="1"/>
  <c r="F187" i="27" s="1"/>
  <c r="G187" i="27" s="1"/>
  <c r="H187" i="27" s="1"/>
  <c r="I187" i="27" s="1"/>
  <c r="J187" i="27" s="1"/>
  <c r="K187" i="27" s="1"/>
  <c r="L187" i="27" s="1"/>
  <c r="M187" i="27" s="1"/>
  <c r="C186" i="27"/>
  <c r="D186" i="27" s="1"/>
  <c r="E186" i="27" s="1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S185" i="27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C185" i="27"/>
  <c r="G184" i="27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C184" i="27"/>
  <c r="D184" i="27" s="1"/>
  <c r="E184" i="27" s="1"/>
  <c r="F184" i="27" s="1"/>
  <c r="C183" i="27"/>
  <c r="D183" i="27" s="1"/>
  <c r="E183" i="27" s="1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D182" i="27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C182" i="27"/>
  <c r="H181" i="27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C181" i="27"/>
  <c r="D181" i="27" s="1"/>
  <c r="E181" i="27" s="1"/>
  <c r="F181" i="27" s="1"/>
  <c r="G181" i="27" s="1"/>
  <c r="C180" i="27"/>
  <c r="D180" i="27" s="1"/>
  <c r="E180" i="27" s="1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C179" i="27"/>
  <c r="D179" i="27" s="1"/>
  <c r="E179" i="27" s="1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D178" i="27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C178" i="27"/>
  <c r="D177" i="27"/>
  <c r="E177" i="27" s="1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C177" i="27"/>
  <c r="L175" i="27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K175" i="27"/>
  <c r="C175" i="27"/>
  <c r="D175" i="27" s="1"/>
  <c r="E175" i="27" s="1"/>
  <c r="F175" i="27" s="1"/>
  <c r="G175" i="27" s="1"/>
  <c r="H175" i="27" s="1"/>
  <c r="I175" i="27" s="1"/>
  <c r="J175" i="27" s="1"/>
  <c r="J174" i="27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I174" i="27"/>
  <c r="H174" i="27"/>
  <c r="C174" i="27"/>
  <c r="D174" i="27" s="1"/>
  <c r="E174" i="27" s="1"/>
  <c r="F174" i="27" s="1"/>
  <c r="G174" i="27" s="1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C173" i="27"/>
  <c r="M172" i="27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C172" i="27"/>
  <c r="D172" i="27" s="1"/>
  <c r="E172" i="27" s="1"/>
  <c r="F172" i="27" s="1"/>
  <c r="G172" i="27" s="1"/>
  <c r="H172" i="27" s="1"/>
  <c r="I172" i="27" s="1"/>
  <c r="J172" i="27" s="1"/>
  <c r="K172" i="27" s="1"/>
  <c r="L172" i="27" s="1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C171" i="27"/>
  <c r="C170" i="27"/>
  <c r="D170" i="27" s="1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C169" i="27"/>
  <c r="D169" i="27" s="1"/>
  <c r="E169" i="27" s="1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M168" i="27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K168" i="27"/>
  <c r="L168" i="27" s="1"/>
  <c r="E168" i="27"/>
  <c r="F168" i="27" s="1"/>
  <c r="G168" i="27" s="1"/>
  <c r="H168" i="27" s="1"/>
  <c r="I168" i="27" s="1"/>
  <c r="J168" i="27" s="1"/>
  <c r="C168" i="27"/>
  <c r="D168" i="27" s="1"/>
  <c r="K166" i="27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I166" i="27"/>
  <c r="J166" i="27" s="1"/>
  <c r="C166" i="27"/>
  <c r="D166" i="27" s="1"/>
  <c r="E166" i="27" s="1"/>
  <c r="F166" i="27" s="1"/>
  <c r="G166" i="27" s="1"/>
  <c r="H166" i="27" s="1"/>
  <c r="K165" i="27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C165" i="27"/>
  <c r="D165" i="27" s="1"/>
  <c r="E165" i="27" s="1"/>
  <c r="F165" i="27" s="1"/>
  <c r="G165" i="27" s="1"/>
  <c r="H165" i="27" s="1"/>
  <c r="I165" i="27" s="1"/>
  <c r="J165" i="27" s="1"/>
  <c r="D164" i="27"/>
  <c r="E164" i="27" s="1"/>
  <c r="F164" i="27" s="1"/>
  <c r="G164" i="27" s="1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C164" i="27"/>
  <c r="C163" i="27"/>
  <c r="D163" i="27" s="1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O162" i="27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D162" i="27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C162" i="27"/>
  <c r="I161" i="27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D161" i="27"/>
  <c r="E161" i="27" s="1"/>
  <c r="F161" i="27" s="1"/>
  <c r="G161" i="27" s="1"/>
  <c r="H161" i="27" s="1"/>
  <c r="C161" i="27"/>
  <c r="T160" i="27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P160" i="27"/>
  <c r="Q160" i="27" s="1"/>
  <c r="R160" i="27" s="1"/>
  <c r="S160" i="27" s="1"/>
  <c r="C160" i="27"/>
  <c r="D160" i="27" s="1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I159" i="27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C159" i="27"/>
  <c r="D159" i="27" s="1"/>
  <c r="E159" i="27" s="1"/>
  <c r="F159" i="27" s="1"/>
  <c r="G159" i="27" s="1"/>
  <c r="H159" i="27" s="1"/>
  <c r="D158" i="27"/>
  <c r="E158" i="27" s="1"/>
  <c r="F158" i="27" s="1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C158" i="27"/>
  <c r="C157" i="27"/>
  <c r="D157" i="27" s="1"/>
  <c r="E157" i="27" s="1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J156" i="27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E156" i="27"/>
  <c r="F156" i="27" s="1"/>
  <c r="G156" i="27" s="1"/>
  <c r="H156" i="27" s="1"/>
  <c r="I156" i="27" s="1"/>
  <c r="C156" i="27"/>
  <c r="D156" i="27" s="1"/>
  <c r="H155" i="27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V155" i="27" s="1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C155" i="27"/>
  <c r="D155" i="27" s="1"/>
  <c r="E155" i="27" s="1"/>
  <c r="F155" i="27" s="1"/>
  <c r="G155" i="27" s="1"/>
  <c r="D154" i="27"/>
  <c r="E154" i="27" s="1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C154" i="27"/>
  <c r="C152" i="27"/>
  <c r="D152" i="27" s="1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G151" i="27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D151" i="27"/>
  <c r="E151" i="27" s="1"/>
  <c r="F151" i="27" s="1"/>
  <c r="C151" i="27"/>
  <c r="C150" i="27"/>
  <c r="D150" i="27" s="1"/>
  <c r="E150" i="27" s="1"/>
  <c r="F150" i="27" s="1"/>
  <c r="G150" i="27" s="1"/>
  <c r="H150" i="27" s="1"/>
  <c r="I150" i="27" s="1"/>
  <c r="J150" i="27" s="1"/>
  <c r="K150" i="27" s="1"/>
  <c r="L150" i="27" s="1"/>
  <c r="M150" i="27" s="1"/>
  <c r="N150" i="27" s="1"/>
  <c r="O150" i="27" s="1"/>
  <c r="P150" i="27" s="1"/>
  <c r="Q150" i="27" s="1"/>
  <c r="R150" i="27" s="1"/>
  <c r="S150" i="27" s="1"/>
  <c r="T150" i="27" s="1"/>
  <c r="U150" i="27" s="1"/>
  <c r="V150" i="27" s="1"/>
  <c r="W150" i="27" s="1"/>
  <c r="X150" i="27" s="1"/>
  <c r="Y150" i="27" s="1"/>
  <c r="Z150" i="27" s="1"/>
  <c r="AA150" i="27" s="1"/>
  <c r="AB150" i="27" s="1"/>
  <c r="AC150" i="27" s="1"/>
  <c r="AD150" i="27" s="1"/>
  <c r="AE150" i="27" s="1"/>
  <c r="AF150" i="27" s="1"/>
  <c r="D149" i="27"/>
  <c r="E149" i="27" s="1"/>
  <c r="F149" i="27" s="1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C149" i="27"/>
  <c r="F147" i="27"/>
  <c r="G147" i="27" s="1"/>
  <c r="H147" i="27" s="1"/>
  <c r="I147" i="27" s="1"/>
  <c r="J147" i="27" s="1"/>
  <c r="K147" i="27" s="1"/>
  <c r="L147" i="27" s="1"/>
  <c r="M147" i="27" s="1"/>
  <c r="N147" i="27" s="1"/>
  <c r="O147" i="27" s="1"/>
  <c r="P147" i="27" s="1"/>
  <c r="Q147" i="27" s="1"/>
  <c r="R147" i="27" s="1"/>
  <c r="S147" i="27" s="1"/>
  <c r="T147" i="27" s="1"/>
  <c r="U147" i="27" s="1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E147" i="27"/>
  <c r="C147" i="27"/>
  <c r="D147" i="27" s="1"/>
  <c r="G146" i="27"/>
  <c r="H146" i="27" s="1"/>
  <c r="I146" i="27" s="1"/>
  <c r="J146" i="27" s="1"/>
  <c r="K146" i="27" s="1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D146" i="27"/>
  <c r="E146" i="27" s="1"/>
  <c r="F146" i="27" s="1"/>
  <c r="C146" i="27"/>
  <c r="N144" i="27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M144" i="27"/>
  <c r="E144" i="27"/>
  <c r="F144" i="27" s="1"/>
  <c r="G144" i="27" s="1"/>
  <c r="H144" i="27" s="1"/>
  <c r="I144" i="27" s="1"/>
  <c r="J144" i="27" s="1"/>
  <c r="K144" i="27" s="1"/>
  <c r="L144" i="27" s="1"/>
  <c r="C144" i="27"/>
  <c r="D144" i="27" s="1"/>
  <c r="G143" i="27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D143" i="27"/>
  <c r="E143" i="27" s="1"/>
  <c r="F143" i="27" s="1"/>
  <c r="C143" i="27"/>
  <c r="F142" i="27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E142" i="27"/>
  <c r="C142" i="27"/>
  <c r="D142" i="27" s="1"/>
  <c r="C141" i="27"/>
  <c r="D141" i="27" s="1"/>
  <c r="E141" i="27" s="1"/>
  <c r="F141" i="27" s="1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C140" i="27"/>
  <c r="D140" i="27" s="1"/>
  <c r="E140" i="27" s="1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C139" i="27"/>
  <c r="D139" i="27" s="1"/>
  <c r="E139" i="27" s="1"/>
  <c r="F139" i="27" s="1"/>
  <c r="G139" i="27" s="1"/>
  <c r="H139" i="27" s="1"/>
  <c r="I139" i="27" s="1"/>
  <c r="J139" i="27" s="1"/>
  <c r="K139" i="27" s="1"/>
  <c r="L139" i="27" s="1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J138" i="27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E138" i="27"/>
  <c r="F138" i="27" s="1"/>
  <c r="G138" i="27" s="1"/>
  <c r="H138" i="27" s="1"/>
  <c r="I138" i="27" s="1"/>
  <c r="C138" i="27"/>
  <c r="D138" i="27" s="1"/>
  <c r="M136" i="27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E136" i="27"/>
  <c r="F136" i="27" s="1"/>
  <c r="G136" i="27" s="1"/>
  <c r="H136" i="27" s="1"/>
  <c r="I136" i="27" s="1"/>
  <c r="J136" i="27" s="1"/>
  <c r="K136" i="27" s="1"/>
  <c r="L136" i="27" s="1"/>
  <c r="D136" i="27"/>
  <c r="C136" i="27"/>
  <c r="J135" i="27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I135" i="27"/>
  <c r="D135" i="27"/>
  <c r="E135" i="27" s="1"/>
  <c r="F135" i="27" s="1"/>
  <c r="G135" i="27" s="1"/>
  <c r="H135" i="27" s="1"/>
  <c r="C135" i="27"/>
  <c r="E134" i="27"/>
  <c r="F134" i="27" s="1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D134" i="27"/>
  <c r="C134" i="27"/>
  <c r="C133" i="27"/>
  <c r="D133" i="27" s="1"/>
  <c r="E133" i="27" s="1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C132" i="27"/>
  <c r="D132" i="27" s="1"/>
  <c r="E132" i="27" s="1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D131" i="27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C131" i="27"/>
  <c r="E130" i="27"/>
  <c r="F130" i="27" s="1"/>
  <c r="G130" i="27" s="1"/>
  <c r="H130" i="27" s="1"/>
  <c r="I130" i="27" s="1"/>
  <c r="J130" i="27" s="1"/>
  <c r="K130" i="27" s="1"/>
  <c r="L130" i="27" s="1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D130" i="27"/>
  <c r="C130" i="27"/>
  <c r="C129" i="27"/>
  <c r="D129" i="27" s="1"/>
  <c r="E129" i="27" s="1"/>
  <c r="F129" i="27" s="1"/>
  <c r="G129" i="27" s="1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C127" i="27"/>
  <c r="D126" i="27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C126" i="27"/>
  <c r="G125" i="27"/>
  <c r="H125" i="27" s="1"/>
  <c r="I125" i="27" s="1"/>
  <c r="J125" i="27" s="1"/>
  <c r="K125" i="27" s="1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E125" i="27"/>
  <c r="F125" i="27" s="1"/>
  <c r="D125" i="27"/>
  <c r="C125" i="27"/>
  <c r="C124" i="27"/>
  <c r="D124" i="27" s="1"/>
  <c r="E124" i="27" s="1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C123" i="27"/>
  <c r="D123" i="27" s="1"/>
  <c r="E123" i="27" s="1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G122" i="27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D122" i="27"/>
  <c r="E122" i="27" s="1"/>
  <c r="F122" i="27" s="1"/>
  <c r="C122" i="27"/>
  <c r="E121" i="27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D121" i="27"/>
  <c r="C121" i="27"/>
  <c r="C120" i="27"/>
  <c r="D120" i="27" s="1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C119" i="27"/>
  <c r="D119" i="27" s="1"/>
  <c r="E119" i="27" s="1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I118" i="27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G118" i="27"/>
  <c r="H118" i="27" s="1"/>
  <c r="D118" i="27"/>
  <c r="E118" i="27" s="1"/>
  <c r="F118" i="27" s="1"/>
  <c r="C118" i="27"/>
  <c r="E117" i="27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D117" i="27"/>
  <c r="C117" i="27"/>
  <c r="E116" i="27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C116" i="27"/>
  <c r="D116" i="27" s="1"/>
  <c r="C115" i="27"/>
  <c r="D115" i="27" s="1"/>
  <c r="E115" i="27" s="1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C114" i="27"/>
  <c r="E113" i="27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D113" i="27"/>
  <c r="C113" i="27"/>
  <c r="K112" i="27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J112" i="27"/>
  <c r="D112" i="27"/>
  <c r="E112" i="27" s="1"/>
  <c r="F112" i="27" s="1"/>
  <c r="G112" i="27" s="1"/>
  <c r="H112" i="27" s="1"/>
  <c r="C112" i="27"/>
  <c r="J111" i="27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H111" i="27"/>
  <c r="I111" i="27" s="1"/>
  <c r="C111" i="27"/>
  <c r="D111" i="27" s="1"/>
  <c r="E111" i="27" s="1"/>
  <c r="F111" i="27" s="1"/>
  <c r="G111" i="27" s="1"/>
  <c r="C110" i="27"/>
  <c r="D110" i="27" s="1"/>
  <c r="E110" i="27" s="1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G108" i="27"/>
  <c r="H108" i="27" s="1"/>
  <c r="I108" i="27" s="1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F108" i="27"/>
  <c r="D108" i="27"/>
  <c r="E108" i="27" s="1"/>
  <c r="C108" i="27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C107" i="27"/>
  <c r="J105" i="27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H105" i="27"/>
  <c r="I105" i="27" s="1"/>
  <c r="C105" i="27"/>
  <c r="D105" i="27" s="1"/>
  <c r="E105" i="27" s="1"/>
  <c r="F105" i="27" s="1"/>
  <c r="G105" i="27" s="1"/>
  <c r="C104" i="27"/>
  <c r="D104" i="27" s="1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C103" i="27"/>
  <c r="D103" i="27" s="1"/>
  <c r="E103" i="27" s="1"/>
  <c r="F103" i="27" s="1"/>
  <c r="G103" i="27" s="1"/>
  <c r="H103" i="27" s="1"/>
  <c r="I103" i="27" s="1"/>
  <c r="J103" i="27" s="1"/>
  <c r="K103" i="27" s="1"/>
  <c r="L103" i="27" s="1"/>
  <c r="M103" i="27" s="1"/>
  <c r="N103" i="27" s="1"/>
  <c r="O103" i="27" s="1"/>
  <c r="P103" i="27" s="1"/>
  <c r="Q103" i="27" s="1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AC103" i="27" s="1"/>
  <c r="AD103" i="27" s="1"/>
  <c r="AE103" i="27" s="1"/>
  <c r="AF103" i="27" s="1"/>
  <c r="E102" i="27"/>
  <c r="F102" i="27" s="1"/>
  <c r="G102" i="27" s="1"/>
  <c r="H102" i="27" s="1"/>
  <c r="I102" i="27" s="1"/>
  <c r="J102" i="27" s="1"/>
  <c r="K102" i="27" s="1"/>
  <c r="L102" i="27" s="1"/>
  <c r="M102" i="27" s="1"/>
  <c r="N102" i="27" s="1"/>
  <c r="O102" i="27" s="1"/>
  <c r="P102" i="27" s="1"/>
  <c r="Q102" i="27" s="1"/>
  <c r="R102" i="27" s="1"/>
  <c r="S102" i="27" s="1"/>
  <c r="T102" i="27" s="1"/>
  <c r="U102" i="27" s="1"/>
  <c r="V102" i="27" s="1"/>
  <c r="W102" i="27" s="1"/>
  <c r="X102" i="27" s="1"/>
  <c r="Y102" i="27" s="1"/>
  <c r="Z102" i="27" s="1"/>
  <c r="AA102" i="27" s="1"/>
  <c r="AB102" i="27" s="1"/>
  <c r="AC102" i="27" s="1"/>
  <c r="AD102" i="27" s="1"/>
  <c r="AE102" i="27" s="1"/>
  <c r="AF102" i="27" s="1"/>
  <c r="D102" i="27"/>
  <c r="C102" i="27"/>
  <c r="C101" i="27"/>
  <c r="D101" i="27" s="1"/>
  <c r="C100" i="27"/>
  <c r="AH97" i="27"/>
  <c r="AI97" i="27" s="1"/>
  <c r="AH96" i="27"/>
  <c r="AI96" i="27" s="1"/>
  <c r="AH95" i="27"/>
  <c r="AI95" i="27" s="1"/>
  <c r="AH94" i="27"/>
  <c r="AI94" i="27" s="1"/>
  <c r="AH93" i="27"/>
  <c r="AI93" i="27" s="1"/>
  <c r="C92" i="27"/>
  <c r="B92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G81" i="27"/>
  <c r="T81" i="27"/>
  <c r="AI80" i="27"/>
  <c r="AH80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D81" i="27" s="1"/>
  <c r="C79" i="27"/>
  <c r="B79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S81" i="27" s="1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AF75" i="27"/>
  <c r="AE75" i="27"/>
  <c r="AD75" i="27"/>
  <c r="AD81" i="27" s="1"/>
  <c r="AC75" i="27"/>
  <c r="AB75" i="27"/>
  <c r="AB81" i="27" s="1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G81" i="27" s="1"/>
  <c r="F75" i="27"/>
  <c r="E75" i="27"/>
  <c r="D75" i="27"/>
  <c r="C75" i="27"/>
  <c r="B75" i="27"/>
  <c r="AI73" i="27"/>
  <c r="AH73" i="27"/>
  <c r="AG71" i="27"/>
  <c r="AG74" i="27" s="1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AH71" i="27" s="1"/>
  <c r="AI70" i="27"/>
  <c r="AH70" i="27"/>
  <c r="AI69" i="27"/>
  <c r="AH69" i="27"/>
  <c r="AI68" i="27"/>
  <c r="AH68" i="27"/>
  <c r="AG67" i="27"/>
  <c r="AG72" i="27" s="1"/>
  <c r="AF67" i="27"/>
  <c r="AF5" i="27" s="1"/>
  <c r="AE67" i="27"/>
  <c r="AD67" i="27"/>
  <c r="AC67" i="27"/>
  <c r="AB67" i="27"/>
  <c r="AB5" i="27" s="1"/>
  <c r="AA67" i="27"/>
  <c r="Z67" i="27"/>
  <c r="Y67" i="27"/>
  <c r="Y5" i="27" s="1"/>
  <c r="X67" i="27"/>
  <c r="W67" i="27"/>
  <c r="W5" i="27" s="1"/>
  <c r="V67" i="27"/>
  <c r="U67" i="27"/>
  <c r="U5" i="27" s="1"/>
  <c r="T67" i="27"/>
  <c r="S67" i="27"/>
  <c r="R67" i="27"/>
  <c r="R5" i="27" s="1"/>
  <c r="Q67" i="27"/>
  <c r="P67" i="27"/>
  <c r="P5" i="27" s="1"/>
  <c r="O67" i="27"/>
  <c r="O5" i="27" s="1"/>
  <c r="N67" i="27"/>
  <c r="M67" i="27"/>
  <c r="L67" i="27"/>
  <c r="L5" i="27" s="1"/>
  <c r="K67" i="27"/>
  <c r="J67" i="27"/>
  <c r="J5" i="27" s="1"/>
  <c r="I67" i="27"/>
  <c r="H67" i="27"/>
  <c r="H5" i="27" s="1"/>
  <c r="G67" i="27"/>
  <c r="F67" i="27"/>
  <c r="E67" i="27"/>
  <c r="D67" i="27"/>
  <c r="C67" i="27"/>
  <c r="B67" i="27"/>
  <c r="B5" i="27" s="1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G55" i="27"/>
  <c r="AG4" i="27" s="1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H55" i="27"/>
  <c r="G55" i="27"/>
  <c r="F55" i="27"/>
  <c r="E55" i="27"/>
  <c r="D55" i="27"/>
  <c r="B55" i="27"/>
  <c r="AI54" i="27"/>
  <c r="AH54" i="27"/>
  <c r="AI53" i="27"/>
  <c r="AH53" i="27"/>
  <c r="AI52" i="27"/>
  <c r="AH52" i="27"/>
  <c r="AG51" i="27"/>
  <c r="AG3" i="27" s="1"/>
  <c r="Y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AG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G37" i="27"/>
  <c r="AG2" i="27" s="1"/>
  <c r="AG6" i="27" s="1"/>
  <c r="AF37" i="27"/>
  <c r="AE37" i="27"/>
  <c r="AD37" i="27"/>
  <c r="AC37" i="27"/>
  <c r="AB37" i="27"/>
  <c r="AA37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M74" i="27" s="1"/>
  <c r="L37" i="27"/>
  <c r="K37" i="27"/>
  <c r="J37" i="27"/>
  <c r="I37" i="27"/>
  <c r="H37" i="27"/>
  <c r="G37" i="27"/>
  <c r="F37" i="27"/>
  <c r="E37" i="27"/>
  <c r="D37" i="27"/>
  <c r="C37" i="27"/>
  <c r="B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C5" i="27"/>
  <c r="X5" i="27"/>
  <c r="M5" i="27"/>
  <c r="G5" i="27"/>
  <c r="E5" i="27"/>
  <c r="K4" i="27"/>
  <c r="B4" i="27"/>
  <c r="E4" i="27"/>
  <c r="AE81" i="27" l="1"/>
  <c r="AA81" i="27"/>
  <c r="Z81" i="27"/>
  <c r="W81" i="27"/>
  <c r="V81" i="27"/>
  <c r="S74" i="27"/>
  <c r="S72" i="27"/>
  <c r="R81" i="27"/>
  <c r="R74" i="27"/>
  <c r="P72" i="27"/>
  <c r="Q74" i="27"/>
  <c r="Q72" i="27"/>
  <c r="P74" i="27"/>
  <c r="O81" i="27"/>
  <c r="O72" i="27"/>
  <c r="O74" i="27"/>
  <c r="N72" i="27"/>
  <c r="N81" i="27"/>
  <c r="N74" i="27"/>
  <c r="AF212" i="27" s="1"/>
  <c r="AE212" i="27"/>
  <c r="M7" i="27"/>
  <c r="M72" i="27"/>
  <c r="L81" i="27"/>
  <c r="L74" i="27"/>
  <c r="AD212" i="27" s="1"/>
  <c r="AI79" i="27"/>
  <c r="K81" i="27"/>
  <c r="K74" i="27"/>
  <c r="AC212" i="27" s="1"/>
  <c r="K72" i="27"/>
  <c r="J81" i="27"/>
  <c r="I72" i="27"/>
  <c r="AI78" i="27"/>
  <c r="H74" i="27"/>
  <c r="Z212" i="27" s="1"/>
  <c r="H72" i="27"/>
  <c r="G72" i="27"/>
  <c r="G74" i="27"/>
  <c r="AI77" i="27"/>
  <c r="AH77" i="27"/>
  <c r="F81" i="27"/>
  <c r="AI55" i="27"/>
  <c r="F74" i="27"/>
  <c r="F7" i="27" s="1"/>
  <c r="F72" i="27"/>
  <c r="F82" i="27" s="1"/>
  <c r="E81" i="27"/>
  <c r="E74" i="27"/>
  <c r="W212" i="27" s="1"/>
  <c r="E72" i="27"/>
  <c r="E82" i="27" s="1"/>
  <c r="D74" i="27"/>
  <c r="V212" i="27" s="1"/>
  <c r="D72" i="27"/>
  <c r="D82" i="27" s="1"/>
  <c r="C81" i="27"/>
  <c r="AH76" i="27"/>
  <c r="AI76" i="27"/>
  <c r="C74" i="27"/>
  <c r="C7" i="27" s="1"/>
  <c r="AH37" i="27"/>
  <c r="C72" i="27"/>
  <c r="C82" i="27" s="1"/>
  <c r="B81" i="27"/>
  <c r="H4" i="27"/>
  <c r="AJ212" i="27"/>
  <c r="R7" i="27"/>
  <c r="AG212" i="27"/>
  <c r="O7" i="27"/>
  <c r="AK212" i="27"/>
  <c r="S7" i="27"/>
  <c r="Y212" i="27"/>
  <c r="G7" i="27"/>
  <c r="AI212" i="27"/>
  <c r="Q7" i="27"/>
  <c r="AI37" i="27"/>
  <c r="AH55" i="27"/>
  <c r="AI75" i="27"/>
  <c r="I5" i="27"/>
  <c r="AI67" i="27"/>
  <c r="AI71" i="27"/>
  <c r="B72" i="27"/>
  <c r="J72" i="27"/>
  <c r="R72" i="27"/>
  <c r="R82" i="27" s="1"/>
  <c r="AH78" i="27"/>
  <c r="C5" i="27"/>
  <c r="K5" i="27"/>
  <c r="S5" i="27"/>
  <c r="AA5" i="27"/>
  <c r="M81" i="27"/>
  <c r="M82" i="27" s="1"/>
  <c r="U81" i="27"/>
  <c r="AC81" i="27"/>
  <c r="AH79" i="27"/>
  <c r="E101" i="27"/>
  <c r="D92" i="27"/>
  <c r="Y72" i="27"/>
  <c r="AG82" i="27"/>
  <c r="Z5" i="27"/>
  <c r="D5" i="27"/>
  <c r="T5" i="27"/>
  <c r="N82" i="27"/>
  <c r="L72" i="27"/>
  <c r="Q5" i="27"/>
  <c r="K82" i="27"/>
  <c r="S209" i="27"/>
  <c r="D209" i="27"/>
  <c r="G82" i="27"/>
  <c r="O82" i="27"/>
  <c r="I74" i="27"/>
  <c r="Y74" i="27"/>
  <c r="AH67" i="27"/>
  <c r="S82" i="27"/>
  <c r="F5" i="27"/>
  <c r="N5" i="27"/>
  <c r="V5" i="27"/>
  <c r="AD5" i="27"/>
  <c r="D7" i="27"/>
  <c r="J74" i="27"/>
  <c r="H81" i="27"/>
  <c r="P81" i="27"/>
  <c r="P82" i="27" s="1"/>
  <c r="X81" i="27"/>
  <c r="AF81" i="27"/>
  <c r="I81" i="27"/>
  <c r="Q81" i="27"/>
  <c r="Q82" i="27" s="1"/>
  <c r="Y81" i="27"/>
  <c r="AH75" i="27"/>
  <c r="C190" i="27"/>
  <c r="D100" i="27"/>
  <c r="D233" i="27"/>
  <c r="D198" i="27"/>
  <c r="E197" i="27"/>
  <c r="E198" i="27" s="1"/>
  <c r="F192" i="27"/>
  <c r="C233" i="27"/>
  <c r="C198" i="27"/>
  <c r="AB36" i="26"/>
  <c r="Z94" i="26"/>
  <c r="Z36" i="26"/>
  <c r="Y94" i="26"/>
  <c r="Y36" i="26"/>
  <c r="X94" i="26"/>
  <c r="X36" i="26"/>
  <c r="W55" i="26"/>
  <c r="W51" i="26"/>
  <c r="W37" i="26"/>
  <c r="W36" i="26"/>
  <c r="V94" i="26"/>
  <c r="V36" i="26"/>
  <c r="U94" i="26"/>
  <c r="U36" i="26"/>
  <c r="T36" i="26"/>
  <c r="S36" i="26"/>
  <c r="R36" i="26"/>
  <c r="Q36" i="26"/>
  <c r="P36" i="26"/>
  <c r="AL7" i="26"/>
  <c r="O36" i="26"/>
  <c r="Y82" i="27" l="1"/>
  <c r="AH212" i="27"/>
  <c r="P7" i="27"/>
  <c r="L7" i="27"/>
  <c r="L82" i="27"/>
  <c r="N7" i="27"/>
  <c r="K7" i="27"/>
  <c r="J82" i="27"/>
  <c r="AH81" i="27"/>
  <c r="AI81" i="27"/>
  <c r="H82" i="27"/>
  <c r="H7" i="27"/>
  <c r="X212" i="27"/>
  <c r="E7" i="27"/>
  <c r="U212" i="27"/>
  <c r="F198" i="27"/>
  <c r="G192" i="27"/>
  <c r="B74" i="27"/>
  <c r="E233" i="27"/>
  <c r="F197" i="27"/>
  <c r="D190" i="27"/>
  <c r="E100" i="27"/>
  <c r="AQ212" i="27"/>
  <c r="Y7" i="27"/>
  <c r="AB212" i="27"/>
  <c r="J7" i="27"/>
  <c r="F101" i="27"/>
  <c r="E92" i="27"/>
  <c r="AA212" i="27"/>
  <c r="I7" i="27"/>
  <c r="B207" i="27"/>
  <c r="I82" i="27"/>
  <c r="C207" i="27"/>
  <c r="AH13" i="25"/>
  <c r="AI13" i="25"/>
  <c r="G37" i="26"/>
  <c r="H37" i="26"/>
  <c r="I37" i="26"/>
  <c r="J37" i="26"/>
  <c r="AH98" i="26"/>
  <c r="AI98" i="26" s="1"/>
  <c r="C94" i="26"/>
  <c r="B94" i="26"/>
  <c r="B36" i="26"/>
  <c r="B92" i="26"/>
  <c r="B79" i="26"/>
  <c r="B78" i="26"/>
  <c r="B77" i="26"/>
  <c r="B76" i="26"/>
  <c r="B75" i="26"/>
  <c r="B71" i="26"/>
  <c r="B67" i="26"/>
  <c r="B55" i="26"/>
  <c r="B51" i="26"/>
  <c r="B50" i="26"/>
  <c r="B37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AF234" i="26"/>
  <c r="AE234" i="26"/>
  <c r="AD234" i="26"/>
  <c r="AC234" i="26"/>
  <c r="AB234" i="26"/>
  <c r="AA234" i="26"/>
  <c r="Z234" i="26"/>
  <c r="Y234" i="26"/>
  <c r="X234" i="26"/>
  <c r="W234" i="26"/>
  <c r="V234" i="26"/>
  <c r="U234" i="26"/>
  <c r="T234" i="26"/>
  <c r="S234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D234" i="26"/>
  <c r="C234" i="26"/>
  <c r="B234" i="26"/>
  <c r="A234" i="26"/>
  <c r="C233" i="26"/>
  <c r="B233" i="26"/>
  <c r="S208" i="26"/>
  <c r="AG198" i="26"/>
  <c r="B198" i="26"/>
  <c r="E197" i="26"/>
  <c r="C197" i="26"/>
  <c r="D197" i="26" s="1"/>
  <c r="D233" i="26" s="1"/>
  <c r="C196" i="26"/>
  <c r="D196" i="26" s="1"/>
  <c r="E196" i="26" s="1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D195" i="26"/>
  <c r="E195" i="26" s="1"/>
  <c r="F195" i="26" s="1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C195" i="26"/>
  <c r="E194" i="26"/>
  <c r="F194" i="26" s="1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AD194" i="26" s="1"/>
  <c r="AE194" i="26" s="1"/>
  <c r="AF194" i="26" s="1"/>
  <c r="D194" i="26"/>
  <c r="C194" i="26"/>
  <c r="D193" i="26"/>
  <c r="E193" i="26" s="1"/>
  <c r="F193" i="26" s="1"/>
  <c r="G193" i="26" s="1"/>
  <c r="H193" i="26" s="1"/>
  <c r="I193" i="26" s="1"/>
  <c r="J193" i="26" s="1"/>
  <c r="K193" i="26" s="1"/>
  <c r="L193" i="26" s="1"/>
  <c r="M193" i="26" s="1"/>
  <c r="N193" i="26" s="1"/>
  <c r="O193" i="26" s="1"/>
  <c r="P193" i="26" s="1"/>
  <c r="Q193" i="26" s="1"/>
  <c r="R193" i="26" s="1"/>
  <c r="S193" i="26" s="1"/>
  <c r="T193" i="26" s="1"/>
  <c r="U193" i="26" s="1"/>
  <c r="V193" i="26" s="1"/>
  <c r="W193" i="26" s="1"/>
  <c r="X193" i="26" s="1"/>
  <c r="Y193" i="26" s="1"/>
  <c r="Z193" i="26" s="1"/>
  <c r="AA193" i="26" s="1"/>
  <c r="AB193" i="26" s="1"/>
  <c r="AC193" i="26" s="1"/>
  <c r="AD193" i="26" s="1"/>
  <c r="AE193" i="26" s="1"/>
  <c r="AF193" i="26" s="1"/>
  <c r="C193" i="26"/>
  <c r="C192" i="26"/>
  <c r="AG190" i="26"/>
  <c r="B190" i="26"/>
  <c r="D189" i="26"/>
  <c r="E189" i="26" s="1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C189" i="26"/>
  <c r="G188" i="26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E188" i="26"/>
  <c r="F188" i="26" s="1"/>
  <c r="D188" i="26"/>
  <c r="C188" i="26"/>
  <c r="K187" i="26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E187" i="26"/>
  <c r="F187" i="26" s="1"/>
  <c r="G187" i="26" s="1"/>
  <c r="H187" i="26" s="1"/>
  <c r="I187" i="26" s="1"/>
  <c r="J187" i="26" s="1"/>
  <c r="D187" i="26"/>
  <c r="C187" i="26"/>
  <c r="M186" i="26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D186" i="26"/>
  <c r="E186" i="26" s="1"/>
  <c r="F186" i="26" s="1"/>
  <c r="G186" i="26" s="1"/>
  <c r="H186" i="26" s="1"/>
  <c r="I186" i="26" s="1"/>
  <c r="J186" i="26" s="1"/>
  <c r="K186" i="26" s="1"/>
  <c r="L186" i="26" s="1"/>
  <c r="C186" i="26"/>
  <c r="G185" i="26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D185" i="26"/>
  <c r="E185" i="26" s="1"/>
  <c r="F185" i="26" s="1"/>
  <c r="C185" i="26"/>
  <c r="L184" i="26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E184" i="26"/>
  <c r="F184" i="26" s="1"/>
  <c r="G184" i="26" s="1"/>
  <c r="H184" i="26" s="1"/>
  <c r="I184" i="26" s="1"/>
  <c r="J184" i="26" s="1"/>
  <c r="K184" i="26" s="1"/>
  <c r="D184" i="26"/>
  <c r="C184" i="26"/>
  <c r="F183" i="26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D183" i="26"/>
  <c r="E183" i="26" s="1"/>
  <c r="C183" i="26"/>
  <c r="S182" i="26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F182" i="26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D182" i="26"/>
  <c r="E182" i="26" s="1"/>
  <c r="C182" i="26"/>
  <c r="C181" i="26"/>
  <c r="D181" i="26" s="1"/>
  <c r="E181" i="26" s="1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F180" i="26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E180" i="26"/>
  <c r="D180" i="26"/>
  <c r="C180" i="26"/>
  <c r="H179" i="26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D179" i="26"/>
  <c r="E179" i="26" s="1"/>
  <c r="F179" i="26" s="1"/>
  <c r="G179" i="26" s="1"/>
  <c r="C179" i="26"/>
  <c r="V178" i="26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D178" i="26"/>
  <c r="E178" i="26" s="1"/>
  <c r="F178" i="26" s="1"/>
  <c r="G178" i="26" s="1"/>
  <c r="H178" i="26" s="1"/>
  <c r="I178" i="26" s="1"/>
  <c r="J178" i="26" s="1"/>
  <c r="K178" i="26" s="1"/>
  <c r="L178" i="26" s="1"/>
  <c r="M178" i="26" s="1"/>
  <c r="N178" i="26" s="1"/>
  <c r="O178" i="26" s="1"/>
  <c r="P178" i="26" s="1"/>
  <c r="Q178" i="26" s="1"/>
  <c r="R178" i="26" s="1"/>
  <c r="S178" i="26" s="1"/>
  <c r="T178" i="26" s="1"/>
  <c r="U178" i="26" s="1"/>
  <c r="C178" i="26"/>
  <c r="P177" i="26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F177" i="26"/>
  <c r="G177" i="26" s="1"/>
  <c r="H177" i="26" s="1"/>
  <c r="I177" i="26" s="1"/>
  <c r="J177" i="26" s="1"/>
  <c r="K177" i="26" s="1"/>
  <c r="L177" i="26" s="1"/>
  <c r="M177" i="26" s="1"/>
  <c r="N177" i="26" s="1"/>
  <c r="O177" i="26" s="1"/>
  <c r="D177" i="26"/>
  <c r="E177" i="26" s="1"/>
  <c r="C177" i="26"/>
  <c r="F175" i="26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D175" i="26"/>
  <c r="E175" i="26" s="1"/>
  <c r="C175" i="26"/>
  <c r="D174" i="26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C174" i="26"/>
  <c r="R173" i="26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E173" i="26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D173" i="26"/>
  <c r="C173" i="26"/>
  <c r="N172" i="26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E172" i="26"/>
  <c r="F172" i="26" s="1"/>
  <c r="G172" i="26" s="1"/>
  <c r="H172" i="26" s="1"/>
  <c r="I172" i="26" s="1"/>
  <c r="J172" i="26" s="1"/>
  <c r="K172" i="26" s="1"/>
  <c r="L172" i="26" s="1"/>
  <c r="M172" i="26" s="1"/>
  <c r="C172" i="26"/>
  <c r="D172" i="26" s="1"/>
  <c r="C171" i="26"/>
  <c r="D171" i="26" s="1"/>
  <c r="E171" i="26" s="1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T170" i="26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L170" i="26"/>
  <c r="M170" i="26" s="1"/>
  <c r="N170" i="26" s="1"/>
  <c r="O170" i="26" s="1"/>
  <c r="P170" i="26" s="1"/>
  <c r="Q170" i="26" s="1"/>
  <c r="R170" i="26" s="1"/>
  <c r="S170" i="26" s="1"/>
  <c r="D170" i="26"/>
  <c r="E170" i="26" s="1"/>
  <c r="F170" i="26" s="1"/>
  <c r="G170" i="26" s="1"/>
  <c r="H170" i="26" s="1"/>
  <c r="I170" i="26" s="1"/>
  <c r="J170" i="26" s="1"/>
  <c r="K170" i="26" s="1"/>
  <c r="C170" i="26"/>
  <c r="J169" i="26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D169" i="26"/>
  <c r="E169" i="26" s="1"/>
  <c r="F169" i="26" s="1"/>
  <c r="G169" i="26" s="1"/>
  <c r="H169" i="26" s="1"/>
  <c r="I169" i="26" s="1"/>
  <c r="C169" i="26"/>
  <c r="P168" i="26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H168" i="26"/>
  <c r="I168" i="26" s="1"/>
  <c r="J168" i="26" s="1"/>
  <c r="K168" i="26" s="1"/>
  <c r="L168" i="26" s="1"/>
  <c r="M168" i="26" s="1"/>
  <c r="N168" i="26" s="1"/>
  <c r="O168" i="26" s="1"/>
  <c r="C168" i="26"/>
  <c r="D168" i="26" s="1"/>
  <c r="E168" i="26" s="1"/>
  <c r="F168" i="26" s="1"/>
  <c r="G168" i="26" s="1"/>
  <c r="N166" i="26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F166" i="26"/>
  <c r="G166" i="26" s="1"/>
  <c r="H166" i="26" s="1"/>
  <c r="I166" i="26" s="1"/>
  <c r="J166" i="26" s="1"/>
  <c r="K166" i="26" s="1"/>
  <c r="L166" i="26" s="1"/>
  <c r="M166" i="26" s="1"/>
  <c r="D166" i="26"/>
  <c r="E166" i="26" s="1"/>
  <c r="C166" i="26"/>
  <c r="L165" i="26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D165" i="26"/>
  <c r="E165" i="26" s="1"/>
  <c r="F165" i="26" s="1"/>
  <c r="G165" i="26" s="1"/>
  <c r="H165" i="26" s="1"/>
  <c r="I165" i="26" s="1"/>
  <c r="J165" i="26" s="1"/>
  <c r="K165" i="26" s="1"/>
  <c r="C165" i="26"/>
  <c r="J164" i="26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D164" i="26"/>
  <c r="E164" i="26" s="1"/>
  <c r="F164" i="26" s="1"/>
  <c r="G164" i="26" s="1"/>
  <c r="H164" i="26" s="1"/>
  <c r="I164" i="26" s="1"/>
  <c r="C164" i="26"/>
  <c r="P163" i="26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H163" i="26"/>
  <c r="I163" i="26" s="1"/>
  <c r="J163" i="26" s="1"/>
  <c r="K163" i="26" s="1"/>
  <c r="L163" i="26" s="1"/>
  <c r="M163" i="26" s="1"/>
  <c r="N163" i="26" s="1"/>
  <c r="O163" i="26" s="1"/>
  <c r="C163" i="26"/>
  <c r="D163" i="26" s="1"/>
  <c r="E163" i="26" s="1"/>
  <c r="F163" i="26" s="1"/>
  <c r="G163" i="26" s="1"/>
  <c r="AD162" i="26"/>
  <c r="AE162" i="26" s="1"/>
  <c r="AF162" i="26" s="1"/>
  <c r="D162" i="26"/>
  <c r="E162" i="26" s="1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C162" i="26"/>
  <c r="G161" i="26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F161" i="26"/>
  <c r="D161" i="26"/>
  <c r="E161" i="26" s="1"/>
  <c r="C161" i="26"/>
  <c r="E160" i="26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D160" i="26"/>
  <c r="C160" i="26"/>
  <c r="N159" i="26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C159" i="26"/>
  <c r="D159" i="26" s="1"/>
  <c r="E159" i="26" s="1"/>
  <c r="F159" i="26" s="1"/>
  <c r="G159" i="26" s="1"/>
  <c r="H159" i="26" s="1"/>
  <c r="I159" i="26" s="1"/>
  <c r="J159" i="26" s="1"/>
  <c r="K159" i="26" s="1"/>
  <c r="L159" i="26" s="1"/>
  <c r="M159" i="26" s="1"/>
  <c r="F158" i="26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D158" i="26"/>
  <c r="E158" i="26" s="1"/>
  <c r="C158" i="26"/>
  <c r="F157" i="26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D157" i="26"/>
  <c r="E157" i="26" s="1"/>
  <c r="C157" i="26"/>
  <c r="AB156" i="26"/>
  <c r="AC156" i="26" s="1"/>
  <c r="AD156" i="26" s="1"/>
  <c r="AE156" i="26" s="1"/>
  <c r="AF156" i="26" s="1"/>
  <c r="L156" i="26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E156" i="26"/>
  <c r="F156" i="26" s="1"/>
  <c r="G156" i="26" s="1"/>
  <c r="H156" i="26" s="1"/>
  <c r="I156" i="26" s="1"/>
  <c r="J156" i="26" s="1"/>
  <c r="K156" i="26" s="1"/>
  <c r="D156" i="26"/>
  <c r="C156" i="26"/>
  <c r="N155" i="26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C155" i="26"/>
  <c r="D155" i="26" s="1"/>
  <c r="E155" i="26" s="1"/>
  <c r="F155" i="26" s="1"/>
  <c r="G155" i="26" s="1"/>
  <c r="H155" i="26" s="1"/>
  <c r="I155" i="26" s="1"/>
  <c r="J155" i="26" s="1"/>
  <c r="K155" i="26" s="1"/>
  <c r="L155" i="26" s="1"/>
  <c r="M155" i="26" s="1"/>
  <c r="D154" i="26"/>
  <c r="E154" i="26" s="1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C154" i="26"/>
  <c r="C152" i="26"/>
  <c r="D152" i="26" s="1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D151" i="26"/>
  <c r="E151" i="26" s="1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C151" i="26"/>
  <c r="D150" i="26"/>
  <c r="E150" i="26" s="1"/>
  <c r="F150" i="26" s="1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C150" i="26"/>
  <c r="C149" i="26"/>
  <c r="D149" i="26" s="1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I147" i="26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C147" i="26"/>
  <c r="D147" i="26" s="1"/>
  <c r="E147" i="26" s="1"/>
  <c r="F147" i="26" s="1"/>
  <c r="G147" i="26" s="1"/>
  <c r="H147" i="26" s="1"/>
  <c r="X146" i="26"/>
  <c r="Y146" i="26" s="1"/>
  <c r="Z146" i="26" s="1"/>
  <c r="AA146" i="26" s="1"/>
  <c r="AB146" i="26" s="1"/>
  <c r="AC146" i="26" s="1"/>
  <c r="AD146" i="26" s="1"/>
  <c r="AE146" i="26" s="1"/>
  <c r="AF146" i="26" s="1"/>
  <c r="O146" i="26"/>
  <c r="P146" i="26" s="1"/>
  <c r="Q146" i="26" s="1"/>
  <c r="R146" i="26" s="1"/>
  <c r="S146" i="26" s="1"/>
  <c r="T146" i="26" s="1"/>
  <c r="U146" i="26" s="1"/>
  <c r="V146" i="26" s="1"/>
  <c r="W146" i="26" s="1"/>
  <c r="L146" i="26"/>
  <c r="M146" i="26" s="1"/>
  <c r="N146" i="26" s="1"/>
  <c r="F146" i="26"/>
  <c r="G146" i="26" s="1"/>
  <c r="H146" i="26" s="1"/>
  <c r="I146" i="26" s="1"/>
  <c r="J146" i="26" s="1"/>
  <c r="K146" i="26" s="1"/>
  <c r="E146" i="26"/>
  <c r="D146" i="26"/>
  <c r="C146" i="26"/>
  <c r="S144" i="26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F144" i="26"/>
  <c r="G144" i="26" s="1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C144" i="26"/>
  <c r="D144" i="26" s="1"/>
  <c r="E144" i="26" s="1"/>
  <c r="R143" i="26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C143" i="26"/>
  <c r="D143" i="26" s="1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T142" i="26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K142" i="26"/>
  <c r="L142" i="26" s="1"/>
  <c r="M142" i="26" s="1"/>
  <c r="N142" i="26" s="1"/>
  <c r="O142" i="26" s="1"/>
  <c r="P142" i="26" s="1"/>
  <c r="Q142" i="26" s="1"/>
  <c r="R142" i="26" s="1"/>
  <c r="S142" i="26" s="1"/>
  <c r="F142" i="26"/>
  <c r="G142" i="26" s="1"/>
  <c r="H142" i="26" s="1"/>
  <c r="I142" i="26" s="1"/>
  <c r="J142" i="26" s="1"/>
  <c r="D142" i="26"/>
  <c r="E142" i="26" s="1"/>
  <c r="C142" i="26"/>
  <c r="N141" i="26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H141" i="26"/>
  <c r="I141" i="26" s="1"/>
  <c r="J141" i="26" s="1"/>
  <c r="K141" i="26" s="1"/>
  <c r="L141" i="26" s="1"/>
  <c r="M141" i="26" s="1"/>
  <c r="E141" i="26"/>
  <c r="F141" i="26" s="1"/>
  <c r="G141" i="26" s="1"/>
  <c r="D141" i="26"/>
  <c r="C141" i="26"/>
  <c r="R140" i="26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C140" i="26"/>
  <c r="D140" i="26" s="1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C139" i="26"/>
  <c r="D139" i="26" s="1"/>
  <c r="E139" i="26" s="1"/>
  <c r="F139" i="26" s="1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R139" i="26" s="1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N138" i="26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C138" i="26"/>
  <c r="D138" i="26" s="1"/>
  <c r="E138" i="26" s="1"/>
  <c r="F138" i="26" s="1"/>
  <c r="G138" i="26" s="1"/>
  <c r="H138" i="26" s="1"/>
  <c r="I138" i="26" s="1"/>
  <c r="J138" i="26" s="1"/>
  <c r="K138" i="26" s="1"/>
  <c r="L138" i="26" s="1"/>
  <c r="M138" i="26" s="1"/>
  <c r="C136" i="26"/>
  <c r="D136" i="26" s="1"/>
  <c r="E136" i="26" s="1"/>
  <c r="F136" i="26" s="1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E135" i="26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D135" i="26"/>
  <c r="C135" i="26"/>
  <c r="U134" i="26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E134" i="26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C134" i="26"/>
  <c r="D134" i="26" s="1"/>
  <c r="S133" i="26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F133" i="26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C133" i="26"/>
  <c r="D133" i="26" s="1"/>
  <c r="E133" i="26" s="1"/>
  <c r="D132" i="26"/>
  <c r="E132" i="26" s="1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C132" i="26"/>
  <c r="J131" i="26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D131" i="26"/>
  <c r="E131" i="26" s="1"/>
  <c r="F131" i="26" s="1"/>
  <c r="G131" i="26" s="1"/>
  <c r="H131" i="26" s="1"/>
  <c r="I131" i="26" s="1"/>
  <c r="C131" i="26"/>
  <c r="C130" i="26"/>
  <c r="D130" i="26" s="1"/>
  <c r="E130" i="26" s="1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H129" i="26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C129" i="26"/>
  <c r="D129" i="26" s="1"/>
  <c r="E129" i="26" s="1"/>
  <c r="F129" i="26" s="1"/>
  <c r="G129" i="26" s="1"/>
  <c r="D127" i="26"/>
  <c r="E127" i="26" s="1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C127" i="26"/>
  <c r="F126" i="26"/>
  <c r="G126" i="26" s="1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D126" i="26"/>
  <c r="E126" i="26" s="1"/>
  <c r="C126" i="26"/>
  <c r="C125" i="26"/>
  <c r="D125" i="26" s="1"/>
  <c r="E125" i="26" s="1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E124" i="26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C124" i="26"/>
  <c r="D124" i="26" s="1"/>
  <c r="G123" i="26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E123" i="26"/>
  <c r="F123" i="26" s="1"/>
  <c r="D123" i="26"/>
  <c r="C123" i="26"/>
  <c r="J122" i="26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D122" i="26"/>
  <c r="E122" i="26" s="1"/>
  <c r="F122" i="26" s="1"/>
  <c r="G122" i="26" s="1"/>
  <c r="H122" i="26" s="1"/>
  <c r="I122" i="26" s="1"/>
  <c r="C122" i="26"/>
  <c r="P121" i="26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D121" i="26"/>
  <c r="E121" i="26" s="1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C121" i="26"/>
  <c r="X120" i="26"/>
  <c r="Y120" i="26" s="1"/>
  <c r="Z120" i="26" s="1"/>
  <c r="AA120" i="26" s="1"/>
  <c r="AB120" i="26" s="1"/>
  <c r="AC120" i="26" s="1"/>
  <c r="AD120" i="26" s="1"/>
  <c r="AE120" i="26" s="1"/>
  <c r="AF120" i="26" s="1"/>
  <c r="F120" i="26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C120" i="26"/>
  <c r="D120" i="26" s="1"/>
  <c r="E120" i="26" s="1"/>
  <c r="H119" i="26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C119" i="26"/>
  <c r="D119" i="26" s="1"/>
  <c r="E119" i="26" s="1"/>
  <c r="F119" i="26" s="1"/>
  <c r="G119" i="26" s="1"/>
  <c r="E118" i="26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C118" i="26"/>
  <c r="D118" i="26" s="1"/>
  <c r="H117" i="26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D117" i="26"/>
  <c r="E117" i="26" s="1"/>
  <c r="F117" i="26" s="1"/>
  <c r="G117" i="26" s="1"/>
  <c r="C117" i="26"/>
  <c r="E116" i="26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C116" i="26"/>
  <c r="D116" i="26" s="1"/>
  <c r="I115" i="26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G115" i="26"/>
  <c r="H115" i="26" s="1"/>
  <c r="D115" i="26"/>
  <c r="E115" i="26" s="1"/>
  <c r="F115" i="26" s="1"/>
  <c r="C115" i="26"/>
  <c r="L114" i="26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D114" i="26"/>
  <c r="E114" i="26" s="1"/>
  <c r="F114" i="26" s="1"/>
  <c r="G114" i="26" s="1"/>
  <c r="H114" i="26" s="1"/>
  <c r="I114" i="26" s="1"/>
  <c r="J114" i="26" s="1"/>
  <c r="K114" i="26" s="1"/>
  <c r="C114" i="26"/>
  <c r="C113" i="26"/>
  <c r="D113" i="26" s="1"/>
  <c r="E113" i="26" s="1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AA112" i="26"/>
  <c r="AB112" i="26" s="1"/>
  <c r="AC112" i="26" s="1"/>
  <c r="AD112" i="26" s="1"/>
  <c r="AE112" i="26" s="1"/>
  <c r="AF112" i="26" s="1"/>
  <c r="O112" i="26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K112" i="26"/>
  <c r="L112" i="26" s="1"/>
  <c r="M112" i="26" s="1"/>
  <c r="N112" i="26" s="1"/>
  <c r="J112" i="26"/>
  <c r="E112" i="26"/>
  <c r="F112" i="26" s="1"/>
  <c r="G112" i="26" s="1"/>
  <c r="H112" i="26" s="1"/>
  <c r="D112" i="26"/>
  <c r="C112" i="26"/>
  <c r="E111" i="26"/>
  <c r="F111" i="26" s="1"/>
  <c r="G111" i="26" s="1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C111" i="26"/>
  <c r="D111" i="26" s="1"/>
  <c r="U110" i="26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H110" i="26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C110" i="26"/>
  <c r="D110" i="26" s="1"/>
  <c r="E110" i="26" s="1"/>
  <c r="F110" i="26" s="1"/>
  <c r="G110" i="26" s="1"/>
  <c r="D108" i="26"/>
  <c r="E108" i="26" s="1"/>
  <c r="F108" i="26" s="1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C108" i="26"/>
  <c r="Z107" i="26"/>
  <c r="AA107" i="26" s="1"/>
  <c r="AB107" i="26" s="1"/>
  <c r="AC107" i="26" s="1"/>
  <c r="AD107" i="26" s="1"/>
  <c r="AE107" i="26" s="1"/>
  <c r="AF107" i="26" s="1"/>
  <c r="P107" i="26"/>
  <c r="Q107" i="26" s="1"/>
  <c r="R107" i="26" s="1"/>
  <c r="S107" i="26" s="1"/>
  <c r="T107" i="26" s="1"/>
  <c r="U107" i="26" s="1"/>
  <c r="V107" i="26" s="1"/>
  <c r="W107" i="26" s="1"/>
  <c r="X107" i="26" s="1"/>
  <c r="Y107" i="26" s="1"/>
  <c r="F107" i="26"/>
  <c r="G107" i="26" s="1"/>
  <c r="H107" i="26" s="1"/>
  <c r="I107" i="26" s="1"/>
  <c r="J107" i="26" s="1"/>
  <c r="K107" i="26" s="1"/>
  <c r="L107" i="26" s="1"/>
  <c r="M107" i="26" s="1"/>
  <c r="N107" i="26" s="1"/>
  <c r="O107" i="26" s="1"/>
  <c r="D107" i="26"/>
  <c r="E107" i="26" s="1"/>
  <c r="C107" i="26"/>
  <c r="C105" i="26"/>
  <c r="D105" i="26" s="1"/>
  <c r="E105" i="26" s="1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G104" i="26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D104" i="26"/>
  <c r="E104" i="26" s="1"/>
  <c r="F104" i="26" s="1"/>
  <c r="C104" i="26"/>
  <c r="I103" i="26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E103" i="26"/>
  <c r="F103" i="26" s="1"/>
  <c r="G103" i="26" s="1"/>
  <c r="H103" i="26" s="1"/>
  <c r="D103" i="26"/>
  <c r="C103" i="26"/>
  <c r="C102" i="26"/>
  <c r="D102" i="26" s="1"/>
  <c r="E102" i="26" s="1"/>
  <c r="F102" i="26" s="1"/>
  <c r="G102" i="26" s="1"/>
  <c r="H102" i="26" s="1"/>
  <c r="I102" i="26" s="1"/>
  <c r="J102" i="26" s="1"/>
  <c r="K102" i="26" s="1"/>
  <c r="L102" i="26" s="1"/>
  <c r="M102" i="26" s="1"/>
  <c r="N102" i="26" s="1"/>
  <c r="O102" i="26" s="1"/>
  <c r="P102" i="26" s="1"/>
  <c r="Q102" i="26" s="1"/>
  <c r="R102" i="26" s="1"/>
  <c r="S102" i="26" s="1"/>
  <c r="T102" i="26" s="1"/>
  <c r="U102" i="26" s="1"/>
  <c r="V102" i="26" s="1"/>
  <c r="W102" i="26" s="1"/>
  <c r="X102" i="26" s="1"/>
  <c r="Y102" i="26" s="1"/>
  <c r="Z102" i="26" s="1"/>
  <c r="AA102" i="26" s="1"/>
  <c r="AB102" i="26" s="1"/>
  <c r="AC102" i="26" s="1"/>
  <c r="AD102" i="26" s="1"/>
  <c r="AE102" i="26" s="1"/>
  <c r="AF102" i="26" s="1"/>
  <c r="C101" i="26"/>
  <c r="D101" i="26" s="1"/>
  <c r="C100" i="26"/>
  <c r="AH97" i="26"/>
  <c r="AI97" i="26" s="1"/>
  <c r="AH96" i="26"/>
  <c r="AI96" i="26" s="1"/>
  <c r="AH95" i="26"/>
  <c r="AI95" i="26" s="1"/>
  <c r="AH94" i="26"/>
  <c r="AI94" i="26" s="1"/>
  <c r="AH93" i="26"/>
  <c r="AI93" i="26" s="1"/>
  <c r="C92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3" i="26"/>
  <c r="AH83" i="26"/>
  <c r="AG81" i="26"/>
  <c r="AI80" i="26"/>
  <c r="AH80" i="26"/>
  <c r="AF79" i="26"/>
  <c r="AE79" i="26"/>
  <c r="AD79" i="26"/>
  <c r="AC79" i="26"/>
  <c r="AB79" i="26"/>
  <c r="AA79" i="26"/>
  <c r="Z79" i="26"/>
  <c r="Y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AF75" i="26"/>
  <c r="AE75" i="26"/>
  <c r="AE81" i="26" s="1"/>
  <c r="AD75" i="26"/>
  <c r="AC75" i="26"/>
  <c r="AB75" i="26"/>
  <c r="AA75" i="26"/>
  <c r="Z75" i="26"/>
  <c r="Y75" i="26"/>
  <c r="X75" i="26"/>
  <c r="W75" i="26"/>
  <c r="W81" i="26" s="1"/>
  <c r="V75" i="26"/>
  <c r="V81" i="26" s="1"/>
  <c r="U75" i="26"/>
  <c r="U81" i="26" s="1"/>
  <c r="T75" i="26"/>
  <c r="T81" i="26" s="1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F81" i="26" s="1"/>
  <c r="E75" i="26"/>
  <c r="D75" i="26"/>
  <c r="C75" i="26"/>
  <c r="AI73" i="26"/>
  <c r="AH73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AI70" i="26"/>
  <c r="AH70" i="26"/>
  <c r="AI69" i="26"/>
  <c r="AH69" i="26"/>
  <c r="AI68" i="26"/>
  <c r="AH68" i="26"/>
  <c r="AG67" i="26"/>
  <c r="AF67" i="26"/>
  <c r="AE67" i="26"/>
  <c r="AE5" i="26" s="1"/>
  <c r="AD67" i="26"/>
  <c r="AC67" i="26"/>
  <c r="AC5" i="26" s="1"/>
  <c r="AB67" i="26"/>
  <c r="AA67" i="26"/>
  <c r="Z67" i="26"/>
  <c r="Y67" i="26"/>
  <c r="X67" i="26"/>
  <c r="X5" i="26" s="1"/>
  <c r="W67" i="26"/>
  <c r="V67" i="26"/>
  <c r="U67" i="26"/>
  <c r="U5" i="26" s="1"/>
  <c r="T67" i="26"/>
  <c r="S67" i="26"/>
  <c r="R67" i="26"/>
  <c r="R5" i="26" s="1"/>
  <c r="Q67" i="26"/>
  <c r="P67" i="26"/>
  <c r="P5" i="26" s="1"/>
  <c r="O67" i="26"/>
  <c r="N67" i="26"/>
  <c r="M67" i="26"/>
  <c r="M5" i="26" s="1"/>
  <c r="L67" i="26"/>
  <c r="L5" i="26" s="1"/>
  <c r="K67" i="26"/>
  <c r="K5" i="26" s="1"/>
  <c r="J67" i="26"/>
  <c r="J5" i="26" s="1"/>
  <c r="I67" i="26"/>
  <c r="H67" i="26"/>
  <c r="H5" i="26" s="1"/>
  <c r="G67" i="26"/>
  <c r="G5" i="26" s="1"/>
  <c r="F67" i="26"/>
  <c r="E67" i="26"/>
  <c r="E5" i="26" s="1"/>
  <c r="D67" i="26"/>
  <c r="D5" i="26" s="1"/>
  <c r="C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G55" i="26"/>
  <c r="AF55" i="26"/>
  <c r="AE55" i="26"/>
  <c r="AD55" i="26"/>
  <c r="AC55" i="26"/>
  <c r="AB55" i="26"/>
  <c r="AA55" i="26"/>
  <c r="Z55" i="26"/>
  <c r="Y55" i="26"/>
  <c r="X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AI54" i="26"/>
  <c r="AH54" i="26"/>
  <c r="AI53" i="26"/>
  <c r="AH53" i="26"/>
  <c r="AI52" i="26"/>
  <c r="AH52" i="26"/>
  <c r="Y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AG50" i="26"/>
  <c r="AG51" i="26" s="1"/>
  <c r="AG3" i="26" s="1"/>
  <c r="AG6" i="26" s="1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G37" i="26"/>
  <c r="AF37" i="26"/>
  <c r="AE37" i="26"/>
  <c r="AD37" i="26"/>
  <c r="AC37" i="26"/>
  <c r="AB37" i="26"/>
  <c r="AA37" i="26"/>
  <c r="Z37" i="26"/>
  <c r="Y37" i="26"/>
  <c r="X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F37" i="26"/>
  <c r="E37" i="26"/>
  <c r="D37" i="26"/>
  <c r="C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F5" i="26"/>
  <c r="AB5" i="26"/>
  <c r="AA5" i="26"/>
  <c r="Z5" i="26"/>
  <c r="Y5" i="26"/>
  <c r="W5" i="26"/>
  <c r="T5" i="26"/>
  <c r="S5" i="26"/>
  <c r="Q5" i="26"/>
  <c r="O5" i="26"/>
  <c r="I5" i="26"/>
  <c r="C5" i="26"/>
  <c r="B5" i="26"/>
  <c r="AG4" i="26"/>
  <c r="K4" i="26"/>
  <c r="B4" i="26"/>
  <c r="AG2" i="26"/>
  <c r="AF94" i="25"/>
  <c r="AF36" i="25"/>
  <c r="AE94" i="25"/>
  <c r="AE36" i="25"/>
  <c r="AD94" i="25"/>
  <c r="AD36" i="25"/>
  <c r="AC94" i="25"/>
  <c r="AC36" i="25"/>
  <c r="AB94" i="25"/>
  <c r="AB36" i="25"/>
  <c r="E4" i="26"/>
  <c r="K6" i="27" l="1"/>
  <c r="T212" i="27"/>
  <c r="B7" i="27"/>
  <c r="E190" i="27"/>
  <c r="F100" i="27"/>
  <c r="H192" i="27"/>
  <c r="G198" i="27"/>
  <c r="B82" i="27"/>
  <c r="F92" i="27"/>
  <c r="G101" i="27"/>
  <c r="F233" i="27"/>
  <c r="G197" i="27"/>
  <c r="AF81" i="26"/>
  <c r="AD81" i="26"/>
  <c r="AC81" i="26"/>
  <c r="AB81" i="26"/>
  <c r="Y81" i="26"/>
  <c r="X81" i="26"/>
  <c r="S74" i="26"/>
  <c r="S72" i="26"/>
  <c r="R74" i="26"/>
  <c r="R72" i="26"/>
  <c r="Q81" i="26"/>
  <c r="P81" i="26"/>
  <c r="P72" i="26"/>
  <c r="P74" i="26"/>
  <c r="P82" i="26" s="1"/>
  <c r="O81" i="26"/>
  <c r="N81" i="26"/>
  <c r="N72" i="26"/>
  <c r="M81" i="26"/>
  <c r="M74" i="26"/>
  <c r="M72" i="26"/>
  <c r="AH77" i="26"/>
  <c r="L81" i="26"/>
  <c r="L72" i="26"/>
  <c r="L74" i="26"/>
  <c r="J74" i="26"/>
  <c r="AB212" i="26" s="1"/>
  <c r="I81" i="26"/>
  <c r="AH76" i="26"/>
  <c r="K72" i="26"/>
  <c r="K74" i="26"/>
  <c r="J72" i="26"/>
  <c r="H81" i="26"/>
  <c r="H74" i="26"/>
  <c r="H7" i="26" s="1"/>
  <c r="H72" i="26"/>
  <c r="G81" i="26"/>
  <c r="F72" i="26"/>
  <c r="E81" i="26"/>
  <c r="E74" i="26"/>
  <c r="W212" i="26" s="1"/>
  <c r="E72" i="26"/>
  <c r="D81" i="26"/>
  <c r="D72" i="26"/>
  <c r="D74" i="26"/>
  <c r="C74" i="26"/>
  <c r="C72" i="26"/>
  <c r="B81" i="26"/>
  <c r="B74" i="26"/>
  <c r="B72" i="26"/>
  <c r="H4" i="26"/>
  <c r="G72" i="26"/>
  <c r="O72" i="26"/>
  <c r="AG82" i="26"/>
  <c r="AI78" i="26"/>
  <c r="I72" i="26"/>
  <c r="Q72" i="26"/>
  <c r="Y72" i="26"/>
  <c r="AG72" i="26"/>
  <c r="AK212" i="26"/>
  <c r="S7" i="26"/>
  <c r="AI76" i="26"/>
  <c r="AH79" i="26"/>
  <c r="AI37" i="26"/>
  <c r="AI67" i="26"/>
  <c r="AI75" i="26"/>
  <c r="J81" i="26"/>
  <c r="R81" i="26"/>
  <c r="R82" i="26" s="1"/>
  <c r="Z81" i="26"/>
  <c r="E101" i="26"/>
  <c r="D92" i="26"/>
  <c r="AE212" i="26"/>
  <c r="M7" i="26"/>
  <c r="C81" i="26"/>
  <c r="K81" i="26"/>
  <c r="S81" i="26"/>
  <c r="S82" i="26" s="1"/>
  <c r="AA81" i="26"/>
  <c r="D209" i="26"/>
  <c r="S209" i="26"/>
  <c r="AI55" i="26"/>
  <c r="F74" i="26"/>
  <c r="N74" i="26"/>
  <c r="N82" i="26" s="1"/>
  <c r="Z212" i="26"/>
  <c r="F5" i="26"/>
  <c r="N5" i="26"/>
  <c r="V5" i="26"/>
  <c r="AD5" i="26"/>
  <c r="AI79" i="26"/>
  <c r="AI77" i="26"/>
  <c r="AH78" i="26"/>
  <c r="G74" i="26"/>
  <c r="O74" i="26"/>
  <c r="I74" i="26"/>
  <c r="Q74" i="26"/>
  <c r="Y74" i="26"/>
  <c r="AG74" i="26"/>
  <c r="C190" i="26"/>
  <c r="AH37" i="26"/>
  <c r="AH75" i="26"/>
  <c r="D100" i="26"/>
  <c r="AH55" i="26"/>
  <c r="AH67" i="26"/>
  <c r="AH71" i="26"/>
  <c r="AI71" i="26"/>
  <c r="E233" i="26"/>
  <c r="F197" i="26"/>
  <c r="C198" i="26"/>
  <c r="D192" i="26"/>
  <c r="G233" i="27" l="1"/>
  <c r="H197" i="27"/>
  <c r="F190" i="27"/>
  <c r="G100" i="27"/>
  <c r="H101" i="27"/>
  <c r="G92" i="27"/>
  <c r="I192" i="27"/>
  <c r="H198" i="27"/>
  <c r="P7" i="26"/>
  <c r="AH212" i="26"/>
  <c r="L82" i="26"/>
  <c r="AJ212" i="26"/>
  <c r="R7" i="26"/>
  <c r="Q82" i="26"/>
  <c r="O82" i="26"/>
  <c r="M82" i="26"/>
  <c r="J82" i="26"/>
  <c r="J7" i="26"/>
  <c r="AD212" i="26"/>
  <c r="L7" i="26"/>
  <c r="E7" i="26"/>
  <c r="K82" i="26"/>
  <c r="AC212" i="26"/>
  <c r="K7" i="26"/>
  <c r="I82" i="26"/>
  <c r="H82" i="26"/>
  <c r="G82" i="26"/>
  <c r="C82" i="26"/>
  <c r="E82" i="26"/>
  <c r="D82" i="26"/>
  <c r="V212" i="26"/>
  <c r="D7" i="26"/>
  <c r="B82" i="26"/>
  <c r="U212" i="26"/>
  <c r="C7" i="26"/>
  <c r="X212" i="26"/>
  <c r="C207" i="26"/>
  <c r="B207" i="26"/>
  <c r="F7" i="26"/>
  <c r="F101" i="26"/>
  <c r="E92" i="26"/>
  <c r="AG212" i="26"/>
  <c r="O7" i="26"/>
  <c r="F82" i="26"/>
  <c r="Y212" i="26"/>
  <c r="G7" i="26"/>
  <c r="AQ212" i="26"/>
  <c r="Y7" i="26"/>
  <c r="D198" i="26"/>
  <c r="E192" i="26"/>
  <c r="AI212" i="26"/>
  <c r="Q7" i="26"/>
  <c r="Y82" i="26"/>
  <c r="D190" i="26"/>
  <c r="E100" i="26"/>
  <c r="AA212" i="26"/>
  <c r="I7" i="26"/>
  <c r="AF212" i="26"/>
  <c r="N7" i="26"/>
  <c r="F233" i="26"/>
  <c r="G197" i="26"/>
  <c r="AI81" i="26"/>
  <c r="AH81" i="26"/>
  <c r="J192" i="27" l="1"/>
  <c r="H233" i="27"/>
  <c r="I197" i="27"/>
  <c r="G190" i="27"/>
  <c r="H100" i="27"/>
  <c r="I101" i="27"/>
  <c r="H92" i="27"/>
  <c r="K6" i="26"/>
  <c r="T212" i="26"/>
  <c r="B7" i="26"/>
  <c r="G101" i="26"/>
  <c r="F92" i="26"/>
  <c r="G233" i="26"/>
  <c r="H197" i="26"/>
  <c r="E198" i="26"/>
  <c r="F192" i="26"/>
  <c r="E190" i="26"/>
  <c r="F100" i="26"/>
  <c r="I92" i="27" l="1"/>
  <c r="J101" i="27"/>
  <c r="K192" i="27"/>
  <c r="H190" i="27"/>
  <c r="I100" i="27"/>
  <c r="J197" i="27"/>
  <c r="J198" i="27" s="1"/>
  <c r="I233" i="27"/>
  <c r="I198" i="27"/>
  <c r="G192" i="26"/>
  <c r="F198" i="26"/>
  <c r="F190" i="26"/>
  <c r="G100" i="26"/>
  <c r="H101" i="26"/>
  <c r="G92" i="26"/>
  <c r="H233" i="26"/>
  <c r="I197" i="26"/>
  <c r="L192" i="27" l="1"/>
  <c r="K101" i="27"/>
  <c r="J92" i="27"/>
  <c r="K197" i="27"/>
  <c r="J233" i="27"/>
  <c r="I190" i="27"/>
  <c r="J100" i="27"/>
  <c r="J197" i="26"/>
  <c r="I233" i="26"/>
  <c r="G198" i="26"/>
  <c r="H192" i="26"/>
  <c r="H92" i="26"/>
  <c r="I101" i="26"/>
  <c r="G190" i="26"/>
  <c r="H100" i="26"/>
  <c r="J190" i="27" l="1"/>
  <c r="K100" i="27"/>
  <c r="K233" i="27"/>
  <c r="L197" i="27"/>
  <c r="L101" i="27"/>
  <c r="K92" i="27"/>
  <c r="M192" i="27"/>
  <c r="L198" i="27"/>
  <c r="K198" i="27"/>
  <c r="H190" i="26"/>
  <c r="I100" i="26"/>
  <c r="J101" i="26"/>
  <c r="I92" i="26"/>
  <c r="H198" i="26"/>
  <c r="I192" i="26"/>
  <c r="J233" i="26"/>
  <c r="K197" i="26"/>
  <c r="N192" i="27" l="1"/>
  <c r="M101" i="27"/>
  <c r="L92" i="27"/>
  <c r="K190" i="27"/>
  <c r="L100" i="27"/>
  <c r="L233" i="27"/>
  <c r="M197" i="27"/>
  <c r="I198" i="26"/>
  <c r="J192" i="26"/>
  <c r="J92" i="26"/>
  <c r="K101" i="26"/>
  <c r="K233" i="26"/>
  <c r="L197" i="26"/>
  <c r="I190" i="26"/>
  <c r="J100" i="26"/>
  <c r="N197" i="27" l="1"/>
  <c r="M233" i="27"/>
  <c r="L190" i="27"/>
  <c r="M100" i="27"/>
  <c r="N101" i="27"/>
  <c r="M92" i="27"/>
  <c r="N198" i="27"/>
  <c r="O192" i="27"/>
  <c r="M198" i="27"/>
  <c r="L101" i="26"/>
  <c r="J190" i="26"/>
  <c r="K100" i="26"/>
  <c r="L233" i="26"/>
  <c r="M197" i="26"/>
  <c r="J198" i="26"/>
  <c r="K192" i="26"/>
  <c r="P192" i="27" l="1"/>
  <c r="N92" i="27"/>
  <c r="O101" i="27"/>
  <c r="M190" i="27"/>
  <c r="N100" i="27"/>
  <c r="O197" i="27"/>
  <c r="N233" i="27"/>
  <c r="K198" i="26"/>
  <c r="L192" i="26"/>
  <c r="M233" i="26"/>
  <c r="N197" i="26"/>
  <c r="K190" i="26"/>
  <c r="L100" i="26"/>
  <c r="K92" i="26"/>
  <c r="M101" i="26"/>
  <c r="L92" i="26"/>
  <c r="O233" i="27" l="1"/>
  <c r="P197" i="27"/>
  <c r="N190" i="27"/>
  <c r="O100" i="27"/>
  <c r="O92" i="27"/>
  <c r="P101" i="27"/>
  <c r="O198" i="27"/>
  <c r="P198" i="27"/>
  <c r="Q192" i="27"/>
  <c r="N101" i="26"/>
  <c r="M92" i="26"/>
  <c r="N233" i="26"/>
  <c r="O197" i="26"/>
  <c r="M192" i="26"/>
  <c r="L198" i="26"/>
  <c r="L190" i="26"/>
  <c r="M100" i="26"/>
  <c r="Q101" i="27" l="1"/>
  <c r="P92" i="27"/>
  <c r="O190" i="27"/>
  <c r="P100" i="27"/>
  <c r="P233" i="27"/>
  <c r="Q197" i="27"/>
  <c r="Q198" i="27"/>
  <c r="R192" i="27"/>
  <c r="N192" i="26"/>
  <c r="M198" i="26"/>
  <c r="O233" i="26"/>
  <c r="P197" i="26"/>
  <c r="M190" i="26"/>
  <c r="N100" i="26"/>
  <c r="O101" i="26"/>
  <c r="N92" i="26"/>
  <c r="P190" i="27" l="1"/>
  <c r="Q100" i="27"/>
  <c r="S192" i="27"/>
  <c r="R197" i="27"/>
  <c r="Q233" i="27"/>
  <c r="Q92" i="27"/>
  <c r="R101" i="27"/>
  <c r="P101" i="26"/>
  <c r="N190" i="26"/>
  <c r="O100" i="26"/>
  <c r="P233" i="26"/>
  <c r="Q197" i="26"/>
  <c r="O192" i="26"/>
  <c r="N198" i="26"/>
  <c r="S197" i="27" l="1"/>
  <c r="R233" i="27"/>
  <c r="R198" i="27"/>
  <c r="S198" i="27"/>
  <c r="T192" i="27"/>
  <c r="Q190" i="27"/>
  <c r="R100" i="27"/>
  <c r="S101" i="27"/>
  <c r="R92" i="27"/>
  <c r="O198" i="26"/>
  <c r="P192" i="26"/>
  <c r="R197" i="26"/>
  <c r="Q233" i="26"/>
  <c r="O190" i="26"/>
  <c r="P100" i="26"/>
  <c r="O92" i="26"/>
  <c r="P92" i="26"/>
  <c r="Q101" i="26"/>
  <c r="R190" i="27" l="1"/>
  <c r="S100" i="27"/>
  <c r="U192" i="27"/>
  <c r="T101" i="27"/>
  <c r="S92" i="27"/>
  <c r="S233" i="27"/>
  <c r="T197" i="27"/>
  <c r="T198" i="27" s="1"/>
  <c r="T50" i="27" s="1"/>
  <c r="P190" i="26"/>
  <c r="Q100" i="26"/>
  <c r="S197" i="26"/>
  <c r="R233" i="26"/>
  <c r="P198" i="26"/>
  <c r="Q192" i="26"/>
  <c r="R101" i="26"/>
  <c r="Q92" i="26"/>
  <c r="T51" i="27" l="1"/>
  <c r="V192" i="27"/>
  <c r="S190" i="27"/>
  <c r="T100" i="27"/>
  <c r="U197" i="27"/>
  <c r="T233" i="27"/>
  <c r="U101" i="27"/>
  <c r="T92" i="27"/>
  <c r="Q190" i="26"/>
  <c r="R100" i="26"/>
  <c r="R92" i="26"/>
  <c r="S101" i="26"/>
  <c r="Q198" i="26"/>
  <c r="R192" i="26"/>
  <c r="T197" i="26"/>
  <c r="S233" i="26"/>
  <c r="T190" i="27" l="1"/>
  <c r="U100" i="27"/>
  <c r="W192" i="27"/>
  <c r="V197" i="27"/>
  <c r="U233" i="27"/>
  <c r="U198" i="27"/>
  <c r="U50" i="27" s="1"/>
  <c r="T74" i="27"/>
  <c r="T72" i="27"/>
  <c r="V101" i="27"/>
  <c r="U92" i="27"/>
  <c r="R198" i="26"/>
  <c r="S192" i="26"/>
  <c r="T101" i="26"/>
  <c r="S92" i="26"/>
  <c r="R190" i="26"/>
  <c r="S100" i="26"/>
  <c r="U197" i="26"/>
  <c r="T233" i="26"/>
  <c r="AL212" i="27" l="1"/>
  <c r="T7" i="27"/>
  <c r="V92" i="27"/>
  <c r="W101" i="27"/>
  <c r="U51" i="27"/>
  <c r="V233" i="27"/>
  <c r="W197" i="27"/>
  <c r="X192" i="27"/>
  <c r="W198" i="27"/>
  <c r="W51" i="27" s="1"/>
  <c r="V198" i="27"/>
  <c r="V50" i="27" s="1"/>
  <c r="V51" i="27" s="1"/>
  <c r="T82" i="27"/>
  <c r="U190" i="27"/>
  <c r="V100" i="27"/>
  <c r="V197" i="26"/>
  <c r="U233" i="26"/>
  <c r="S190" i="26"/>
  <c r="T100" i="26"/>
  <c r="U101" i="26"/>
  <c r="T92" i="26"/>
  <c r="S198" i="26"/>
  <c r="T192" i="26"/>
  <c r="X101" i="27" l="1"/>
  <c r="W92" i="27"/>
  <c r="W72" i="27"/>
  <c r="W74" i="27"/>
  <c r="U72" i="27"/>
  <c r="U74" i="27"/>
  <c r="V190" i="27"/>
  <c r="W100" i="27"/>
  <c r="W233" i="27"/>
  <c r="X197" i="27"/>
  <c r="V74" i="27"/>
  <c r="V72" i="27"/>
  <c r="Y192" i="27"/>
  <c r="T190" i="26"/>
  <c r="U100" i="26"/>
  <c r="U192" i="26"/>
  <c r="T198" i="26"/>
  <c r="T50" i="26" s="1"/>
  <c r="V101" i="26"/>
  <c r="U92" i="26"/>
  <c r="V233" i="26"/>
  <c r="W197" i="26"/>
  <c r="V82" i="27" l="1"/>
  <c r="U82" i="27"/>
  <c r="X233" i="27"/>
  <c r="Y197" i="27"/>
  <c r="AO212" i="27"/>
  <c r="W7" i="27"/>
  <c r="W82" i="27"/>
  <c r="AM212" i="27"/>
  <c r="U7" i="27"/>
  <c r="W190" i="27"/>
  <c r="X100" i="27"/>
  <c r="AN212" i="27"/>
  <c r="V7" i="27"/>
  <c r="Y101" i="27"/>
  <c r="X92" i="27"/>
  <c r="Z192" i="27"/>
  <c r="Y198" i="27"/>
  <c r="X198" i="27"/>
  <c r="X50" i="27" s="1"/>
  <c r="V192" i="26"/>
  <c r="U198" i="26"/>
  <c r="U50" i="26" s="1"/>
  <c r="U51" i="26" s="1"/>
  <c r="W233" i="26"/>
  <c r="X197" i="26"/>
  <c r="T51" i="26"/>
  <c r="U190" i="26"/>
  <c r="V100" i="26"/>
  <c r="W101" i="26"/>
  <c r="V92" i="26"/>
  <c r="Z197" i="27" l="1"/>
  <c r="Y233" i="27"/>
  <c r="AA192" i="27"/>
  <c r="Z198" i="27"/>
  <c r="Z50" i="27" s="1"/>
  <c r="Z51" i="27" s="1"/>
  <c r="X190" i="27"/>
  <c r="Y100" i="27"/>
  <c r="X51" i="27"/>
  <c r="Y92" i="27"/>
  <c r="Z101" i="27"/>
  <c r="T72" i="26"/>
  <c r="T74" i="26"/>
  <c r="U74" i="26"/>
  <c r="U72" i="26"/>
  <c r="U82" i="26" s="1"/>
  <c r="X233" i="26"/>
  <c r="Y197" i="26"/>
  <c r="X101" i="26"/>
  <c r="V190" i="26"/>
  <c r="W100" i="26"/>
  <c r="W192" i="26"/>
  <c r="V198" i="26"/>
  <c r="V50" i="26" s="1"/>
  <c r="Y190" i="27" l="1"/>
  <c r="Z100" i="27"/>
  <c r="Z74" i="27"/>
  <c r="Z72" i="27"/>
  <c r="X74" i="27"/>
  <c r="X72" i="27"/>
  <c r="AA101" i="27"/>
  <c r="Z92" i="27"/>
  <c r="AB192" i="27"/>
  <c r="AA197" i="27"/>
  <c r="AA198" i="27" s="1"/>
  <c r="AA50" i="27" s="1"/>
  <c r="Z233" i="27"/>
  <c r="V51" i="26"/>
  <c r="X192" i="26"/>
  <c r="W198" i="26"/>
  <c r="W92" i="26"/>
  <c r="Z197" i="26"/>
  <c r="Y233" i="26"/>
  <c r="AM212" i="26"/>
  <c r="U7" i="26"/>
  <c r="W190" i="26"/>
  <c r="X100" i="26"/>
  <c r="AL212" i="26"/>
  <c r="T7" i="26"/>
  <c r="Y101" i="26"/>
  <c r="T82" i="26"/>
  <c r="Z82" i="27" l="1"/>
  <c r="AA51" i="27"/>
  <c r="AP212" i="27"/>
  <c r="X7" i="27"/>
  <c r="X82" i="27"/>
  <c r="AR212" i="27"/>
  <c r="Z7" i="27"/>
  <c r="AB197" i="27"/>
  <c r="AA233" i="27"/>
  <c r="AB198" i="27"/>
  <c r="AB50" i="27" s="1"/>
  <c r="AB51" i="27" s="1"/>
  <c r="AC192" i="27"/>
  <c r="Z190" i="27"/>
  <c r="AA100" i="27"/>
  <c r="AB101" i="27"/>
  <c r="AA92" i="27"/>
  <c r="X198" i="26"/>
  <c r="X50" i="26" s="1"/>
  <c r="X51" i="26" s="1"/>
  <c r="Y192" i="26"/>
  <c r="W72" i="26"/>
  <c r="W74" i="26"/>
  <c r="X190" i="26"/>
  <c r="Y100" i="26"/>
  <c r="Z233" i="26"/>
  <c r="AA197" i="26"/>
  <c r="Z101" i="26"/>
  <c r="Y92" i="26"/>
  <c r="X92" i="26"/>
  <c r="V72" i="26"/>
  <c r="V74" i="26"/>
  <c r="AD192" i="27" l="1"/>
  <c r="AB74" i="27"/>
  <c r="AB72" i="27"/>
  <c r="AB82" i="27" s="1"/>
  <c r="AB233" i="27"/>
  <c r="AC197" i="27"/>
  <c r="AC101" i="27"/>
  <c r="AB92" i="27"/>
  <c r="AA190" i="27"/>
  <c r="AB100" i="27"/>
  <c r="AA74" i="27"/>
  <c r="AA72" i="27"/>
  <c r="AO212" i="26"/>
  <c r="W7" i="26"/>
  <c r="Z92" i="26"/>
  <c r="AA101" i="26"/>
  <c r="AA233" i="26"/>
  <c r="AB197" i="26"/>
  <c r="AN212" i="26"/>
  <c r="V7" i="26"/>
  <c r="Z192" i="26"/>
  <c r="Y198" i="26"/>
  <c r="Y190" i="26"/>
  <c r="Z100" i="26"/>
  <c r="W82" i="26"/>
  <c r="V82" i="26"/>
  <c r="X74" i="26"/>
  <c r="X72" i="26"/>
  <c r="X82" i="26" s="1"/>
  <c r="AA82" i="27" l="1"/>
  <c r="AS212" i="27"/>
  <c r="AA7" i="27"/>
  <c r="AB190" i="27"/>
  <c r="AC100" i="27"/>
  <c r="AC233" i="27"/>
  <c r="AD197" i="27"/>
  <c r="AT212" i="27"/>
  <c r="AB7" i="27"/>
  <c r="AC198" i="27"/>
  <c r="AC50" i="27" s="1"/>
  <c r="AC51" i="27" s="1"/>
  <c r="AD101" i="27"/>
  <c r="AC92" i="27"/>
  <c r="AE192" i="27"/>
  <c r="AB233" i="26"/>
  <c r="AC197" i="26"/>
  <c r="AP212" i="26"/>
  <c r="X7" i="26"/>
  <c r="Z198" i="26"/>
  <c r="Z50" i="26" s="1"/>
  <c r="AA192" i="26"/>
  <c r="Z190" i="26"/>
  <c r="AA100" i="26"/>
  <c r="AB101" i="26"/>
  <c r="AA92" i="26"/>
  <c r="AD92" i="27" l="1"/>
  <c r="AE101" i="27"/>
  <c r="AC72" i="27"/>
  <c r="AC74" i="27"/>
  <c r="AD233" i="27"/>
  <c r="AE197" i="27"/>
  <c r="AD198" i="27"/>
  <c r="AD50" i="27" s="1"/>
  <c r="AD51" i="27" s="1"/>
  <c r="AF192" i="27"/>
  <c r="AC190" i="27"/>
  <c r="AD100" i="27"/>
  <c r="AA198" i="26"/>
  <c r="AA50" i="26" s="1"/>
  <c r="AA51" i="26" s="1"/>
  <c r="AB192" i="26"/>
  <c r="AC101" i="26"/>
  <c r="AB92" i="26"/>
  <c r="AA190" i="26"/>
  <c r="AB100" i="26"/>
  <c r="Z51" i="26"/>
  <c r="AC233" i="26"/>
  <c r="AD197" i="26"/>
  <c r="AU212" i="27" l="1"/>
  <c r="AC7" i="27"/>
  <c r="AD74" i="27"/>
  <c r="AD72" i="27"/>
  <c r="AD82" i="27" s="1"/>
  <c r="AE233" i="27"/>
  <c r="AF197" i="27"/>
  <c r="AF233" i="27" s="1"/>
  <c r="AD190" i="27"/>
  <c r="AE100" i="27"/>
  <c r="AC82" i="27"/>
  <c r="AF101" i="27"/>
  <c r="AF92" i="27" s="1"/>
  <c r="AE92" i="27"/>
  <c r="AE198" i="27"/>
  <c r="AE50" i="27" s="1"/>
  <c r="AE51" i="27" s="1"/>
  <c r="Z74" i="26"/>
  <c r="Z72" i="26"/>
  <c r="AB190" i="26"/>
  <c r="AC100" i="26"/>
  <c r="AD233" i="26"/>
  <c r="AE197" i="26"/>
  <c r="AD101" i="26"/>
  <c r="AC92" i="26"/>
  <c r="AC192" i="26"/>
  <c r="AB198" i="26"/>
  <c r="AB50" i="26" s="1"/>
  <c r="AA74" i="26"/>
  <c r="AA72" i="26"/>
  <c r="AH92" i="27" l="1"/>
  <c r="AI92" i="27"/>
  <c r="AE72" i="27"/>
  <c r="AE74" i="27"/>
  <c r="AV212" i="27"/>
  <c r="AD7" i="27"/>
  <c r="AE190" i="27"/>
  <c r="AF100" i="27"/>
  <c r="AF190" i="27" s="1"/>
  <c r="AF198" i="27"/>
  <c r="AF50" i="27" s="1"/>
  <c r="AA82" i="26"/>
  <c r="AE233" i="26"/>
  <c r="AF197" i="26"/>
  <c r="AF233" i="26" s="1"/>
  <c r="AB51" i="26"/>
  <c r="Z82" i="26"/>
  <c r="AC190" i="26"/>
  <c r="AD100" i="26"/>
  <c r="AS212" i="26"/>
  <c r="AA7" i="26"/>
  <c r="AD192" i="26"/>
  <c r="AC198" i="26"/>
  <c r="AC50" i="26" s="1"/>
  <c r="AC51" i="26" s="1"/>
  <c r="AE101" i="26"/>
  <c r="AD92" i="26"/>
  <c r="AR212" i="26"/>
  <c r="Z7" i="26"/>
  <c r="AE82" i="27" l="1"/>
  <c r="AW212" i="27"/>
  <c r="AE7" i="27"/>
  <c r="AF51" i="27"/>
  <c r="AH50" i="27"/>
  <c r="AI50" i="27"/>
  <c r="AE192" i="26"/>
  <c r="AD198" i="26"/>
  <c r="AD50" i="26" s="1"/>
  <c r="AD51" i="26" s="1"/>
  <c r="AC74" i="26"/>
  <c r="AC72" i="26"/>
  <c r="AC82" i="26" s="1"/>
  <c r="AB72" i="26"/>
  <c r="AB74" i="26"/>
  <c r="AD190" i="26"/>
  <c r="AE100" i="26"/>
  <c r="AF101" i="26"/>
  <c r="AE92" i="26"/>
  <c r="AF72" i="27" l="1"/>
  <c r="AF74" i="27"/>
  <c r="AH51" i="27"/>
  <c r="AI51" i="27"/>
  <c r="AT212" i="26"/>
  <c r="AB7" i="26"/>
  <c r="AB82" i="26"/>
  <c r="AU212" i="26"/>
  <c r="AC7" i="26"/>
  <c r="AF92" i="26"/>
  <c r="AE190" i="26"/>
  <c r="AF100" i="26"/>
  <c r="AF190" i="26" s="1"/>
  <c r="AD74" i="26"/>
  <c r="AD72" i="26"/>
  <c r="AD82" i="26" s="1"/>
  <c r="AF192" i="26"/>
  <c r="AF198" i="26" s="1"/>
  <c r="AF50" i="26" s="1"/>
  <c r="AE198" i="26"/>
  <c r="AE50" i="26" s="1"/>
  <c r="AE51" i="26" s="1"/>
  <c r="AX212" i="27" l="1"/>
  <c r="AF7" i="27"/>
  <c r="A7" i="27" s="1"/>
  <c r="AH74" i="27"/>
  <c r="AI74" i="27"/>
  <c r="AF82" i="27"/>
  <c r="AH72" i="27"/>
  <c r="AI72" i="27"/>
  <c r="AH92" i="26"/>
  <c r="AI92" i="26"/>
  <c r="AE74" i="26"/>
  <c r="AE72" i="26"/>
  <c r="AF51" i="26"/>
  <c r="AH50" i="26"/>
  <c r="AI50" i="26"/>
  <c r="AV212" i="26"/>
  <c r="AD7" i="26"/>
  <c r="AI82" i="27" l="1"/>
  <c r="AH82" i="27"/>
  <c r="AE82" i="26"/>
  <c r="AW212" i="26"/>
  <c r="AE7" i="26"/>
  <c r="AF74" i="26"/>
  <c r="AF72" i="26"/>
  <c r="AI51" i="26"/>
  <c r="AH51" i="26"/>
  <c r="AF82" i="26" l="1"/>
  <c r="AH72" i="26"/>
  <c r="AI72" i="26"/>
  <c r="AX212" i="26"/>
  <c r="AF7" i="26"/>
  <c r="A7" i="26" s="1"/>
  <c r="AH74" i="26"/>
  <c r="AI74" i="26"/>
  <c r="AH82" i="26" l="1"/>
  <c r="AI82" i="26"/>
  <c r="AA94" i="25" l="1"/>
  <c r="AA36" i="25"/>
  <c r="Z36" i="25"/>
  <c r="Y36" i="25"/>
  <c r="X36" i="25"/>
  <c r="V36" i="25"/>
  <c r="U36" i="25"/>
  <c r="T36" i="25"/>
  <c r="S36" i="25"/>
  <c r="R36" i="25"/>
  <c r="P36" i="25"/>
  <c r="O36" i="25"/>
  <c r="AK12" i="24"/>
  <c r="AH13" i="4"/>
  <c r="AI13" i="4"/>
  <c r="AH13" i="24"/>
  <c r="AI13" i="24"/>
  <c r="F36" i="25"/>
  <c r="E36" i="25" l="1"/>
  <c r="D36" i="25"/>
  <c r="C36" i="25"/>
  <c r="AH98" i="25"/>
  <c r="AI98" i="25" s="1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AF234" i="25"/>
  <c r="AE234" i="25"/>
  <c r="AD234" i="25"/>
  <c r="AC234" i="25"/>
  <c r="AB234" i="25"/>
  <c r="AA234" i="25"/>
  <c r="Z234" i="25"/>
  <c r="Y234" i="25"/>
  <c r="X234" i="25"/>
  <c r="W234" i="25"/>
  <c r="V234" i="25"/>
  <c r="U234" i="25"/>
  <c r="T234" i="25"/>
  <c r="S234" i="25"/>
  <c r="R234" i="25"/>
  <c r="Q234" i="25"/>
  <c r="P234" i="25"/>
  <c r="O234" i="25"/>
  <c r="N234" i="25"/>
  <c r="M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B233" i="25"/>
  <c r="S208" i="25"/>
  <c r="AG198" i="25"/>
  <c r="B198" i="25"/>
  <c r="D197" i="25"/>
  <c r="D233" i="25" s="1"/>
  <c r="C197" i="25"/>
  <c r="C233" i="25" s="1"/>
  <c r="C196" i="25"/>
  <c r="D196" i="25" s="1"/>
  <c r="E196" i="25" s="1"/>
  <c r="F196" i="25" s="1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C195" i="25"/>
  <c r="D195" i="25" s="1"/>
  <c r="E195" i="25" s="1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C194" i="25"/>
  <c r="D194" i="25" s="1"/>
  <c r="E194" i="25" s="1"/>
  <c r="F194" i="25" s="1"/>
  <c r="G194" i="25" s="1"/>
  <c r="H194" i="25" s="1"/>
  <c r="I194" i="25" s="1"/>
  <c r="J194" i="25" s="1"/>
  <c r="K194" i="25" s="1"/>
  <c r="L194" i="25" s="1"/>
  <c r="M194" i="25" s="1"/>
  <c r="N194" i="25" s="1"/>
  <c r="O194" i="25" s="1"/>
  <c r="P194" i="25" s="1"/>
  <c r="Q194" i="25" s="1"/>
  <c r="R194" i="25" s="1"/>
  <c r="S194" i="25" s="1"/>
  <c r="T194" i="25" s="1"/>
  <c r="U194" i="25" s="1"/>
  <c r="V194" i="25" s="1"/>
  <c r="W194" i="25" s="1"/>
  <c r="X194" i="25" s="1"/>
  <c r="Y194" i="25" s="1"/>
  <c r="Z194" i="25" s="1"/>
  <c r="AA194" i="25" s="1"/>
  <c r="AB194" i="25" s="1"/>
  <c r="AC194" i="25" s="1"/>
  <c r="AD194" i="25" s="1"/>
  <c r="AE194" i="25" s="1"/>
  <c r="AF194" i="25" s="1"/>
  <c r="T193" i="25"/>
  <c r="U193" i="25" s="1"/>
  <c r="V193" i="25" s="1"/>
  <c r="W193" i="25" s="1"/>
  <c r="X193" i="25" s="1"/>
  <c r="Y193" i="25" s="1"/>
  <c r="Z193" i="25" s="1"/>
  <c r="AA193" i="25" s="1"/>
  <c r="AB193" i="25" s="1"/>
  <c r="AC193" i="25" s="1"/>
  <c r="AD193" i="25" s="1"/>
  <c r="AE193" i="25" s="1"/>
  <c r="AF193" i="25" s="1"/>
  <c r="D193" i="25"/>
  <c r="E193" i="25" s="1"/>
  <c r="F193" i="25" s="1"/>
  <c r="G193" i="25" s="1"/>
  <c r="H193" i="25" s="1"/>
  <c r="I193" i="25" s="1"/>
  <c r="J193" i="25" s="1"/>
  <c r="K193" i="25" s="1"/>
  <c r="L193" i="25" s="1"/>
  <c r="M193" i="25" s="1"/>
  <c r="N193" i="25" s="1"/>
  <c r="O193" i="25" s="1"/>
  <c r="P193" i="25" s="1"/>
  <c r="Q193" i="25" s="1"/>
  <c r="R193" i="25" s="1"/>
  <c r="S193" i="25" s="1"/>
  <c r="C193" i="25"/>
  <c r="C192" i="25"/>
  <c r="AG190" i="25"/>
  <c r="B190" i="25"/>
  <c r="C189" i="25"/>
  <c r="D189" i="25" s="1"/>
  <c r="E189" i="25" s="1"/>
  <c r="F189" i="25" s="1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E188" i="25"/>
  <c r="F188" i="25" s="1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C188" i="25"/>
  <c r="D188" i="25" s="1"/>
  <c r="K187" i="25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D187" i="25"/>
  <c r="E187" i="25" s="1"/>
  <c r="F187" i="25" s="1"/>
  <c r="G187" i="25" s="1"/>
  <c r="H187" i="25" s="1"/>
  <c r="I187" i="25" s="1"/>
  <c r="J187" i="25" s="1"/>
  <c r="C187" i="25"/>
  <c r="C186" i="25"/>
  <c r="D186" i="25" s="1"/>
  <c r="E186" i="25" s="1"/>
  <c r="F186" i="25" s="1"/>
  <c r="G186" i="25" s="1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I185" i="25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G185" i="25"/>
  <c r="H185" i="25" s="1"/>
  <c r="C185" i="25"/>
  <c r="D185" i="25" s="1"/>
  <c r="E185" i="25" s="1"/>
  <c r="F185" i="25" s="1"/>
  <c r="E184" i="25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C184" i="25"/>
  <c r="D184" i="25" s="1"/>
  <c r="U183" i="25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D183" i="25"/>
  <c r="E183" i="25" s="1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C183" i="25"/>
  <c r="C182" i="25"/>
  <c r="D182" i="25" s="1"/>
  <c r="E182" i="25" s="1"/>
  <c r="F182" i="25" s="1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C181" i="25"/>
  <c r="D181" i="25" s="1"/>
  <c r="E181" i="25" s="1"/>
  <c r="F181" i="25" s="1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E180" i="25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D180" i="25"/>
  <c r="C180" i="25"/>
  <c r="J179" i="25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C179" i="25"/>
  <c r="D179" i="25" s="1"/>
  <c r="E179" i="25" s="1"/>
  <c r="F179" i="25" s="1"/>
  <c r="G179" i="25" s="1"/>
  <c r="H179" i="25" s="1"/>
  <c r="I179" i="25" s="1"/>
  <c r="E178" i="25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C178" i="25"/>
  <c r="D178" i="25" s="1"/>
  <c r="C177" i="25"/>
  <c r="D177" i="25" s="1"/>
  <c r="E177" i="25" s="1"/>
  <c r="F177" i="25" s="1"/>
  <c r="G177" i="25" s="1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AF177" i="25" s="1"/>
  <c r="E175" i="25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C175" i="25"/>
  <c r="D175" i="25" s="1"/>
  <c r="J174" i="25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C174" i="25"/>
  <c r="D174" i="25" s="1"/>
  <c r="E174" i="25" s="1"/>
  <c r="F174" i="25" s="1"/>
  <c r="G174" i="25" s="1"/>
  <c r="H174" i="25" s="1"/>
  <c r="I174" i="25" s="1"/>
  <c r="H173" i="25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C173" i="25"/>
  <c r="D173" i="25" s="1"/>
  <c r="E173" i="25" s="1"/>
  <c r="F173" i="25" s="1"/>
  <c r="G173" i="25" s="1"/>
  <c r="C172" i="25"/>
  <c r="D172" i="25" s="1"/>
  <c r="E172" i="25" s="1"/>
  <c r="F172" i="25" s="1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L171" i="25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E171" i="25"/>
  <c r="F171" i="25" s="1"/>
  <c r="G171" i="25" s="1"/>
  <c r="H171" i="25" s="1"/>
  <c r="I171" i="25" s="1"/>
  <c r="J171" i="25" s="1"/>
  <c r="K171" i="25" s="1"/>
  <c r="C171" i="25"/>
  <c r="D171" i="25" s="1"/>
  <c r="G170" i="25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E170" i="25"/>
  <c r="F170" i="25" s="1"/>
  <c r="C170" i="25"/>
  <c r="D170" i="25" s="1"/>
  <c r="C169" i="25"/>
  <c r="D169" i="25" s="1"/>
  <c r="E169" i="25" s="1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C168" i="25"/>
  <c r="D168" i="25" s="1"/>
  <c r="E168" i="25" s="1"/>
  <c r="F168" i="25" s="1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C166" i="25"/>
  <c r="D166" i="25" s="1"/>
  <c r="E166" i="25" s="1"/>
  <c r="F166" i="25" s="1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C165" i="25"/>
  <c r="D165" i="25" s="1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P164" i="25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O164" i="25"/>
  <c r="D164" i="25"/>
  <c r="E164" i="25" s="1"/>
  <c r="F164" i="25" s="1"/>
  <c r="G164" i="25" s="1"/>
  <c r="H164" i="25" s="1"/>
  <c r="I164" i="25" s="1"/>
  <c r="J164" i="25" s="1"/>
  <c r="K164" i="25" s="1"/>
  <c r="L164" i="25" s="1"/>
  <c r="M164" i="25" s="1"/>
  <c r="N164" i="25" s="1"/>
  <c r="C164" i="25"/>
  <c r="D163" i="25"/>
  <c r="E163" i="25" s="1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C163" i="25"/>
  <c r="C162" i="25"/>
  <c r="D162" i="25" s="1"/>
  <c r="E162" i="25" s="1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W161" i="25"/>
  <c r="X161" i="25" s="1"/>
  <c r="Y161" i="25" s="1"/>
  <c r="Z161" i="25" s="1"/>
  <c r="AA161" i="25" s="1"/>
  <c r="AB161" i="25" s="1"/>
  <c r="AC161" i="25" s="1"/>
  <c r="AD161" i="25" s="1"/>
  <c r="AE161" i="25" s="1"/>
  <c r="AF161" i="25" s="1"/>
  <c r="E161" i="25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C161" i="25"/>
  <c r="D161" i="25" s="1"/>
  <c r="L160" i="25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H160" i="25"/>
  <c r="I160" i="25" s="1"/>
  <c r="J160" i="25" s="1"/>
  <c r="K160" i="25" s="1"/>
  <c r="D160" i="25"/>
  <c r="E160" i="25" s="1"/>
  <c r="F160" i="25" s="1"/>
  <c r="G160" i="25" s="1"/>
  <c r="C160" i="25"/>
  <c r="D159" i="25"/>
  <c r="E159" i="25" s="1"/>
  <c r="F159" i="25" s="1"/>
  <c r="G159" i="25" s="1"/>
  <c r="H159" i="25" s="1"/>
  <c r="I159" i="25" s="1"/>
  <c r="J159" i="25" s="1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C159" i="25"/>
  <c r="AD158" i="25"/>
  <c r="AE158" i="25" s="1"/>
  <c r="AF158" i="25" s="1"/>
  <c r="J158" i="25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E158" i="25"/>
  <c r="F158" i="25" s="1"/>
  <c r="G158" i="25" s="1"/>
  <c r="H158" i="25" s="1"/>
  <c r="I158" i="25" s="1"/>
  <c r="D158" i="25"/>
  <c r="C158" i="25"/>
  <c r="R157" i="25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C157" i="25"/>
  <c r="D157" i="25" s="1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Y156" i="25"/>
  <c r="Z156" i="25" s="1"/>
  <c r="AA156" i="25" s="1"/>
  <c r="AB156" i="25" s="1"/>
  <c r="AC156" i="25" s="1"/>
  <c r="AD156" i="25" s="1"/>
  <c r="AE156" i="25" s="1"/>
  <c r="AF156" i="25" s="1"/>
  <c r="V156" i="25"/>
  <c r="W156" i="25" s="1"/>
  <c r="X156" i="25" s="1"/>
  <c r="D156" i="25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C156" i="25"/>
  <c r="F155" i="25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D155" i="25"/>
  <c r="E155" i="25" s="1"/>
  <c r="C155" i="25"/>
  <c r="D154" i="25"/>
  <c r="E154" i="25" s="1"/>
  <c r="F154" i="25" s="1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C154" i="25"/>
  <c r="AD152" i="25"/>
  <c r="AE152" i="25" s="1"/>
  <c r="AF152" i="25" s="1"/>
  <c r="E152" i="25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D152" i="25"/>
  <c r="C152" i="25"/>
  <c r="X151" i="25"/>
  <c r="Y151" i="25" s="1"/>
  <c r="Z151" i="25" s="1"/>
  <c r="AA151" i="25" s="1"/>
  <c r="AB151" i="25" s="1"/>
  <c r="AC151" i="25" s="1"/>
  <c r="AD151" i="25" s="1"/>
  <c r="AE151" i="25" s="1"/>
  <c r="AF151" i="25" s="1"/>
  <c r="P151" i="25"/>
  <c r="Q151" i="25" s="1"/>
  <c r="R151" i="25" s="1"/>
  <c r="S151" i="25" s="1"/>
  <c r="T151" i="25" s="1"/>
  <c r="U151" i="25" s="1"/>
  <c r="V151" i="25" s="1"/>
  <c r="W151" i="25" s="1"/>
  <c r="C151" i="25"/>
  <c r="D151" i="25" s="1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X150" i="25"/>
  <c r="Y150" i="25" s="1"/>
  <c r="Z150" i="25" s="1"/>
  <c r="AA150" i="25" s="1"/>
  <c r="AB150" i="25" s="1"/>
  <c r="AC150" i="25" s="1"/>
  <c r="AD150" i="25" s="1"/>
  <c r="AE150" i="25" s="1"/>
  <c r="AF150" i="25" s="1"/>
  <c r="F150" i="25"/>
  <c r="G150" i="25" s="1"/>
  <c r="H150" i="25" s="1"/>
  <c r="I150" i="25" s="1"/>
  <c r="J150" i="25" s="1"/>
  <c r="K150" i="25" s="1"/>
  <c r="L150" i="25" s="1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E150" i="25"/>
  <c r="D150" i="25"/>
  <c r="C150" i="25"/>
  <c r="S149" i="25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D149" i="25"/>
  <c r="E149" i="25" s="1"/>
  <c r="F149" i="25" s="1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C149" i="25"/>
  <c r="D147" i="25"/>
  <c r="E147" i="25" s="1"/>
  <c r="F147" i="25" s="1"/>
  <c r="G147" i="25" s="1"/>
  <c r="H147" i="25" s="1"/>
  <c r="I147" i="25" s="1"/>
  <c r="J147" i="25" s="1"/>
  <c r="K147" i="25" s="1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C147" i="25"/>
  <c r="W146" i="25"/>
  <c r="X146" i="25" s="1"/>
  <c r="Y146" i="25" s="1"/>
  <c r="Z146" i="25" s="1"/>
  <c r="AA146" i="25" s="1"/>
  <c r="AB146" i="25" s="1"/>
  <c r="AC146" i="25" s="1"/>
  <c r="AD146" i="25" s="1"/>
  <c r="AE146" i="25" s="1"/>
  <c r="AF146" i="25" s="1"/>
  <c r="E146" i="25"/>
  <c r="F146" i="25" s="1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C146" i="25"/>
  <c r="D146" i="25" s="1"/>
  <c r="C144" i="25"/>
  <c r="D144" i="25" s="1"/>
  <c r="E144" i="25" s="1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Y143" i="25"/>
  <c r="Z143" i="25" s="1"/>
  <c r="AA143" i="25" s="1"/>
  <c r="AB143" i="25" s="1"/>
  <c r="AC143" i="25" s="1"/>
  <c r="AD143" i="25" s="1"/>
  <c r="AE143" i="25" s="1"/>
  <c r="AF143" i="25" s="1"/>
  <c r="L143" i="25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K143" i="25"/>
  <c r="C143" i="25"/>
  <c r="D143" i="25" s="1"/>
  <c r="E143" i="25" s="1"/>
  <c r="F143" i="25" s="1"/>
  <c r="G143" i="25" s="1"/>
  <c r="H143" i="25" s="1"/>
  <c r="I143" i="25" s="1"/>
  <c r="J143" i="25" s="1"/>
  <c r="R142" i="25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D142" i="25"/>
  <c r="E142" i="25" s="1"/>
  <c r="F142" i="25" s="1"/>
  <c r="G142" i="25" s="1"/>
  <c r="H142" i="25" s="1"/>
  <c r="I142" i="25" s="1"/>
  <c r="J142" i="25" s="1"/>
  <c r="K142" i="25" s="1"/>
  <c r="L142" i="25" s="1"/>
  <c r="M142" i="25" s="1"/>
  <c r="N142" i="25" s="1"/>
  <c r="O142" i="25" s="1"/>
  <c r="P142" i="25" s="1"/>
  <c r="Q142" i="25" s="1"/>
  <c r="C142" i="25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C141" i="25"/>
  <c r="AC140" i="25"/>
  <c r="AD140" i="25" s="1"/>
  <c r="AE140" i="25" s="1"/>
  <c r="AF140" i="25" s="1"/>
  <c r="D140" i="25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C140" i="25"/>
  <c r="C139" i="25"/>
  <c r="D139" i="25" s="1"/>
  <c r="E139" i="25" s="1"/>
  <c r="F139" i="25" s="1"/>
  <c r="G139" i="25" s="1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L138" i="25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C138" i="25"/>
  <c r="D138" i="25" s="1"/>
  <c r="E138" i="25" s="1"/>
  <c r="F138" i="25" s="1"/>
  <c r="G138" i="25" s="1"/>
  <c r="H138" i="25" s="1"/>
  <c r="I138" i="25" s="1"/>
  <c r="J138" i="25" s="1"/>
  <c r="K138" i="25" s="1"/>
  <c r="E136" i="25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D136" i="25"/>
  <c r="C136" i="25"/>
  <c r="H135" i="25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C135" i="25"/>
  <c r="D135" i="25" s="1"/>
  <c r="E135" i="25" s="1"/>
  <c r="F135" i="25" s="1"/>
  <c r="G135" i="25" s="1"/>
  <c r="O134" i="25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F134" i="25"/>
  <c r="G134" i="25" s="1"/>
  <c r="H134" i="25" s="1"/>
  <c r="I134" i="25" s="1"/>
  <c r="J134" i="25" s="1"/>
  <c r="K134" i="25" s="1"/>
  <c r="L134" i="25" s="1"/>
  <c r="M134" i="25" s="1"/>
  <c r="N134" i="25" s="1"/>
  <c r="C134" i="25"/>
  <c r="D134" i="25" s="1"/>
  <c r="E134" i="25" s="1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D133" i="25"/>
  <c r="C133" i="25"/>
  <c r="D132" i="25"/>
  <c r="E132" i="25" s="1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C132" i="25"/>
  <c r="I131" i="25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C131" i="25"/>
  <c r="D131" i="25" s="1"/>
  <c r="E131" i="25" s="1"/>
  <c r="F131" i="25" s="1"/>
  <c r="G131" i="25" s="1"/>
  <c r="H131" i="25" s="1"/>
  <c r="I130" i="25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F130" i="25"/>
  <c r="G130" i="25" s="1"/>
  <c r="H130" i="25" s="1"/>
  <c r="D130" i="25"/>
  <c r="E130" i="25" s="1"/>
  <c r="C130" i="25"/>
  <c r="AB129" i="25"/>
  <c r="AC129" i="25" s="1"/>
  <c r="AD129" i="25" s="1"/>
  <c r="AE129" i="25" s="1"/>
  <c r="AF129" i="25" s="1"/>
  <c r="U129" i="25"/>
  <c r="V129" i="25" s="1"/>
  <c r="W129" i="25" s="1"/>
  <c r="X129" i="25" s="1"/>
  <c r="Y129" i="25" s="1"/>
  <c r="Z129" i="25" s="1"/>
  <c r="AA129" i="25" s="1"/>
  <c r="G129" i="25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D129" i="25"/>
  <c r="E129" i="25" s="1"/>
  <c r="F129" i="25" s="1"/>
  <c r="C129" i="25"/>
  <c r="M127" i="25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H127" i="25"/>
  <c r="I127" i="25" s="1"/>
  <c r="J127" i="25" s="1"/>
  <c r="K127" i="25" s="1"/>
  <c r="L127" i="25" s="1"/>
  <c r="D127" i="25"/>
  <c r="E127" i="25" s="1"/>
  <c r="F127" i="25" s="1"/>
  <c r="G127" i="25" s="1"/>
  <c r="C127" i="25"/>
  <c r="I126" i="25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F126" i="25"/>
  <c r="G126" i="25" s="1"/>
  <c r="H126" i="25" s="1"/>
  <c r="C126" i="25"/>
  <c r="D126" i="25" s="1"/>
  <c r="E126" i="25" s="1"/>
  <c r="W125" i="25"/>
  <c r="X125" i="25" s="1"/>
  <c r="Y125" i="25" s="1"/>
  <c r="Z125" i="25" s="1"/>
  <c r="AA125" i="25" s="1"/>
  <c r="AB125" i="25" s="1"/>
  <c r="AC125" i="25" s="1"/>
  <c r="AD125" i="25" s="1"/>
  <c r="AE125" i="25" s="1"/>
  <c r="AF125" i="25" s="1"/>
  <c r="P125" i="25"/>
  <c r="Q125" i="25" s="1"/>
  <c r="R125" i="25" s="1"/>
  <c r="S125" i="25" s="1"/>
  <c r="T125" i="25" s="1"/>
  <c r="U125" i="25" s="1"/>
  <c r="V125" i="25" s="1"/>
  <c r="D125" i="25"/>
  <c r="E125" i="25" s="1"/>
  <c r="F125" i="25" s="1"/>
  <c r="G125" i="25" s="1"/>
  <c r="H125" i="25" s="1"/>
  <c r="I125" i="25" s="1"/>
  <c r="J125" i="25" s="1"/>
  <c r="K125" i="25" s="1"/>
  <c r="L125" i="25" s="1"/>
  <c r="M125" i="25" s="1"/>
  <c r="N125" i="25" s="1"/>
  <c r="O125" i="25" s="1"/>
  <c r="C125" i="25"/>
  <c r="L124" i="25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F124" i="25"/>
  <c r="G124" i="25" s="1"/>
  <c r="H124" i="25" s="1"/>
  <c r="I124" i="25" s="1"/>
  <c r="J124" i="25" s="1"/>
  <c r="K124" i="25" s="1"/>
  <c r="D124" i="25"/>
  <c r="E124" i="25" s="1"/>
  <c r="C124" i="25"/>
  <c r="M123" i="25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D123" i="25"/>
  <c r="E123" i="25" s="1"/>
  <c r="F123" i="25" s="1"/>
  <c r="G123" i="25" s="1"/>
  <c r="H123" i="25" s="1"/>
  <c r="I123" i="25" s="1"/>
  <c r="J123" i="25" s="1"/>
  <c r="K123" i="25" s="1"/>
  <c r="L123" i="25" s="1"/>
  <c r="C123" i="25"/>
  <c r="F122" i="25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C122" i="25"/>
  <c r="D122" i="25" s="1"/>
  <c r="E122" i="25" s="1"/>
  <c r="F121" i="25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D121" i="25"/>
  <c r="E121" i="25" s="1"/>
  <c r="C121" i="25"/>
  <c r="F120" i="25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D120" i="25"/>
  <c r="E120" i="25" s="1"/>
  <c r="C120" i="25"/>
  <c r="C119" i="25"/>
  <c r="D119" i="25" s="1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J118" i="25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D118" i="25"/>
  <c r="E118" i="25" s="1"/>
  <c r="F118" i="25" s="1"/>
  <c r="G118" i="25" s="1"/>
  <c r="H118" i="25" s="1"/>
  <c r="I118" i="25" s="1"/>
  <c r="C118" i="25"/>
  <c r="C117" i="25"/>
  <c r="D117" i="25" s="1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H116" i="25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E116" i="25"/>
  <c r="F116" i="25" s="1"/>
  <c r="G116" i="25" s="1"/>
  <c r="D116" i="25"/>
  <c r="C116" i="25"/>
  <c r="D115" i="25"/>
  <c r="E115" i="25" s="1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C115" i="25"/>
  <c r="E114" i="25"/>
  <c r="F114" i="25" s="1"/>
  <c r="G114" i="25" s="1"/>
  <c r="H114" i="25" s="1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D114" i="25"/>
  <c r="C114" i="25"/>
  <c r="K113" i="25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F113" i="25"/>
  <c r="G113" i="25" s="1"/>
  <c r="H113" i="25" s="1"/>
  <c r="I113" i="25" s="1"/>
  <c r="J113" i="25" s="1"/>
  <c r="C113" i="25"/>
  <c r="D113" i="25" s="1"/>
  <c r="E113" i="25" s="1"/>
  <c r="M112" i="25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L112" i="25"/>
  <c r="K112" i="25"/>
  <c r="J112" i="25"/>
  <c r="C112" i="25"/>
  <c r="D112" i="25" s="1"/>
  <c r="E112" i="25" s="1"/>
  <c r="F112" i="25" s="1"/>
  <c r="G112" i="25" s="1"/>
  <c r="H112" i="25" s="1"/>
  <c r="C111" i="25"/>
  <c r="D111" i="25" s="1"/>
  <c r="E111" i="25" s="1"/>
  <c r="F111" i="25" s="1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C110" i="25"/>
  <c r="D110" i="25" s="1"/>
  <c r="E110" i="25" s="1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D108" i="25"/>
  <c r="E108" i="25" s="1"/>
  <c r="F108" i="25" s="1"/>
  <c r="G108" i="25" s="1"/>
  <c r="H108" i="25" s="1"/>
  <c r="I108" i="25" s="1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C108" i="25"/>
  <c r="J107" i="25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E107" i="25"/>
  <c r="F107" i="25" s="1"/>
  <c r="G107" i="25" s="1"/>
  <c r="H107" i="25" s="1"/>
  <c r="I107" i="25" s="1"/>
  <c r="C107" i="25"/>
  <c r="D107" i="25" s="1"/>
  <c r="C105" i="25"/>
  <c r="D105" i="25" s="1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C104" i="25"/>
  <c r="D104" i="25" s="1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D103" i="25"/>
  <c r="E103" i="25" s="1"/>
  <c r="F103" i="25" s="1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C103" i="25"/>
  <c r="C102" i="25"/>
  <c r="D102" i="25" s="1"/>
  <c r="E102" i="25" s="1"/>
  <c r="F102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R102" i="25" s="1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C101" i="25"/>
  <c r="D101" i="25" s="1"/>
  <c r="E101" i="25" s="1"/>
  <c r="C100" i="25"/>
  <c r="AH97" i="25"/>
  <c r="AI97" i="25" s="1"/>
  <c r="AH96" i="25"/>
  <c r="AI96" i="25" s="1"/>
  <c r="AH95" i="25"/>
  <c r="AI95" i="25" s="1"/>
  <c r="AH94" i="25"/>
  <c r="AI94" i="25" s="1"/>
  <c r="AH93" i="25"/>
  <c r="AI93" i="25" s="1"/>
  <c r="C92" i="25"/>
  <c r="B92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G81" i="25"/>
  <c r="AI80" i="25"/>
  <c r="AH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B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J81" i="25" s="1"/>
  <c r="I76" i="25"/>
  <c r="H76" i="25"/>
  <c r="G76" i="25"/>
  <c r="F76" i="25"/>
  <c r="E76" i="25"/>
  <c r="D76" i="25"/>
  <c r="C76" i="25"/>
  <c r="B76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AI73" i="25"/>
  <c r="AH73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AI71" i="25" s="1"/>
  <c r="H71" i="25"/>
  <c r="G71" i="25"/>
  <c r="F71" i="25"/>
  <c r="E71" i="25"/>
  <c r="D71" i="25"/>
  <c r="C71" i="25"/>
  <c r="B71" i="25"/>
  <c r="AI70" i="25"/>
  <c r="AH70" i="25"/>
  <c r="AI69" i="25"/>
  <c r="AH69" i="25"/>
  <c r="AI68" i="25"/>
  <c r="AH68" i="25"/>
  <c r="AG67" i="25"/>
  <c r="AG72" i="25" s="1"/>
  <c r="AF67" i="25"/>
  <c r="AF5" i="25" s="1"/>
  <c r="AE67" i="25"/>
  <c r="AD67" i="25"/>
  <c r="AD5" i="25" s="1"/>
  <c r="AC67" i="25"/>
  <c r="AC5" i="25" s="1"/>
  <c r="AB67" i="25"/>
  <c r="AA67" i="25"/>
  <c r="AA5" i="25" s="1"/>
  <c r="Z67" i="25"/>
  <c r="Y67" i="25"/>
  <c r="Y5" i="25" s="1"/>
  <c r="X67" i="25"/>
  <c r="W67" i="25"/>
  <c r="V67" i="25"/>
  <c r="V5" i="25" s="1"/>
  <c r="U67" i="25"/>
  <c r="T67" i="25"/>
  <c r="S67" i="25"/>
  <c r="S5" i="25" s="1"/>
  <c r="R67" i="25"/>
  <c r="Q67" i="25"/>
  <c r="Q5" i="25" s="1"/>
  <c r="P67" i="25"/>
  <c r="P5" i="25" s="1"/>
  <c r="O67" i="25"/>
  <c r="O5" i="25" s="1"/>
  <c r="N67" i="25"/>
  <c r="N5" i="25" s="1"/>
  <c r="M67" i="25"/>
  <c r="L67" i="25"/>
  <c r="L5" i="25" s="1"/>
  <c r="K67" i="25"/>
  <c r="K5" i="25" s="1"/>
  <c r="J67" i="25"/>
  <c r="I67" i="25"/>
  <c r="H67" i="25"/>
  <c r="G67" i="25"/>
  <c r="F67" i="25"/>
  <c r="F5" i="25" s="1"/>
  <c r="E67" i="25"/>
  <c r="E5" i="25" s="1"/>
  <c r="D67" i="25"/>
  <c r="D5" i="25" s="1"/>
  <c r="C67" i="25"/>
  <c r="C5" i="25" s="1"/>
  <c r="B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G55" i="25"/>
  <c r="AG4" i="25" s="1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AI54" i="25"/>
  <c r="AH54" i="25"/>
  <c r="AI53" i="25"/>
  <c r="AH53" i="25"/>
  <c r="AI52" i="25"/>
  <c r="AH52" i="25"/>
  <c r="AG51" i="25"/>
  <c r="Y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AG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G37" i="25"/>
  <c r="AG2" i="25" s="1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2" i="25"/>
  <c r="AH12" i="25"/>
  <c r="AI11" i="25"/>
  <c r="AH11" i="25"/>
  <c r="AE5" i="25"/>
  <c r="AB5" i="25"/>
  <c r="Z5" i="25"/>
  <c r="W5" i="25"/>
  <c r="U5" i="25"/>
  <c r="T5" i="25"/>
  <c r="R5" i="25"/>
  <c r="M5" i="25"/>
  <c r="J5" i="25"/>
  <c r="G5" i="25"/>
  <c r="B5" i="25"/>
  <c r="K4" i="25"/>
  <c r="B4" i="25"/>
  <c r="AG3" i="25"/>
  <c r="AD36" i="24"/>
  <c r="AC36" i="24"/>
  <c r="AA36" i="24"/>
  <c r="X36" i="24"/>
  <c r="W36" i="24"/>
  <c r="U36" i="24"/>
  <c r="T36" i="24"/>
  <c r="S36" i="24"/>
  <c r="R36" i="24"/>
  <c r="Q94" i="24"/>
  <c r="Q36" i="24"/>
  <c r="P94" i="24"/>
  <c r="P36" i="24"/>
  <c r="E4" i="25"/>
  <c r="AC81" i="25" l="1"/>
  <c r="AF81" i="25"/>
  <c r="AE81" i="25"/>
  <c r="AB81" i="25"/>
  <c r="Z81" i="25"/>
  <c r="Y81" i="25"/>
  <c r="X81" i="25"/>
  <c r="W81" i="25"/>
  <c r="U81" i="25"/>
  <c r="T81" i="25"/>
  <c r="R81" i="25"/>
  <c r="R72" i="25"/>
  <c r="Q81" i="25"/>
  <c r="Q72" i="25"/>
  <c r="P81" i="25"/>
  <c r="P72" i="25"/>
  <c r="O81" i="25"/>
  <c r="N72" i="25"/>
  <c r="M81" i="25"/>
  <c r="M74" i="25"/>
  <c r="M7" i="25" s="1"/>
  <c r="L81" i="25"/>
  <c r="K72" i="25"/>
  <c r="J72" i="25"/>
  <c r="O74" i="25"/>
  <c r="AG212" i="25" s="1"/>
  <c r="I81" i="25"/>
  <c r="I72" i="25"/>
  <c r="H81" i="25"/>
  <c r="H74" i="25"/>
  <c r="H72" i="25"/>
  <c r="G81" i="25"/>
  <c r="G72" i="25"/>
  <c r="G74" i="25"/>
  <c r="Y212" i="25" s="1"/>
  <c r="AI79" i="25"/>
  <c r="AI77" i="25"/>
  <c r="E81" i="25"/>
  <c r="D81" i="25"/>
  <c r="D72" i="25"/>
  <c r="AH37" i="25"/>
  <c r="AI76" i="25"/>
  <c r="AI55" i="25"/>
  <c r="AH78" i="25"/>
  <c r="H4" i="25"/>
  <c r="AG6" i="25"/>
  <c r="J82" i="25"/>
  <c r="Z212" i="25"/>
  <c r="H7" i="25"/>
  <c r="F101" i="25"/>
  <c r="S209" i="25"/>
  <c r="D209" i="25"/>
  <c r="H5" i="25"/>
  <c r="AH67" i="25"/>
  <c r="AI67" i="25"/>
  <c r="C74" i="25"/>
  <c r="S74" i="25"/>
  <c r="B72" i="25"/>
  <c r="L72" i="25"/>
  <c r="AH77" i="25"/>
  <c r="R74" i="25"/>
  <c r="R82" i="25" s="1"/>
  <c r="I5" i="25"/>
  <c r="AH55" i="25"/>
  <c r="J74" i="25"/>
  <c r="O72" i="25"/>
  <c r="K74" i="25"/>
  <c r="AI75" i="25"/>
  <c r="AI78" i="25"/>
  <c r="AH79" i="25"/>
  <c r="E72" i="25"/>
  <c r="M72" i="25"/>
  <c r="M82" i="25" s="1"/>
  <c r="F72" i="25"/>
  <c r="C81" i="25"/>
  <c r="AH75" i="25"/>
  <c r="K81" i="25"/>
  <c r="S81" i="25"/>
  <c r="AA81" i="25"/>
  <c r="D92" i="25"/>
  <c r="Y72" i="25"/>
  <c r="N74" i="25"/>
  <c r="AI37" i="25"/>
  <c r="AH71" i="25"/>
  <c r="D74" i="25"/>
  <c r="D82" i="25" s="1"/>
  <c r="L74" i="25"/>
  <c r="C72" i="25"/>
  <c r="AH76" i="25"/>
  <c r="B81" i="25"/>
  <c r="X5" i="25"/>
  <c r="S72" i="25"/>
  <c r="E74" i="25"/>
  <c r="C190" i="25"/>
  <c r="D100" i="25"/>
  <c r="I74" i="25"/>
  <c r="I82" i="25" s="1"/>
  <c r="Q74" i="25"/>
  <c r="Y74" i="25"/>
  <c r="AG82" i="25"/>
  <c r="AG74" i="25"/>
  <c r="F74" i="25"/>
  <c r="P74" i="25"/>
  <c r="P82" i="25" s="1"/>
  <c r="F81" i="25"/>
  <c r="N81" i="25"/>
  <c r="V81" i="25"/>
  <c r="AD81" i="25"/>
  <c r="C198" i="25"/>
  <c r="D192" i="25"/>
  <c r="E197" i="25"/>
  <c r="Y82" i="25" l="1"/>
  <c r="S82" i="25"/>
  <c r="O82" i="25"/>
  <c r="AE212" i="25"/>
  <c r="L82" i="25"/>
  <c r="K82" i="25"/>
  <c r="O7" i="25"/>
  <c r="H82" i="25"/>
  <c r="G7" i="25"/>
  <c r="G82" i="25"/>
  <c r="F82" i="25"/>
  <c r="E82" i="25"/>
  <c r="AI81" i="25"/>
  <c r="AH81" i="25"/>
  <c r="AQ212" i="25"/>
  <c r="Y7" i="25"/>
  <c r="W212" i="25"/>
  <c r="E7" i="25"/>
  <c r="AB212" i="25"/>
  <c r="J7" i="25"/>
  <c r="AI212" i="25"/>
  <c r="Q7" i="25"/>
  <c r="E233" i="25"/>
  <c r="F197" i="25"/>
  <c r="Q82" i="25"/>
  <c r="C82" i="25"/>
  <c r="AF212" i="25"/>
  <c r="N7" i="25"/>
  <c r="N82" i="25"/>
  <c r="AK212" i="25"/>
  <c r="S7" i="25"/>
  <c r="B74" i="25"/>
  <c r="B82" i="25" s="1"/>
  <c r="D198" i="25"/>
  <c r="E192" i="25"/>
  <c r="AH212" i="25"/>
  <c r="P7" i="25"/>
  <c r="AA212" i="25"/>
  <c r="I7" i="25"/>
  <c r="AD212" i="25"/>
  <c r="L7" i="25"/>
  <c r="U212" i="25"/>
  <c r="C7" i="25"/>
  <c r="X212" i="25"/>
  <c r="C207" i="25"/>
  <c r="B207" i="25"/>
  <c r="F7" i="25"/>
  <c r="AJ212" i="25"/>
  <c r="R7" i="25"/>
  <c r="G101" i="25"/>
  <c r="D190" i="25"/>
  <c r="E100" i="25"/>
  <c r="V212" i="25"/>
  <c r="D7" i="25"/>
  <c r="AC212" i="25"/>
  <c r="K7" i="25"/>
  <c r="K6" i="25" l="1"/>
  <c r="T212" i="25"/>
  <c r="B7" i="25"/>
  <c r="F233" i="25"/>
  <c r="G197" i="25"/>
  <c r="E190" i="25"/>
  <c r="F100" i="25"/>
  <c r="F192" i="25"/>
  <c r="E198" i="25"/>
  <c r="E92" i="25"/>
  <c r="H101" i="25"/>
  <c r="G233" i="25" l="1"/>
  <c r="H197" i="25"/>
  <c r="I101" i="25"/>
  <c r="G192" i="25"/>
  <c r="F198" i="25"/>
  <c r="F92" i="25"/>
  <c r="F190" i="25"/>
  <c r="G100" i="25"/>
  <c r="H192" i="25" l="1"/>
  <c r="G198" i="25"/>
  <c r="G92" i="25"/>
  <c r="G190" i="25"/>
  <c r="H100" i="25"/>
  <c r="J101" i="25"/>
  <c r="H233" i="25"/>
  <c r="I197" i="25"/>
  <c r="K101" i="25" l="1"/>
  <c r="H190" i="25"/>
  <c r="I100" i="25"/>
  <c r="J197" i="25"/>
  <c r="I233" i="25"/>
  <c r="I192" i="25"/>
  <c r="H198" i="25"/>
  <c r="H92" i="25"/>
  <c r="I198" i="25" l="1"/>
  <c r="J192" i="25"/>
  <c r="I92" i="25"/>
  <c r="K197" i="25"/>
  <c r="J233" i="25"/>
  <c r="L101" i="25"/>
  <c r="I190" i="25"/>
  <c r="J100" i="25"/>
  <c r="M101" i="25" l="1"/>
  <c r="K233" i="25"/>
  <c r="L197" i="25"/>
  <c r="J198" i="25"/>
  <c r="K192" i="25"/>
  <c r="J92" i="25"/>
  <c r="J190" i="25"/>
  <c r="K100" i="25"/>
  <c r="K198" i="25" l="1"/>
  <c r="L192" i="25"/>
  <c r="K92" i="25"/>
  <c r="L233" i="25"/>
  <c r="M197" i="25"/>
  <c r="K190" i="25"/>
  <c r="L100" i="25"/>
  <c r="N101" i="25"/>
  <c r="L190" i="25" l="1"/>
  <c r="M100" i="25"/>
  <c r="M233" i="25"/>
  <c r="N197" i="25"/>
  <c r="L198" i="25"/>
  <c r="M192" i="25"/>
  <c r="L92" i="25"/>
  <c r="O101" i="25"/>
  <c r="P101" i="25" l="1"/>
  <c r="N192" i="25"/>
  <c r="M198" i="25"/>
  <c r="M92" i="25"/>
  <c r="N233" i="25"/>
  <c r="O197" i="25"/>
  <c r="M190" i="25"/>
  <c r="N100" i="25"/>
  <c r="O233" i="25" l="1"/>
  <c r="P197" i="25"/>
  <c r="O192" i="25"/>
  <c r="N198" i="25"/>
  <c r="N92" i="25"/>
  <c r="N190" i="25"/>
  <c r="O100" i="25"/>
  <c r="Q101" i="25"/>
  <c r="P192" i="25" l="1"/>
  <c r="O198" i="25"/>
  <c r="O92" i="25"/>
  <c r="P233" i="25"/>
  <c r="Q197" i="25"/>
  <c r="O190" i="25"/>
  <c r="P100" i="25"/>
  <c r="R101" i="25"/>
  <c r="S101" i="25" l="1"/>
  <c r="P190" i="25"/>
  <c r="Q100" i="25"/>
  <c r="R197" i="25"/>
  <c r="Q233" i="25"/>
  <c r="Q192" i="25"/>
  <c r="P198" i="25"/>
  <c r="P92" i="25"/>
  <c r="S197" i="25" l="1"/>
  <c r="R233" i="25"/>
  <c r="Q190" i="25"/>
  <c r="R100" i="25"/>
  <c r="T101" i="25"/>
  <c r="Q198" i="25"/>
  <c r="R192" i="25"/>
  <c r="Q92" i="25"/>
  <c r="R198" i="25" l="1"/>
  <c r="S192" i="25"/>
  <c r="R92" i="25"/>
  <c r="U101" i="25"/>
  <c r="R190" i="25"/>
  <c r="S100" i="25"/>
  <c r="S233" i="25"/>
  <c r="T197" i="25"/>
  <c r="S190" i="25" l="1"/>
  <c r="T100" i="25"/>
  <c r="V101" i="25"/>
  <c r="S198" i="25"/>
  <c r="T192" i="25"/>
  <c r="S92" i="25"/>
  <c r="T233" i="25"/>
  <c r="U197" i="25"/>
  <c r="T198" i="25" l="1"/>
  <c r="T50" i="25" s="1"/>
  <c r="U192" i="25"/>
  <c r="T92" i="25"/>
  <c r="W101" i="25"/>
  <c r="T190" i="25"/>
  <c r="U100" i="25"/>
  <c r="U233" i="25"/>
  <c r="V197" i="25"/>
  <c r="X101" i="25" l="1"/>
  <c r="U190" i="25"/>
  <c r="V100" i="25"/>
  <c r="V192" i="25"/>
  <c r="U198" i="25"/>
  <c r="U50" i="25" s="1"/>
  <c r="U51" i="25" s="1"/>
  <c r="U92" i="25"/>
  <c r="V233" i="25"/>
  <c r="W197" i="25"/>
  <c r="T51" i="25"/>
  <c r="Y101" i="25" l="1"/>
  <c r="U72" i="25"/>
  <c r="U74" i="25"/>
  <c r="W192" i="25"/>
  <c r="V198" i="25"/>
  <c r="V50" i="25" s="1"/>
  <c r="V51" i="25" s="1"/>
  <c r="V92" i="25"/>
  <c r="T72" i="25"/>
  <c r="T74" i="25"/>
  <c r="V190" i="25"/>
  <c r="W100" i="25"/>
  <c r="W233" i="25"/>
  <c r="X197" i="25"/>
  <c r="W190" i="25" l="1"/>
  <c r="X100" i="25"/>
  <c r="U82" i="25"/>
  <c r="Z101" i="25"/>
  <c r="V74" i="25"/>
  <c r="V72" i="25"/>
  <c r="X192" i="25"/>
  <c r="W198" i="25"/>
  <c r="W92" i="25"/>
  <c r="AM212" i="25"/>
  <c r="U7" i="25"/>
  <c r="AL212" i="25"/>
  <c r="T7" i="25"/>
  <c r="X233" i="25"/>
  <c r="Y197" i="25"/>
  <c r="T82" i="25"/>
  <c r="V82" i="25" l="1"/>
  <c r="AA101" i="25"/>
  <c r="AN212" i="25"/>
  <c r="V7" i="25"/>
  <c r="Z197" i="25"/>
  <c r="Y233" i="25"/>
  <c r="X190" i="25"/>
  <c r="Y100" i="25"/>
  <c r="W51" i="25"/>
  <c r="Y192" i="25"/>
  <c r="X198" i="25"/>
  <c r="X50" i="25" s="1"/>
  <c r="X92" i="25"/>
  <c r="W74" i="25" l="1"/>
  <c r="W72" i="25"/>
  <c r="AA197" i="25"/>
  <c r="Z233" i="25"/>
  <c r="AB101" i="25"/>
  <c r="X51" i="25"/>
  <c r="Y198" i="25"/>
  <c r="Z192" i="25"/>
  <c r="Y92" i="25"/>
  <c r="Y190" i="25"/>
  <c r="Z100" i="25"/>
  <c r="AC101" i="25" l="1"/>
  <c r="Z190" i="25"/>
  <c r="AA100" i="25"/>
  <c r="AA233" i="25"/>
  <c r="AB197" i="25"/>
  <c r="Z198" i="25"/>
  <c r="Z50" i="25" s="1"/>
  <c r="AA192" i="25"/>
  <c r="Z92" i="25"/>
  <c r="W82" i="25"/>
  <c r="AO212" i="25"/>
  <c r="W7" i="25"/>
  <c r="X72" i="25"/>
  <c r="X74" i="25"/>
  <c r="AB233" i="25" l="1"/>
  <c r="AC197" i="25"/>
  <c r="AA190" i="25"/>
  <c r="AB100" i="25"/>
  <c r="Z51" i="25"/>
  <c r="AA198" i="25"/>
  <c r="AA50" i="25" s="1"/>
  <c r="AA51" i="25" s="1"/>
  <c r="AB192" i="25"/>
  <c r="AA92" i="25"/>
  <c r="AP212" i="25"/>
  <c r="X7" i="25"/>
  <c r="X82" i="25"/>
  <c r="AD101" i="25"/>
  <c r="Z74" i="25" l="1"/>
  <c r="Z72" i="25"/>
  <c r="AB190" i="25"/>
  <c r="AC100" i="25"/>
  <c r="AB198" i="25"/>
  <c r="AB50" i="25" s="1"/>
  <c r="AC192" i="25"/>
  <c r="AB92" i="25"/>
  <c r="AE101" i="25"/>
  <c r="AA74" i="25"/>
  <c r="AA72" i="25"/>
  <c r="AC233" i="25"/>
  <c r="AD197" i="25"/>
  <c r="AA82" i="25" l="1"/>
  <c r="AD192" i="25"/>
  <c r="AC198" i="25"/>
  <c r="AC50" i="25" s="1"/>
  <c r="AC51" i="25" s="1"/>
  <c r="AC92" i="25"/>
  <c r="AB51" i="25"/>
  <c r="AC190" i="25"/>
  <c r="AD100" i="25"/>
  <c r="AS212" i="25"/>
  <c r="AA7" i="25"/>
  <c r="Z82" i="25"/>
  <c r="AD233" i="25"/>
  <c r="AE197" i="25"/>
  <c r="AR212" i="25"/>
  <c r="Z7" i="25"/>
  <c r="AF101" i="25"/>
  <c r="AD190" i="25" l="1"/>
  <c r="AE100" i="25"/>
  <c r="AB72" i="25"/>
  <c r="AB74" i="25"/>
  <c r="AE233" i="25"/>
  <c r="AF197" i="25"/>
  <c r="AF233" i="25" s="1"/>
  <c r="AC74" i="25"/>
  <c r="AC72" i="25"/>
  <c r="AE192" i="25"/>
  <c r="AD198" i="25"/>
  <c r="AD50" i="25" s="1"/>
  <c r="AD51" i="25" s="1"/>
  <c r="AD92" i="25"/>
  <c r="AB82" i="25" l="1"/>
  <c r="AD72" i="25"/>
  <c r="AD74" i="25"/>
  <c r="AT212" i="25"/>
  <c r="AB7" i="25"/>
  <c r="AF192" i="25"/>
  <c r="AE198" i="25"/>
  <c r="AE50" i="25" s="1"/>
  <c r="AE51" i="25" s="1"/>
  <c r="AE92" i="25"/>
  <c r="AC82" i="25"/>
  <c r="AE190" i="25"/>
  <c r="AF100" i="25"/>
  <c r="AF190" i="25" s="1"/>
  <c r="AU212" i="25"/>
  <c r="AC7" i="25"/>
  <c r="AF198" i="25" l="1"/>
  <c r="AF50" i="25" s="1"/>
  <c r="AF92" i="25"/>
  <c r="AV212" i="25"/>
  <c r="AD7" i="25"/>
  <c r="AE72" i="25"/>
  <c r="AE74" i="25"/>
  <c r="AD82" i="25"/>
  <c r="AW212" i="25" l="1"/>
  <c r="AE7" i="25"/>
  <c r="AH92" i="25"/>
  <c r="AI92" i="25"/>
  <c r="AE82" i="25"/>
  <c r="AF51" i="25"/>
  <c r="AI50" i="25"/>
  <c r="AH50" i="25"/>
  <c r="AF72" i="25" l="1"/>
  <c r="AF74" i="25"/>
  <c r="AI51" i="25"/>
  <c r="AH51" i="25"/>
  <c r="AX212" i="25" l="1"/>
  <c r="AF7" i="25"/>
  <c r="A7" i="25" s="1"/>
  <c r="AH74" i="25"/>
  <c r="AI74" i="25"/>
  <c r="AF82" i="25"/>
  <c r="AH72" i="25"/>
  <c r="AI72" i="25"/>
  <c r="AH82" i="25" l="1"/>
  <c r="AI82" i="25"/>
  <c r="O94" i="24" l="1"/>
  <c r="O36" i="24"/>
  <c r="N94" i="24"/>
  <c r="N36" i="24"/>
  <c r="M94" i="24"/>
  <c r="M36" i="24"/>
  <c r="L94" i="24"/>
  <c r="L36" i="24"/>
  <c r="K36" i="24"/>
  <c r="J36" i="24"/>
  <c r="I36" i="24"/>
  <c r="AL12" i="24"/>
  <c r="AL11" i="24"/>
  <c r="AK11" i="24"/>
  <c r="H36" i="24"/>
  <c r="G36" i="24"/>
  <c r="E36" i="24"/>
  <c r="D36" i="24"/>
  <c r="C36" i="24"/>
  <c r="AH98" i="24"/>
  <c r="AI98" i="24" s="1"/>
  <c r="B36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AF234" i="24"/>
  <c r="AE234" i="24"/>
  <c r="AD234" i="24"/>
  <c r="AC234" i="24"/>
  <c r="AB234" i="24"/>
  <c r="AA234" i="24"/>
  <c r="Z234" i="24"/>
  <c r="Y234" i="24"/>
  <c r="X234" i="24"/>
  <c r="W234" i="24"/>
  <c r="V234" i="24"/>
  <c r="U234" i="24"/>
  <c r="T234" i="24"/>
  <c r="S234" i="24"/>
  <c r="R234" i="24"/>
  <c r="Q234" i="24"/>
  <c r="P234" i="24"/>
  <c r="O234" i="24"/>
  <c r="N234" i="24"/>
  <c r="M234" i="24"/>
  <c r="L234" i="24"/>
  <c r="K234" i="24"/>
  <c r="J234" i="24"/>
  <c r="I234" i="24"/>
  <c r="H234" i="24"/>
  <c r="G234" i="24"/>
  <c r="F234" i="24"/>
  <c r="E234" i="24"/>
  <c r="D234" i="24"/>
  <c r="C234" i="24"/>
  <c r="B234" i="24"/>
  <c r="A234" i="24"/>
  <c r="C233" i="24"/>
  <c r="B233" i="24"/>
  <c r="S208" i="24"/>
  <c r="AG198" i="24"/>
  <c r="C198" i="24"/>
  <c r="B198" i="24"/>
  <c r="F197" i="24"/>
  <c r="F233" i="24" s="1"/>
  <c r="E197" i="24"/>
  <c r="E233" i="24" s="1"/>
  <c r="D197" i="24"/>
  <c r="D233" i="24" s="1"/>
  <c r="C197" i="24"/>
  <c r="D196" i="24"/>
  <c r="E196" i="24" s="1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C196" i="24"/>
  <c r="C195" i="24"/>
  <c r="D195" i="24" s="1"/>
  <c r="E195" i="24" s="1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D194" i="24"/>
  <c r="E194" i="24" s="1"/>
  <c r="F194" i="24" s="1"/>
  <c r="G194" i="24" s="1"/>
  <c r="H194" i="24" s="1"/>
  <c r="I194" i="24" s="1"/>
  <c r="J194" i="24" s="1"/>
  <c r="K194" i="24" s="1"/>
  <c r="L194" i="24" s="1"/>
  <c r="M194" i="24" s="1"/>
  <c r="N194" i="24" s="1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C194" i="24"/>
  <c r="D193" i="24"/>
  <c r="E193" i="24" s="1"/>
  <c r="F193" i="24" s="1"/>
  <c r="G193" i="24" s="1"/>
  <c r="H193" i="24" s="1"/>
  <c r="I193" i="24" s="1"/>
  <c r="J193" i="24" s="1"/>
  <c r="K193" i="24" s="1"/>
  <c r="L193" i="24" s="1"/>
  <c r="M193" i="24" s="1"/>
  <c r="N193" i="24" s="1"/>
  <c r="O193" i="24" s="1"/>
  <c r="P193" i="24" s="1"/>
  <c r="Q193" i="24" s="1"/>
  <c r="R193" i="24" s="1"/>
  <c r="S193" i="24" s="1"/>
  <c r="T193" i="24" s="1"/>
  <c r="U193" i="24" s="1"/>
  <c r="V193" i="24" s="1"/>
  <c r="W193" i="24" s="1"/>
  <c r="X193" i="24" s="1"/>
  <c r="Y193" i="24" s="1"/>
  <c r="Z193" i="24" s="1"/>
  <c r="AA193" i="24" s="1"/>
  <c r="AB193" i="24" s="1"/>
  <c r="AC193" i="24" s="1"/>
  <c r="AD193" i="24" s="1"/>
  <c r="AE193" i="24" s="1"/>
  <c r="AF193" i="24" s="1"/>
  <c r="C193" i="24"/>
  <c r="E192" i="24"/>
  <c r="F192" i="24" s="1"/>
  <c r="D192" i="24"/>
  <c r="D198" i="24" s="1"/>
  <c r="C192" i="24"/>
  <c r="AG190" i="24"/>
  <c r="B190" i="24"/>
  <c r="C189" i="24"/>
  <c r="D189" i="24" s="1"/>
  <c r="E189" i="24" s="1"/>
  <c r="F189" i="24" s="1"/>
  <c r="G189" i="24" s="1"/>
  <c r="H189" i="24" s="1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D188" i="24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C188" i="24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C187" i="24"/>
  <c r="C186" i="24"/>
  <c r="D186" i="24" s="1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C185" i="24"/>
  <c r="D185" i="24" s="1"/>
  <c r="E185" i="24" s="1"/>
  <c r="F185" i="24" s="1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L184" i="24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D184" i="24"/>
  <c r="E184" i="24" s="1"/>
  <c r="F184" i="24" s="1"/>
  <c r="G184" i="24" s="1"/>
  <c r="H184" i="24" s="1"/>
  <c r="I184" i="24" s="1"/>
  <c r="J184" i="24" s="1"/>
  <c r="K184" i="24" s="1"/>
  <c r="C184" i="24"/>
  <c r="D183" i="24"/>
  <c r="E183" i="24" s="1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C183" i="24"/>
  <c r="H182" i="24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C182" i="24"/>
  <c r="D182" i="24" s="1"/>
  <c r="E182" i="24" s="1"/>
  <c r="F182" i="24" s="1"/>
  <c r="G182" i="24" s="1"/>
  <c r="S181" i="24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C181" i="24"/>
  <c r="D181" i="24" s="1"/>
  <c r="E181" i="24" s="1"/>
  <c r="F181" i="24" s="1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N180" i="24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D180" i="24"/>
  <c r="E180" i="24" s="1"/>
  <c r="F180" i="24" s="1"/>
  <c r="G180" i="24" s="1"/>
  <c r="H180" i="24" s="1"/>
  <c r="I180" i="24" s="1"/>
  <c r="J180" i="24" s="1"/>
  <c r="K180" i="24" s="1"/>
  <c r="L180" i="24" s="1"/>
  <c r="M180" i="24" s="1"/>
  <c r="C180" i="24"/>
  <c r="E179" i="24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D179" i="24"/>
  <c r="C179" i="24"/>
  <c r="C178" i="24"/>
  <c r="D178" i="24" s="1"/>
  <c r="E178" i="24" s="1"/>
  <c r="F178" i="24" s="1"/>
  <c r="G178" i="24" s="1"/>
  <c r="H178" i="24" s="1"/>
  <c r="I178" i="24" s="1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E177" i="24"/>
  <c r="F177" i="24" s="1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C177" i="24"/>
  <c r="D177" i="24" s="1"/>
  <c r="C175" i="24"/>
  <c r="D175" i="24" s="1"/>
  <c r="E175" i="24" s="1"/>
  <c r="F175" i="24" s="1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I174" i="24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C174" i="24"/>
  <c r="D174" i="24" s="1"/>
  <c r="E174" i="24" s="1"/>
  <c r="F174" i="24" s="1"/>
  <c r="G174" i="24" s="1"/>
  <c r="H174" i="24" s="1"/>
  <c r="D173" i="24"/>
  <c r="E173" i="24" s="1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C173" i="24"/>
  <c r="C172" i="24"/>
  <c r="D172" i="24" s="1"/>
  <c r="E172" i="24" s="1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E171" i="24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C171" i="24"/>
  <c r="D171" i="24" s="1"/>
  <c r="D170" i="24"/>
  <c r="E170" i="24" s="1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C170" i="24"/>
  <c r="D169" i="24"/>
  <c r="E169" i="24" s="1"/>
  <c r="F169" i="24" s="1"/>
  <c r="G169" i="24" s="1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C169" i="24"/>
  <c r="C168" i="24"/>
  <c r="D168" i="24" s="1"/>
  <c r="E168" i="24" s="1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H166" i="24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C166" i="24"/>
  <c r="D166" i="24" s="1"/>
  <c r="E166" i="24" s="1"/>
  <c r="F166" i="24" s="1"/>
  <c r="G166" i="24" s="1"/>
  <c r="C165" i="24"/>
  <c r="D165" i="24" s="1"/>
  <c r="E165" i="24" s="1"/>
  <c r="F165" i="24" s="1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D164" i="24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C164" i="24"/>
  <c r="U163" i="24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E163" i="24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C163" i="24"/>
  <c r="D163" i="24" s="1"/>
  <c r="E162" i="24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C162" i="24"/>
  <c r="D162" i="24" s="1"/>
  <c r="S161" i="24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D161" i="24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C161" i="24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C160" i="24"/>
  <c r="O159" i="24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E159" i="24"/>
  <c r="F159" i="24" s="1"/>
  <c r="G159" i="24" s="1"/>
  <c r="H159" i="24" s="1"/>
  <c r="I159" i="24" s="1"/>
  <c r="J159" i="24" s="1"/>
  <c r="K159" i="24" s="1"/>
  <c r="L159" i="24" s="1"/>
  <c r="M159" i="24" s="1"/>
  <c r="N159" i="24" s="1"/>
  <c r="C159" i="24"/>
  <c r="D159" i="24" s="1"/>
  <c r="C158" i="24"/>
  <c r="D158" i="24" s="1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U157" i="24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C157" i="24"/>
  <c r="D157" i="24" s="1"/>
  <c r="E157" i="24" s="1"/>
  <c r="F157" i="24" s="1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E156" i="24"/>
  <c r="F156" i="24" s="1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D156" i="24"/>
  <c r="C156" i="24"/>
  <c r="C155" i="24"/>
  <c r="D155" i="24" s="1"/>
  <c r="E155" i="24" s="1"/>
  <c r="F155" i="24" s="1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K154" i="24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C154" i="24"/>
  <c r="D154" i="24" s="1"/>
  <c r="E154" i="24" s="1"/>
  <c r="F154" i="24" s="1"/>
  <c r="G154" i="24" s="1"/>
  <c r="H154" i="24" s="1"/>
  <c r="I154" i="24" s="1"/>
  <c r="J154" i="24" s="1"/>
  <c r="G152" i="24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D152" i="24"/>
  <c r="E152" i="24" s="1"/>
  <c r="F152" i="24" s="1"/>
  <c r="C152" i="24"/>
  <c r="D151" i="24"/>
  <c r="E151" i="24" s="1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C151" i="24"/>
  <c r="H150" i="24"/>
  <c r="I150" i="24" s="1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C150" i="24"/>
  <c r="D150" i="24" s="1"/>
  <c r="E150" i="24" s="1"/>
  <c r="F150" i="24" s="1"/>
  <c r="G150" i="24" s="1"/>
  <c r="C149" i="24"/>
  <c r="D149" i="24" s="1"/>
  <c r="E149" i="24" s="1"/>
  <c r="F149" i="24" s="1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C147" i="24"/>
  <c r="D147" i="24" s="1"/>
  <c r="E147" i="24" s="1"/>
  <c r="F147" i="24" s="1"/>
  <c r="G147" i="24" s="1"/>
  <c r="H147" i="24" s="1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E146" i="24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D146" i="24"/>
  <c r="C146" i="24"/>
  <c r="E144" i="24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C144" i="24"/>
  <c r="D144" i="24" s="1"/>
  <c r="M143" i="24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C143" i="24"/>
  <c r="D143" i="24" s="1"/>
  <c r="E143" i="24" s="1"/>
  <c r="F143" i="24" s="1"/>
  <c r="G143" i="24" s="1"/>
  <c r="H143" i="24" s="1"/>
  <c r="I143" i="24" s="1"/>
  <c r="J143" i="24" s="1"/>
  <c r="K143" i="24" s="1"/>
  <c r="L143" i="24" s="1"/>
  <c r="K142" i="24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C142" i="24"/>
  <c r="D142" i="24" s="1"/>
  <c r="E142" i="24" s="1"/>
  <c r="F142" i="24" s="1"/>
  <c r="G142" i="24" s="1"/>
  <c r="H142" i="24" s="1"/>
  <c r="I142" i="24" s="1"/>
  <c r="J142" i="24" s="1"/>
  <c r="G141" i="24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E141" i="24"/>
  <c r="F141" i="24" s="1"/>
  <c r="D141" i="24"/>
  <c r="C141" i="24"/>
  <c r="H140" i="24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F140" i="24"/>
  <c r="G140" i="24" s="1"/>
  <c r="E140" i="24"/>
  <c r="C140" i="24"/>
  <c r="D140" i="24" s="1"/>
  <c r="F139" i="24"/>
  <c r="G139" i="24" s="1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D139" i="24"/>
  <c r="E139" i="24" s="1"/>
  <c r="C139" i="24"/>
  <c r="G138" i="24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D138" i="24"/>
  <c r="E138" i="24" s="1"/>
  <c r="F138" i="24" s="1"/>
  <c r="C138" i="24"/>
  <c r="H136" i="24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C136" i="24"/>
  <c r="D136" i="24" s="1"/>
  <c r="E136" i="24" s="1"/>
  <c r="F136" i="24" s="1"/>
  <c r="G136" i="24" s="1"/>
  <c r="F135" i="24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D135" i="24"/>
  <c r="E135" i="24" s="1"/>
  <c r="C135" i="24"/>
  <c r="V134" i="24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D134" i="24"/>
  <c r="E134" i="24" s="1"/>
  <c r="F134" i="24" s="1"/>
  <c r="G134" i="24" s="1"/>
  <c r="H134" i="24" s="1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C134" i="24"/>
  <c r="H133" i="24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D133" i="24"/>
  <c r="E133" i="24" s="1"/>
  <c r="F133" i="24" s="1"/>
  <c r="G133" i="24" s="1"/>
  <c r="C133" i="24"/>
  <c r="H132" i="24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F132" i="24"/>
  <c r="G132" i="24" s="1"/>
  <c r="C132" i="24"/>
  <c r="D132" i="24" s="1"/>
  <c r="E132" i="24" s="1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C131" i="24"/>
  <c r="D130" i="24"/>
  <c r="E130" i="24" s="1"/>
  <c r="F130" i="24" s="1"/>
  <c r="G130" i="24" s="1"/>
  <c r="H130" i="24" s="1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C130" i="24"/>
  <c r="D129" i="24"/>
  <c r="E129" i="24" s="1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C129" i="24"/>
  <c r="C127" i="24"/>
  <c r="D127" i="24" s="1"/>
  <c r="E127" i="24" s="1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E126" i="24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D126" i="24"/>
  <c r="C126" i="24"/>
  <c r="J125" i="24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C125" i="24"/>
  <c r="D125" i="24" s="1"/>
  <c r="E125" i="24" s="1"/>
  <c r="F125" i="24" s="1"/>
  <c r="G125" i="24" s="1"/>
  <c r="H125" i="24" s="1"/>
  <c r="I125" i="24" s="1"/>
  <c r="M124" i="24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E124" i="24"/>
  <c r="F124" i="24" s="1"/>
  <c r="G124" i="24" s="1"/>
  <c r="H124" i="24" s="1"/>
  <c r="I124" i="24" s="1"/>
  <c r="J124" i="24" s="1"/>
  <c r="K124" i="24" s="1"/>
  <c r="L124" i="24" s="1"/>
  <c r="D124" i="24"/>
  <c r="C124" i="24"/>
  <c r="G123" i="24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C123" i="24"/>
  <c r="D123" i="24" s="1"/>
  <c r="E123" i="24" s="1"/>
  <c r="F123" i="24" s="1"/>
  <c r="L122" i="24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D122" i="24"/>
  <c r="E122" i="24" s="1"/>
  <c r="F122" i="24" s="1"/>
  <c r="G122" i="24" s="1"/>
  <c r="H122" i="24" s="1"/>
  <c r="I122" i="24" s="1"/>
  <c r="J122" i="24" s="1"/>
  <c r="K122" i="24" s="1"/>
  <c r="C122" i="24"/>
  <c r="D121" i="24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C121" i="24"/>
  <c r="D120" i="24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C120" i="24"/>
  <c r="E119" i="24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D119" i="24"/>
  <c r="C119" i="24"/>
  <c r="F118" i="24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D118" i="24"/>
  <c r="E118" i="24" s="1"/>
  <c r="C118" i="24"/>
  <c r="I117" i="24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C117" i="24"/>
  <c r="D117" i="24" s="1"/>
  <c r="E117" i="24" s="1"/>
  <c r="F117" i="24" s="1"/>
  <c r="G117" i="24" s="1"/>
  <c r="H117" i="24" s="1"/>
  <c r="D116" i="24"/>
  <c r="E116" i="24" s="1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C116" i="24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C115" i="24"/>
  <c r="C114" i="24"/>
  <c r="D114" i="24" s="1"/>
  <c r="E114" i="24" s="1"/>
  <c r="F114" i="24" s="1"/>
  <c r="G114" i="24" s="1"/>
  <c r="H114" i="24" s="1"/>
  <c r="I114" i="24" s="1"/>
  <c r="J114" i="24" s="1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C113" i="24"/>
  <c r="D113" i="24" s="1"/>
  <c r="E113" i="24" s="1"/>
  <c r="F113" i="24" s="1"/>
  <c r="G113" i="24" s="1"/>
  <c r="H113" i="24" s="1"/>
  <c r="I113" i="24" s="1"/>
  <c r="J113" i="24" s="1"/>
  <c r="K113" i="24" s="1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N112" i="24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L112" i="24"/>
  <c r="M112" i="24" s="1"/>
  <c r="J112" i="24"/>
  <c r="K112" i="24" s="1"/>
  <c r="D112" i="24"/>
  <c r="E112" i="24" s="1"/>
  <c r="F112" i="24" s="1"/>
  <c r="G112" i="24" s="1"/>
  <c r="H112" i="24" s="1"/>
  <c r="C112" i="24"/>
  <c r="D111" i="24"/>
  <c r="E111" i="24" s="1"/>
  <c r="F111" i="24" s="1"/>
  <c r="G111" i="24" s="1"/>
  <c r="H111" i="24" s="1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C111" i="24"/>
  <c r="G110" i="24"/>
  <c r="H110" i="24" s="1"/>
  <c r="I110" i="24" s="1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C110" i="24"/>
  <c r="D110" i="24" s="1"/>
  <c r="E110" i="24" s="1"/>
  <c r="F110" i="24" s="1"/>
  <c r="C108" i="24"/>
  <c r="D108" i="24" s="1"/>
  <c r="E108" i="24" s="1"/>
  <c r="F108" i="24" s="1"/>
  <c r="G108" i="24" s="1"/>
  <c r="H108" i="24" s="1"/>
  <c r="I108" i="24" s="1"/>
  <c r="J108" i="24" s="1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E107" i="24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C107" i="24"/>
  <c r="D107" i="24" s="1"/>
  <c r="E105" i="24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C105" i="24"/>
  <c r="D105" i="24" s="1"/>
  <c r="D104" i="24"/>
  <c r="E104" i="24" s="1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C104" i="24"/>
  <c r="D103" i="24"/>
  <c r="E103" i="24" s="1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C103" i="24"/>
  <c r="C102" i="24"/>
  <c r="D102" i="24" s="1"/>
  <c r="E102" i="24" s="1"/>
  <c r="F102" i="24" s="1"/>
  <c r="G102" i="24" s="1"/>
  <c r="H102" i="24" s="1"/>
  <c r="I102" i="24" s="1"/>
  <c r="J102" i="24" s="1"/>
  <c r="K102" i="24" s="1"/>
  <c r="L102" i="24" s="1"/>
  <c r="M102" i="24" s="1"/>
  <c r="N102" i="24" s="1"/>
  <c r="O102" i="24" s="1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AA102" i="24" s="1"/>
  <c r="AB102" i="24" s="1"/>
  <c r="AC102" i="24" s="1"/>
  <c r="AD102" i="24" s="1"/>
  <c r="AE102" i="24" s="1"/>
  <c r="AF102" i="24" s="1"/>
  <c r="C101" i="24"/>
  <c r="D101" i="24" s="1"/>
  <c r="E101" i="24" s="1"/>
  <c r="E92" i="24" s="1"/>
  <c r="D100" i="24"/>
  <c r="C100" i="24"/>
  <c r="AH97" i="24"/>
  <c r="AI97" i="24" s="1"/>
  <c r="AH96" i="24"/>
  <c r="AI96" i="24" s="1"/>
  <c r="AH95" i="24"/>
  <c r="AI95" i="24" s="1"/>
  <c r="AH94" i="24"/>
  <c r="AI94" i="24" s="1"/>
  <c r="AH93" i="24"/>
  <c r="AI93" i="24" s="1"/>
  <c r="B92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3" i="24"/>
  <c r="AH83" i="24"/>
  <c r="AG81" i="24"/>
  <c r="AI80" i="24"/>
  <c r="AH80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B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AF75" i="24"/>
  <c r="AE75" i="24"/>
  <c r="AD75" i="24"/>
  <c r="AD81" i="24" s="1"/>
  <c r="AC75" i="24"/>
  <c r="AB75" i="24"/>
  <c r="AA75" i="24"/>
  <c r="Z75" i="24"/>
  <c r="Y75" i="24"/>
  <c r="Y81" i="24" s="1"/>
  <c r="X75" i="24"/>
  <c r="W75" i="24"/>
  <c r="W81" i="24" s="1"/>
  <c r="V75" i="24"/>
  <c r="U75" i="24"/>
  <c r="T75" i="24"/>
  <c r="S75" i="24"/>
  <c r="R75" i="24"/>
  <c r="Q75" i="24"/>
  <c r="P75" i="24"/>
  <c r="P81" i="24" s="1"/>
  <c r="O75" i="24"/>
  <c r="O81" i="24" s="1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AI73" i="24"/>
  <c r="AH73" i="24"/>
  <c r="AG71" i="24"/>
  <c r="AG74" i="24" s="1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AI70" i="24"/>
  <c r="AH70" i="24"/>
  <c r="AI69" i="24"/>
  <c r="AH69" i="24"/>
  <c r="AI68" i="24"/>
  <c r="AH68" i="24"/>
  <c r="AG67" i="24"/>
  <c r="AG72" i="24" s="1"/>
  <c r="AF67" i="24"/>
  <c r="AE67" i="24"/>
  <c r="AD67" i="24"/>
  <c r="AD5" i="24" s="1"/>
  <c r="AC67" i="24"/>
  <c r="AB67" i="24"/>
  <c r="AB5" i="24" s="1"/>
  <c r="AA67" i="24"/>
  <c r="AA5" i="24" s="1"/>
  <c r="Z67" i="24"/>
  <c r="Z5" i="24" s="1"/>
  <c r="Y67" i="24"/>
  <c r="Y5" i="24" s="1"/>
  <c r="X67" i="24"/>
  <c r="W67" i="24"/>
  <c r="W5" i="24" s="1"/>
  <c r="V67" i="24"/>
  <c r="U67" i="24"/>
  <c r="T67" i="24"/>
  <c r="T5" i="24" s="1"/>
  <c r="S67" i="24"/>
  <c r="S5" i="24" s="1"/>
  <c r="R67" i="24"/>
  <c r="R5" i="24" s="1"/>
  <c r="Q67" i="24"/>
  <c r="Q5" i="24" s="1"/>
  <c r="P67" i="24"/>
  <c r="P5" i="24" s="1"/>
  <c r="O67" i="24"/>
  <c r="N67" i="24"/>
  <c r="M67" i="24"/>
  <c r="M5" i="24" s="1"/>
  <c r="L67" i="24"/>
  <c r="K67" i="24"/>
  <c r="J67" i="24"/>
  <c r="J5" i="24" s="1"/>
  <c r="I67" i="24"/>
  <c r="I5" i="24" s="1"/>
  <c r="H67" i="24"/>
  <c r="G67" i="24"/>
  <c r="F67" i="24"/>
  <c r="F5" i="24" s="1"/>
  <c r="E67" i="24"/>
  <c r="D67" i="24"/>
  <c r="D5" i="24" s="1"/>
  <c r="C67" i="24"/>
  <c r="C5" i="24" s="1"/>
  <c r="B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G55" i="24"/>
  <c r="AG4" i="24" s="1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AI54" i="24"/>
  <c r="AH54" i="24"/>
  <c r="AI53" i="24"/>
  <c r="AH53" i="24"/>
  <c r="AI52" i="24"/>
  <c r="AH52" i="24"/>
  <c r="AG51" i="24"/>
  <c r="AG3" i="24" s="1"/>
  <c r="AG6" i="24" s="1"/>
  <c r="Y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AK13" i="24" s="1"/>
  <c r="AL13" i="24" s="1"/>
  <c r="G51" i="24"/>
  <c r="F51" i="24"/>
  <c r="E51" i="24"/>
  <c r="D51" i="24"/>
  <c r="C51" i="24"/>
  <c r="B51" i="24"/>
  <c r="AG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E74" i="24" s="1"/>
  <c r="D37" i="24"/>
  <c r="C37" i="24"/>
  <c r="B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2" i="24"/>
  <c r="AH12" i="24"/>
  <c r="AI11" i="24"/>
  <c r="AH11" i="24"/>
  <c r="AF5" i="24"/>
  <c r="AE5" i="24"/>
  <c r="AC5" i="24"/>
  <c r="X5" i="24"/>
  <c r="V5" i="24"/>
  <c r="U5" i="24"/>
  <c r="O5" i="24"/>
  <c r="N5" i="24"/>
  <c r="L5" i="24"/>
  <c r="K5" i="24"/>
  <c r="H5" i="24"/>
  <c r="G5" i="24"/>
  <c r="E5" i="24"/>
  <c r="B5" i="24"/>
  <c r="K4" i="24"/>
  <c r="B4" i="24"/>
  <c r="AG2" i="24"/>
  <c r="AF36" i="23"/>
  <c r="AE36" i="23"/>
  <c r="AD36" i="23"/>
  <c r="AC36" i="23"/>
  <c r="AB36" i="23"/>
  <c r="AA36" i="23"/>
  <c r="X94" i="23"/>
  <c r="X36" i="23"/>
  <c r="W36" i="23"/>
  <c r="V94" i="23"/>
  <c r="V36" i="23"/>
  <c r="Z94" i="23"/>
  <c r="Z36" i="23"/>
  <c r="E4" i="24"/>
  <c r="AF81" i="24" l="1"/>
  <c r="AE81" i="24"/>
  <c r="AC81" i="24"/>
  <c r="AB81" i="24"/>
  <c r="AA81" i="24"/>
  <c r="Z81" i="24"/>
  <c r="Y74" i="24"/>
  <c r="V81" i="24"/>
  <c r="X81" i="24"/>
  <c r="U81" i="24"/>
  <c r="T81" i="24"/>
  <c r="S74" i="24"/>
  <c r="S81" i="24"/>
  <c r="R81" i="24"/>
  <c r="R72" i="24"/>
  <c r="R74" i="24"/>
  <c r="Q81" i="24"/>
  <c r="Q74" i="24"/>
  <c r="P74" i="24"/>
  <c r="P72" i="24"/>
  <c r="O72" i="24"/>
  <c r="AI75" i="24"/>
  <c r="N81" i="24"/>
  <c r="N72" i="24"/>
  <c r="M81" i="24"/>
  <c r="M74" i="24"/>
  <c r="AE212" i="24" s="1"/>
  <c r="M72" i="24"/>
  <c r="M82" i="24" s="1"/>
  <c r="L81" i="24"/>
  <c r="L72" i="24"/>
  <c r="AK212" i="24"/>
  <c r="S7" i="24"/>
  <c r="S72" i="24"/>
  <c r="S82" i="24" s="1"/>
  <c r="K81" i="24"/>
  <c r="K74" i="24"/>
  <c r="AC212" i="24" s="1"/>
  <c r="K72" i="24"/>
  <c r="J81" i="24"/>
  <c r="J72" i="24"/>
  <c r="J74" i="24"/>
  <c r="I81" i="24"/>
  <c r="I74" i="24"/>
  <c r="H81" i="24"/>
  <c r="H74" i="24"/>
  <c r="H72" i="24"/>
  <c r="AI77" i="24"/>
  <c r="G81" i="24"/>
  <c r="AH55" i="24"/>
  <c r="G72" i="24"/>
  <c r="F81" i="24"/>
  <c r="F72" i="24"/>
  <c r="E81" i="24"/>
  <c r="E72" i="24"/>
  <c r="E82" i="24" s="1"/>
  <c r="D81" i="24"/>
  <c r="AI79" i="24"/>
  <c r="D72" i="24"/>
  <c r="AH67" i="24"/>
  <c r="AI78" i="24"/>
  <c r="AH78" i="24"/>
  <c r="AI76" i="24"/>
  <c r="C81" i="24"/>
  <c r="C74" i="24"/>
  <c r="U212" i="24" s="1"/>
  <c r="AH37" i="24"/>
  <c r="C72" i="24"/>
  <c r="B81" i="24"/>
  <c r="AI55" i="24"/>
  <c r="H4" i="24"/>
  <c r="M7" i="24"/>
  <c r="AH81" i="24"/>
  <c r="AI212" i="24"/>
  <c r="Q7" i="24"/>
  <c r="AQ212" i="24"/>
  <c r="Y7" i="24"/>
  <c r="W212" i="24"/>
  <c r="E7" i="24"/>
  <c r="AH212" i="24"/>
  <c r="P7" i="24"/>
  <c r="AJ212" i="24"/>
  <c r="R7" i="24"/>
  <c r="P82" i="24"/>
  <c r="AB212" i="24"/>
  <c r="J7" i="24"/>
  <c r="K82" i="24"/>
  <c r="AA212" i="24"/>
  <c r="I7" i="24"/>
  <c r="S209" i="24"/>
  <c r="D209" i="24"/>
  <c r="AI37" i="24"/>
  <c r="AH71" i="24"/>
  <c r="D74" i="24"/>
  <c r="L74" i="24"/>
  <c r="AH76" i="24"/>
  <c r="AI81" i="24"/>
  <c r="AG82" i="24"/>
  <c r="F101" i="24"/>
  <c r="AI67" i="24"/>
  <c r="AI71" i="24"/>
  <c r="I72" i="24"/>
  <c r="I82" i="24" s="1"/>
  <c r="Q72" i="24"/>
  <c r="Q82" i="24" s="1"/>
  <c r="Y72" i="24"/>
  <c r="Y82" i="24" s="1"/>
  <c r="AH77" i="24"/>
  <c r="J82" i="24"/>
  <c r="R82" i="24"/>
  <c r="B72" i="24"/>
  <c r="F74" i="24"/>
  <c r="N74" i="24"/>
  <c r="N82" i="24" s="1"/>
  <c r="AH75" i="24"/>
  <c r="G74" i="24"/>
  <c r="O74" i="24"/>
  <c r="O82" i="24" s="1"/>
  <c r="AH79" i="24"/>
  <c r="C92" i="24"/>
  <c r="D190" i="24"/>
  <c r="E100" i="24"/>
  <c r="D92" i="24"/>
  <c r="C190" i="24"/>
  <c r="G192" i="24"/>
  <c r="F198" i="24"/>
  <c r="E198" i="24"/>
  <c r="G197" i="24"/>
  <c r="Y94" i="23"/>
  <c r="Y36" i="23"/>
  <c r="U94" i="23"/>
  <c r="U36" i="23"/>
  <c r="AK19" i="23"/>
  <c r="T94" i="23"/>
  <c r="T36" i="23"/>
  <c r="K7" i="24" l="1"/>
  <c r="H82" i="24"/>
  <c r="H7" i="24"/>
  <c r="Z212" i="24"/>
  <c r="F82" i="24"/>
  <c r="C82" i="24"/>
  <c r="C7" i="24"/>
  <c r="Y212" i="24"/>
  <c r="G7" i="24"/>
  <c r="G101" i="24"/>
  <c r="F92" i="24"/>
  <c r="G82" i="24"/>
  <c r="H192" i="24"/>
  <c r="G198" i="24"/>
  <c r="E190" i="24"/>
  <c r="F100" i="24"/>
  <c r="AD212" i="24"/>
  <c r="L7" i="24"/>
  <c r="B74" i="24"/>
  <c r="AG212" i="24"/>
  <c r="O7" i="24"/>
  <c r="V212" i="24"/>
  <c r="D7" i="24"/>
  <c r="L82" i="24"/>
  <c r="G233" i="24"/>
  <c r="H197" i="24"/>
  <c r="AF212" i="24"/>
  <c r="N7" i="24"/>
  <c r="D82" i="24"/>
  <c r="X212" i="24"/>
  <c r="C207" i="24"/>
  <c r="B207" i="24"/>
  <c r="F7" i="24"/>
  <c r="K6" i="24" l="1"/>
  <c r="H233" i="24"/>
  <c r="I197" i="24"/>
  <c r="I192" i="24"/>
  <c r="H198" i="24"/>
  <c r="T212" i="24"/>
  <c r="B7" i="24"/>
  <c r="H101" i="24"/>
  <c r="G92" i="24"/>
  <c r="B82" i="24"/>
  <c r="F190" i="24"/>
  <c r="G100" i="24"/>
  <c r="G190" i="24" l="1"/>
  <c r="H100" i="24"/>
  <c r="J197" i="24"/>
  <c r="I233" i="24"/>
  <c r="I198" i="24"/>
  <c r="J192" i="24"/>
  <c r="I101" i="24"/>
  <c r="H92" i="24"/>
  <c r="K197" i="24" l="1"/>
  <c r="J233" i="24"/>
  <c r="J101" i="24"/>
  <c r="I92" i="24"/>
  <c r="H190" i="24"/>
  <c r="I100" i="24"/>
  <c r="J198" i="24"/>
  <c r="K192" i="24"/>
  <c r="I190" i="24" l="1"/>
  <c r="J100" i="24"/>
  <c r="K101" i="24"/>
  <c r="J92" i="24"/>
  <c r="K233" i="24"/>
  <c r="L197" i="24"/>
  <c r="K198" i="24"/>
  <c r="L192" i="24"/>
  <c r="L101" i="24" l="1"/>
  <c r="K92" i="24"/>
  <c r="J190" i="24"/>
  <c r="K100" i="24"/>
  <c r="L198" i="24"/>
  <c r="M192" i="24"/>
  <c r="L233" i="24"/>
  <c r="M197" i="24"/>
  <c r="M233" i="24" l="1"/>
  <c r="N197" i="24"/>
  <c r="K190" i="24"/>
  <c r="L100" i="24"/>
  <c r="N192" i="24"/>
  <c r="M198" i="24"/>
  <c r="M101" i="24"/>
  <c r="L92" i="24"/>
  <c r="O192" i="24" l="1"/>
  <c r="N198" i="24"/>
  <c r="L190" i="24"/>
  <c r="M100" i="24"/>
  <c r="M92" i="24"/>
  <c r="N101" i="24"/>
  <c r="N233" i="24"/>
  <c r="O197" i="24"/>
  <c r="M190" i="24" l="1"/>
  <c r="N100" i="24"/>
  <c r="O233" i="24"/>
  <c r="P197" i="24"/>
  <c r="O101" i="24"/>
  <c r="N92" i="24"/>
  <c r="P192" i="24"/>
  <c r="O198" i="24"/>
  <c r="Q192" i="24" l="1"/>
  <c r="P198" i="24"/>
  <c r="N190" i="24"/>
  <c r="O100" i="24"/>
  <c r="P101" i="24"/>
  <c r="O92" i="24"/>
  <c r="P233" i="24"/>
  <c r="Q197" i="24"/>
  <c r="R197" i="24" l="1"/>
  <c r="Q233" i="24"/>
  <c r="O190" i="24"/>
  <c r="P100" i="24"/>
  <c r="Q101" i="24"/>
  <c r="P92" i="24"/>
  <c r="Q198" i="24"/>
  <c r="R192" i="24"/>
  <c r="Q92" i="24" l="1"/>
  <c r="R101" i="24"/>
  <c r="P190" i="24"/>
  <c r="Q100" i="24"/>
  <c r="R198" i="24"/>
  <c r="S192" i="24"/>
  <c r="S197" i="24"/>
  <c r="R233" i="24"/>
  <c r="S233" i="24" l="1"/>
  <c r="T197" i="24"/>
  <c r="Q190" i="24"/>
  <c r="R100" i="24"/>
  <c r="R92" i="24"/>
  <c r="S101" i="24"/>
  <c r="S198" i="24"/>
  <c r="T192" i="24"/>
  <c r="R190" i="24" l="1"/>
  <c r="S100" i="24"/>
  <c r="T198" i="24"/>
  <c r="T50" i="24" s="1"/>
  <c r="U192" i="24"/>
  <c r="T101" i="24"/>
  <c r="S92" i="24"/>
  <c r="T233" i="24"/>
  <c r="U197" i="24"/>
  <c r="U233" i="24" l="1"/>
  <c r="V197" i="24"/>
  <c r="T51" i="24"/>
  <c r="S190" i="24"/>
  <c r="T100" i="24"/>
  <c r="U101" i="24"/>
  <c r="T92" i="24"/>
  <c r="V192" i="24"/>
  <c r="U198" i="24"/>
  <c r="U50" i="24" s="1"/>
  <c r="U51" i="24" s="1"/>
  <c r="T72" i="24" l="1"/>
  <c r="T74" i="24"/>
  <c r="U92" i="24"/>
  <c r="V101" i="24"/>
  <c r="T190" i="24"/>
  <c r="U100" i="24"/>
  <c r="W192" i="24"/>
  <c r="V198" i="24"/>
  <c r="V233" i="24"/>
  <c r="W197" i="24"/>
  <c r="U74" i="24"/>
  <c r="U72" i="24"/>
  <c r="U82" i="24" l="1"/>
  <c r="AM212" i="24"/>
  <c r="U7" i="24"/>
  <c r="U190" i="24"/>
  <c r="V100" i="24"/>
  <c r="W101" i="24"/>
  <c r="V92" i="24"/>
  <c r="AL212" i="24"/>
  <c r="T7" i="24"/>
  <c r="V51" i="24"/>
  <c r="T82" i="24"/>
  <c r="W233" i="24"/>
  <c r="X197" i="24"/>
  <c r="X192" i="24"/>
  <c r="W198" i="24"/>
  <c r="W51" i="24" s="1"/>
  <c r="X101" i="24" l="1"/>
  <c r="W92" i="24"/>
  <c r="V74" i="24"/>
  <c r="V72" i="24"/>
  <c r="W72" i="24"/>
  <c r="W74" i="24"/>
  <c r="V190" i="24"/>
  <c r="W100" i="24"/>
  <c r="Y192" i="24"/>
  <c r="X198" i="24"/>
  <c r="X233" i="24"/>
  <c r="Y197" i="24"/>
  <c r="X51" i="24" l="1"/>
  <c r="V82" i="24"/>
  <c r="Y198" i="24"/>
  <c r="Z192" i="24"/>
  <c r="AN212" i="24"/>
  <c r="V7" i="24"/>
  <c r="W82" i="24"/>
  <c r="Y101" i="24"/>
  <c r="X92" i="24"/>
  <c r="W190" i="24"/>
  <c r="X100" i="24"/>
  <c r="AO212" i="24"/>
  <c r="W7" i="24"/>
  <c r="Z197" i="24"/>
  <c r="Y233" i="24"/>
  <c r="Z198" i="24" l="1"/>
  <c r="Z50" i="24" s="1"/>
  <c r="AA192" i="24"/>
  <c r="AA197" i="24"/>
  <c r="Z233" i="24"/>
  <c r="Z101" i="24"/>
  <c r="Y92" i="24"/>
  <c r="X190" i="24"/>
  <c r="Y100" i="24"/>
  <c r="X74" i="24"/>
  <c r="X72" i="24"/>
  <c r="X82" i="24" l="1"/>
  <c r="AA101" i="24"/>
  <c r="Z92" i="24"/>
  <c r="AA233" i="24"/>
  <c r="AB197" i="24"/>
  <c r="AA198" i="24"/>
  <c r="AA50" i="24" s="1"/>
  <c r="AA51" i="24" s="1"/>
  <c r="AB192" i="24"/>
  <c r="AP212" i="24"/>
  <c r="X7" i="24"/>
  <c r="Y190" i="24"/>
  <c r="Z100" i="24"/>
  <c r="Z51" i="24"/>
  <c r="AA74" i="24" l="1"/>
  <c r="AA72" i="24"/>
  <c r="AB233" i="24"/>
  <c r="AC197" i="24"/>
  <c r="Z72" i="24"/>
  <c r="Z74" i="24"/>
  <c r="Z190" i="24"/>
  <c r="AA100" i="24"/>
  <c r="AB101" i="24"/>
  <c r="AA92" i="24"/>
  <c r="AB198" i="24"/>
  <c r="AB50" i="24" s="1"/>
  <c r="AB51" i="24" s="1"/>
  <c r="AC192" i="24"/>
  <c r="AA82" i="24" l="1"/>
  <c r="AB72" i="24"/>
  <c r="AB74" i="24"/>
  <c r="Z82" i="24"/>
  <c r="AC233" i="24"/>
  <c r="AD197" i="24"/>
  <c r="AA190" i="24"/>
  <c r="AB100" i="24"/>
  <c r="AD192" i="24"/>
  <c r="AC198" i="24"/>
  <c r="AC50" i="24" s="1"/>
  <c r="AC51" i="24" s="1"/>
  <c r="AR212" i="24"/>
  <c r="Z7" i="24"/>
  <c r="AC101" i="24"/>
  <c r="AB92" i="24"/>
  <c r="AS212" i="24"/>
  <c r="AA7" i="24"/>
  <c r="AD233" i="24" l="1"/>
  <c r="AE197" i="24"/>
  <c r="AC92" i="24"/>
  <c r="AD101" i="24"/>
  <c r="AC74" i="24"/>
  <c r="AC72" i="24"/>
  <c r="AC82" i="24" s="1"/>
  <c r="AE192" i="24"/>
  <c r="AD198" i="24"/>
  <c r="AD50" i="24" s="1"/>
  <c r="AD51" i="24" s="1"/>
  <c r="AT212" i="24"/>
  <c r="AB7" i="24"/>
  <c r="AB190" i="24"/>
  <c r="AC100" i="24"/>
  <c r="AB82" i="24"/>
  <c r="AC190" i="24" l="1"/>
  <c r="AD100" i="24"/>
  <c r="AU212" i="24"/>
  <c r="AC7" i="24"/>
  <c r="AE101" i="24"/>
  <c r="AD92" i="24"/>
  <c r="AD72" i="24"/>
  <c r="AD74" i="24"/>
  <c r="AE233" i="24"/>
  <c r="AF197" i="24"/>
  <c r="AF233" i="24" s="1"/>
  <c r="AF192" i="24"/>
  <c r="AF198" i="24" s="1"/>
  <c r="AF50" i="24" s="1"/>
  <c r="AE198" i="24"/>
  <c r="AE50" i="24" s="1"/>
  <c r="AE51" i="24" s="1"/>
  <c r="AV212" i="24" l="1"/>
  <c r="AD7" i="24"/>
  <c r="AE72" i="24"/>
  <c r="AE74" i="24"/>
  <c r="AF51" i="24"/>
  <c r="AH50" i="24"/>
  <c r="AI50" i="24"/>
  <c r="AD190" i="24"/>
  <c r="AE100" i="24"/>
  <c r="AD82" i="24"/>
  <c r="AE92" i="24"/>
  <c r="AF101" i="24"/>
  <c r="AF92" i="24" s="1"/>
  <c r="AF74" i="24" l="1"/>
  <c r="AF72" i="24"/>
  <c r="AH51" i="24"/>
  <c r="AI51" i="24"/>
  <c r="AI92" i="24"/>
  <c r="AH92" i="24"/>
  <c r="AW212" i="24"/>
  <c r="AE7" i="24"/>
  <c r="AE82" i="24"/>
  <c r="AE190" i="24"/>
  <c r="AF100" i="24"/>
  <c r="AF190" i="24" s="1"/>
  <c r="AF82" i="24" l="1"/>
  <c r="AI72" i="24"/>
  <c r="AH72" i="24"/>
  <c r="AX212" i="24"/>
  <c r="AF7" i="24"/>
  <c r="A7" i="24" s="1"/>
  <c r="AI74" i="24"/>
  <c r="AH74" i="24"/>
  <c r="AI82" i="24" l="1"/>
  <c r="AH82" i="24"/>
  <c r="S94" i="23" l="1"/>
  <c r="Q36" i="23"/>
  <c r="L37" i="23"/>
  <c r="M37" i="23"/>
  <c r="K94" i="23" l="1"/>
  <c r="K36" i="23"/>
  <c r="J94" i="23"/>
  <c r="J36" i="23"/>
  <c r="D36" i="23"/>
  <c r="E36" i="23"/>
  <c r="AH98" i="23"/>
  <c r="AI98" i="23" s="1"/>
  <c r="C36" i="23"/>
  <c r="B36" i="23"/>
  <c r="B50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AF234" i="23"/>
  <c r="AE234" i="23"/>
  <c r="AD234" i="23"/>
  <c r="AC234" i="23"/>
  <c r="AB234" i="23"/>
  <c r="AA234" i="23"/>
  <c r="Z234" i="23"/>
  <c r="Y234" i="23"/>
  <c r="X234" i="23"/>
  <c r="W234" i="23"/>
  <c r="V234" i="23"/>
  <c r="U234" i="23"/>
  <c r="T234" i="23"/>
  <c r="S234" i="23"/>
  <c r="R234" i="23"/>
  <c r="Q234" i="23"/>
  <c r="P234" i="23"/>
  <c r="O234" i="23"/>
  <c r="N234" i="23"/>
  <c r="M234" i="23"/>
  <c r="L234" i="23"/>
  <c r="K234" i="23"/>
  <c r="J234" i="23"/>
  <c r="I234" i="23"/>
  <c r="H234" i="23"/>
  <c r="G234" i="23"/>
  <c r="F234" i="23"/>
  <c r="E234" i="23"/>
  <c r="D234" i="23"/>
  <c r="C234" i="23"/>
  <c r="B234" i="23"/>
  <c r="A234" i="23"/>
  <c r="B233" i="23"/>
  <c r="S208" i="23"/>
  <c r="AG198" i="23"/>
  <c r="B198" i="23"/>
  <c r="C197" i="23"/>
  <c r="G196" i="23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E196" i="23"/>
  <c r="F196" i="23" s="1"/>
  <c r="C196" i="23"/>
  <c r="D196" i="23" s="1"/>
  <c r="K195" i="23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C195" i="23"/>
  <c r="D195" i="23" s="1"/>
  <c r="E195" i="23" s="1"/>
  <c r="F195" i="23" s="1"/>
  <c r="G195" i="23" s="1"/>
  <c r="H195" i="23" s="1"/>
  <c r="I195" i="23" s="1"/>
  <c r="J195" i="23" s="1"/>
  <c r="C194" i="23"/>
  <c r="D194" i="23" s="1"/>
  <c r="E194" i="23" s="1"/>
  <c r="F194" i="23" s="1"/>
  <c r="G194" i="23" s="1"/>
  <c r="H194" i="23" s="1"/>
  <c r="I194" i="23" s="1"/>
  <c r="J194" i="23" s="1"/>
  <c r="K194" i="23" s="1"/>
  <c r="L194" i="23" s="1"/>
  <c r="M194" i="23" s="1"/>
  <c r="N194" i="23" s="1"/>
  <c r="O194" i="23" s="1"/>
  <c r="P194" i="23" s="1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G193" i="23"/>
  <c r="H193" i="23" s="1"/>
  <c r="I193" i="23" s="1"/>
  <c r="J193" i="23" s="1"/>
  <c r="K193" i="23" s="1"/>
  <c r="L193" i="23" s="1"/>
  <c r="M193" i="23" s="1"/>
  <c r="N193" i="23" s="1"/>
  <c r="O193" i="23" s="1"/>
  <c r="P193" i="23" s="1"/>
  <c r="Q193" i="23" s="1"/>
  <c r="R193" i="23" s="1"/>
  <c r="S193" i="23" s="1"/>
  <c r="T193" i="23" s="1"/>
  <c r="U193" i="23" s="1"/>
  <c r="V193" i="23" s="1"/>
  <c r="W193" i="23" s="1"/>
  <c r="X193" i="23" s="1"/>
  <c r="Y193" i="23" s="1"/>
  <c r="Z193" i="23" s="1"/>
  <c r="AA193" i="23" s="1"/>
  <c r="AB193" i="23" s="1"/>
  <c r="AC193" i="23" s="1"/>
  <c r="AD193" i="23" s="1"/>
  <c r="AE193" i="23" s="1"/>
  <c r="AF193" i="23" s="1"/>
  <c r="C193" i="23"/>
  <c r="D193" i="23" s="1"/>
  <c r="E193" i="23" s="1"/>
  <c r="F193" i="23" s="1"/>
  <c r="C192" i="23"/>
  <c r="AG190" i="23"/>
  <c r="B190" i="23"/>
  <c r="Y189" i="23"/>
  <c r="Z189" i="23" s="1"/>
  <c r="AA189" i="23" s="1"/>
  <c r="AB189" i="23" s="1"/>
  <c r="AC189" i="23" s="1"/>
  <c r="AD189" i="23" s="1"/>
  <c r="AE189" i="23" s="1"/>
  <c r="AF189" i="23" s="1"/>
  <c r="D189" i="23"/>
  <c r="E189" i="23" s="1"/>
  <c r="F189" i="23" s="1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C189" i="23"/>
  <c r="E188" i="23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C188" i="23"/>
  <c r="D188" i="23" s="1"/>
  <c r="G187" i="23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E187" i="23"/>
  <c r="F187" i="23" s="1"/>
  <c r="D187" i="23"/>
  <c r="C187" i="23"/>
  <c r="S186" i="23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D186" i="23"/>
  <c r="E186" i="23" s="1"/>
  <c r="F186" i="23" s="1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C186" i="23"/>
  <c r="C185" i="23"/>
  <c r="D185" i="23" s="1"/>
  <c r="E185" i="23" s="1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AA184" i="23"/>
  <c r="AB184" i="23" s="1"/>
  <c r="AC184" i="23" s="1"/>
  <c r="AD184" i="23" s="1"/>
  <c r="AE184" i="23" s="1"/>
  <c r="AF184" i="23" s="1"/>
  <c r="K184" i="23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I184" i="23"/>
  <c r="J184" i="23" s="1"/>
  <c r="C184" i="23"/>
  <c r="D184" i="23" s="1"/>
  <c r="E184" i="23" s="1"/>
  <c r="F184" i="23" s="1"/>
  <c r="G184" i="23" s="1"/>
  <c r="H184" i="23" s="1"/>
  <c r="D183" i="23"/>
  <c r="E183" i="23" s="1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C183" i="23"/>
  <c r="T182" i="23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E182" i="23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D182" i="23"/>
  <c r="C182" i="23"/>
  <c r="J181" i="23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I181" i="23"/>
  <c r="D181" i="23"/>
  <c r="E181" i="23" s="1"/>
  <c r="F181" i="23" s="1"/>
  <c r="G181" i="23" s="1"/>
  <c r="H181" i="23" s="1"/>
  <c r="C181" i="23"/>
  <c r="K180" i="23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E180" i="23"/>
  <c r="F180" i="23" s="1"/>
  <c r="G180" i="23" s="1"/>
  <c r="H180" i="23" s="1"/>
  <c r="I180" i="23" s="1"/>
  <c r="J180" i="23" s="1"/>
  <c r="C180" i="23"/>
  <c r="D180" i="23" s="1"/>
  <c r="D179" i="23"/>
  <c r="E179" i="23" s="1"/>
  <c r="F179" i="23" s="1"/>
  <c r="G179" i="23" s="1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C179" i="23"/>
  <c r="AD178" i="23"/>
  <c r="AE178" i="23" s="1"/>
  <c r="AF178" i="23" s="1"/>
  <c r="F178" i="23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C178" i="23"/>
  <c r="D178" i="23" s="1"/>
  <c r="E178" i="23" s="1"/>
  <c r="AC177" i="23"/>
  <c r="AD177" i="23" s="1"/>
  <c r="AE177" i="23" s="1"/>
  <c r="AF177" i="23" s="1"/>
  <c r="U177" i="23"/>
  <c r="V177" i="23" s="1"/>
  <c r="W177" i="23" s="1"/>
  <c r="X177" i="23" s="1"/>
  <c r="Y177" i="23" s="1"/>
  <c r="Z177" i="23" s="1"/>
  <c r="AA177" i="23" s="1"/>
  <c r="AB177" i="23" s="1"/>
  <c r="D177" i="23"/>
  <c r="E177" i="23" s="1"/>
  <c r="F177" i="23" s="1"/>
  <c r="G177" i="23" s="1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C177" i="23"/>
  <c r="V175" i="23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C175" i="23"/>
  <c r="D175" i="23" s="1"/>
  <c r="E175" i="23" s="1"/>
  <c r="F175" i="23" s="1"/>
  <c r="G175" i="23" s="1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D174" i="23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C174" i="23"/>
  <c r="F173" i="23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E173" i="23"/>
  <c r="D173" i="23"/>
  <c r="C173" i="23"/>
  <c r="E172" i="23"/>
  <c r="F172" i="23" s="1"/>
  <c r="G172" i="23" s="1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C172" i="23"/>
  <c r="D172" i="23" s="1"/>
  <c r="D171" i="23"/>
  <c r="E171" i="23" s="1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C171" i="23"/>
  <c r="E170" i="23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D170" i="23"/>
  <c r="C170" i="23"/>
  <c r="N169" i="23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C169" i="23"/>
  <c r="D169" i="23" s="1"/>
  <c r="E169" i="23" s="1"/>
  <c r="F169" i="23" s="1"/>
  <c r="G169" i="23" s="1"/>
  <c r="H169" i="23" s="1"/>
  <c r="I169" i="23" s="1"/>
  <c r="J169" i="23" s="1"/>
  <c r="K169" i="23" s="1"/>
  <c r="L169" i="23" s="1"/>
  <c r="M169" i="23" s="1"/>
  <c r="H168" i="23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D168" i="23"/>
  <c r="E168" i="23" s="1"/>
  <c r="F168" i="23" s="1"/>
  <c r="G168" i="23" s="1"/>
  <c r="C168" i="23"/>
  <c r="K166" i="23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J166" i="23"/>
  <c r="D166" i="23"/>
  <c r="E166" i="23" s="1"/>
  <c r="F166" i="23" s="1"/>
  <c r="G166" i="23" s="1"/>
  <c r="H166" i="23" s="1"/>
  <c r="I166" i="23" s="1"/>
  <c r="C166" i="23"/>
  <c r="D165" i="23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C165" i="23"/>
  <c r="C164" i="23"/>
  <c r="D164" i="23" s="1"/>
  <c r="E164" i="23" s="1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N163" i="23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C163" i="23"/>
  <c r="D163" i="23" s="1"/>
  <c r="E163" i="23" s="1"/>
  <c r="F163" i="23" s="1"/>
  <c r="G163" i="23" s="1"/>
  <c r="H163" i="23" s="1"/>
  <c r="I163" i="23" s="1"/>
  <c r="J163" i="23" s="1"/>
  <c r="K163" i="23" s="1"/>
  <c r="L163" i="23" s="1"/>
  <c r="M163" i="23" s="1"/>
  <c r="F162" i="23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D162" i="23"/>
  <c r="E162" i="23" s="1"/>
  <c r="C162" i="23"/>
  <c r="M161" i="23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D161" i="23"/>
  <c r="E161" i="23" s="1"/>
  <c r="F161" i="23" s="1"/>
  <c r="G161" i="23" s="1"/>
  <c r="H161" i="23" s="1"/>
  <c r="I161" i="23" s="1"/>
  <c r="J161" i="23" s="1"/>
  <c r="K161" i="23" s="1"/>
  <c r="L161" i="23" s="1"/>
  <c r="C161" i="23"/>
  <c r="C160" i="23"/>
  <c r="D160" i="23" s="1"/>
  <c r="E160" i="23" s="1"/>
  <c r="F160" i="23" s="1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K159" i="23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D159" i="23"/>
  <c r="E159" i="23" s="1"/>
  <c r="F159" i="23" s="1"/>
  <c r="G159" i="23" s="1"/>
  <c r="H159" i="23" s="1"/>
  <c r="I159" i="23" s="1"/>
  <c r="J159" i="23" s="1"/>
  <c r="C159" i="23"/>
  <c r="I158" i="23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C158" i="23"/>
  <c r="D158" i="23" s="1"/>
  <c r="E158" i="23" s="1"/>
  <c r="F158" i="23" s="1"/>
  <c r="G158" i="23" s="1"/>
  <c r="H158" i="23" s="1"/>
  <c r="H157" i="23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G157" i="23"/>
  <c r="E157" i="23"/>
  <c r="F157" i="23" s="1"/>
  <c r="D157" i="23"/>
  <c r="C157" i="23"/>
  <c r="F156" i="23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E156" i="23"/>
  <c r="D156" i="23"/>
  <c r="C156" i="23"/>
  <c r="I155" i="23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C155" i="23"/>
  <c r="D155" i="23" s="1"/>
  <c r="E155" i="23" s="1"/>
  <c r="F155" i="23" s="1"/>
  <c r="G155" i="23" s="1"/>
  <c r="H155" i="23" s="1"/>
  <c r="T154" i="23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L154" i="23"/>
  <c r="M154" i="23" s="1"/>
  <c r="N154" i="23" s="1"/>
  <c r="O154" i="23" s="1"/>
  <c r="P154" i="23" s="1"/>
  <c r="Q154" i="23" s="1"/>
  <c r="R154" i="23" s="1"/>
  <c r="S154" i="23" s="1"/>
  <c r="C154" i="23"/>
  <c r="D154" i="23" s="1"/>
  <c r="E154" i="23" s="1"/>
  <c r="F154" i="23" s="1"/>
  <c r="G154" i="23" s="1"/>
  <c r="H154" i="23" s="1"/>
  <c r="I154" i="23" s="1"/>
  <c r="J154" i="23" s="1"/>
  <c r="K154" i="23" s="1"/>
  <c r="C152" i="23"/>
  <c r="D152" i="23" s="1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G151" i="23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F151" i="23"/>
  <c r="E151" i="23"/>
  <c r="D151" i="23"/>
  <c r="C151" i="23"/>
  <c r="D150" i="23"/>
  <c r="E150" i="23" s="1"/>
  <c r="F150" i="23" s="1"/>
  <c r="G150" i="23" s="1"/>
  <c r="H150" i="23" s="1"/>
  <c r="I150" i="23" s="1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C150" i="23"/>
  <c r="M149" i="23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C149" i="23"/>
  <c r="D149" i="23" s="1"/>
  <c r="E149" i="23" s="1"/>
  <c r="F149" i="23" s="1"/>
  <c r="G149" i="23" s="1"/>
  <c r="H149" i="23" s="1"/>
  <c r="I149" i="23" s="1"/>
  <c r="J149" i="23" s="1"/>
  <c r="K149" i="23" s="1"/>
  <c r="L149" i="23" s="1"/>
  <c r="H147" i="23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C147" i="23"/>
  <c r="D147" i="23" s="1"/>
  <c r="E147" i="23" s="1"/>
  <c r="F147" i="23" s="1"/>
  <c r="G147" i="23" s="1"/>
  <c r="V146" i="23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H146" i="23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G146" i="23"/>
  <c r="F146" i="23"/>
  <c r="E146" i="23"/>
  <c r="D146" i="23"/>
  <c r="C146" i="23"/>
  <c r="V144" i="23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K144" i="23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D144" i="23"/>
  <c r="E144" i="23" s="1"/>
  <c r="F144" i="23" s="1"/>
  <c r="G144" i="23" s="1"/>
  <c r="H144" i="23" s="1"/>
  <c r="I144" i="23" s="1"/>
  <c r="J144" i="23" s="1"/>
  <c r="C144" i="23"/>
  <c r="I143" i="23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F143" i="23"/>
  <c r="G143" i="23" s="1"/>
  <c r="H143" i="23" s="1"/>
  <c r="C143" i="23"/>
  <c r="D143" i="23" s="1"/>
  <c r="E143" i="23" s="1"/>
  <c r="H142" i="23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D142" i="23"/>
  <c r="E142" i="23" s="1"/>
  <c r="F142" i="23" s="1"/>
  <c r="G142" i="23" s="1"/>
  <c r="C142" i="23"/>
  <c r="O141" i="23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F141" i="23"/>
  <c r="G141" i="23" s="1"/>
  <c r="H141" i="23" s="1"/>
  <c r="I141" i="23" s="1"/>
  <c r="J141" i="23" s="1"/>
  <c r="K141" i="23" s="1"/>
  <c r="L141" i="23" s="1"/>
  <c r="M141" i="23" s="1"/>
  <c r="N141" i="23" s="1"/>
  <c r="E141" i="23"/>
  <c r="D141" i="23"/>
  <c r="C141" i="23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C140" i="23"/>
  <c r="J139" i="23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D139" i="23"/>
  <c r="E139" i="23" s="1"/>
  <c r="F139" i="23" s="1"/>
  <c r="G139" i="23" s="1"/>
  <c r="H139" i="23" s="1"/>
  <c r="I139" i="23" s="1"/>
  <c r="C139" i="23"/>
  <c r="H138" i="23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D138" i="23"/>
  <c r="E138" i="23" s="1"/>
  <c r="F138" i="23" s="1"/>
  <c r="G138" i="23" s="1"/>
  <c r="C138" i="23"/>
  <c r="E136" i="23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C136" i="23"/>
  <c r="D136" i="23" s="1"/>
  <c r="F135" i="23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C135" i="23"/>
  <c r="D135" i="23" s="1"/>
  <c r="E135" i="23" s="1"/>
  <c r="G134" i="23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F134" i="23"/>
  <c r="C134" i="23"/>
  <c r="D134" i="23" s="1"/>
  <c r="E134" i="23" s="1"/>
  <c r="I133" i="23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D133" i="23"/>
  <c r="E133" i="23" s="1"/>
  <c r="F133" i="23" s="1"/>
  <c r="G133" i="23" s="1"/>
  <c r="H133" i="23" s="1"/>
  <c r="C133" i="23"/>
  <c r="O132" i="23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H132" i="23"/>
  <c r="I132" i="23" s="1"/>
  <c r="J132" i="23" s="1"/>
  <c r="K132" i="23" s="1"/>
  <c r="L132" i="23" s="1"/>
  <c r="M132" i="23" s="1"/>
  <c r="N132" i="23" s="1"/>
  <c r="E132" i="23"/>
  <c r="F132" i="23" s="1"/>
  <c r="G132" i="23" s="1"/>
  <c r="C132" i="23"/>
  <c r="D132" i="23" s="1"/>
  <c r="V131" i="23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Q131" i="23"/>
  <c r="R131" i="23" s="1"/>
  <c r="S131" i="23" s="1"/>
  <c r="T131" i="23" s="1"/>
  <c r="U131" i="23" s="1"/>
  <c r="L131" i="23"/>
  <c r="M131" i="23" s="1"/>
  <c r="N131" i="23" s="1"/>
  <c r="O131" i="23" s="1"/>
  <c r="P131" i="23" s="1"/>
  <c r="F131" i="23"/>
  <c r="G131" i="23" s="1"/>
  <c r="H131" i="23" s="1"/>
  <c r="I131" i="23" s="1"/>
  <c r="J131" i="23" s="1"/>
  <c r="K131" i="23" s="1"/>
  <c r="C131" i="23"/>
  <c r="D131" i="23" s="1"/>
  <c r="E131" i="23" s="1"/>
  <c r="K130" i="23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J130" i="23"/>
  <c r="D130" i="23"/>
  <c r="E130" i="23" s="1"/>
  <c r="F130" i="23" s="1"/>
  <c r="G130" i="23" s="1"/>
  <c r="H130" i="23" s="1"/>
  <c r="I130" i="23" s="1"/>
  <c r="C130" i="23"/>
  <c r="X129" i="23"/>
  <c r="Y129" i="23" s="1"/>
  <c r="Z129" i="23" s="1"/>
  <c r="AA129" i="23" s="1"/>
  <c r="AB129" i="23" s="1"/>
  <c r="AC129" i="23" s="1"/>
  <c r="AD129" i="23" s="1"/>
  <c r="AE129" i="23" s="1"/>
  <c r="AF129" i="23" s="1"/>
  <c r="H129" i="23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E129" i="23"/>
  <c r="F129" i="23" s="1"/>
  <c r="G129" i="23" s="1"/>
  <c r="D129" i="23"/>
  <c r="C129" i="23"/>
  <c r="H127" i="23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G127" i="23"/>
  <c r="E127" i="23"/>
  <c r="F127" i="23" s="1"/>
  <c r="C127" i="23"/>
  <c r="D127" i="23" s="1"/>
  <c r="C126" i="23"/>
  <c r="D126" i="23" s="1"/>
  <c r="E126" i="23" s="1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Y125" i="23"/>
  <c r="Z125" i="23" s="1"/>
  <c r="AA125" i="23" s="1"/>
  <c r="AB125" i="23" s="1"/>
  <c r="AC125" i="23" s="1"/>
  <c r="AD125" i="23" s="1"/>
  <c r="AE125" i="23" s="1"/>
  <c r="AF125" i="23" s="1"/>
  <c r="S125" i="23"/>
  <c r="T125" i="23" s="1"/>
  <c r="U125" i="23" s="1"/>
  <c r="V125" i="23" s="1"/>
  <c r="W125" i="23" s="1"/>
  <c r="X125" i="23" s="1"/>
  <c r="D125" i="23"/>
  <c r="E125" i="23" s="1"/>
  <c r="F125" i="23" s="1"/>
  <c r="G125" i="23" s="1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C125" i="23"/>
  <c r="G124" i="23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D124" i="23"/>
  <c r="E124" i="23" s="1"/>
  <c r="F124" i="23" s="1"/>
  <c r="C124" i="23"/>
  <c r="C123" i="23"/>
  <c r="D123" i="23" s="1"/>
  <c r="E123" i="23" s="1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E122" i="23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C122" i="23"/>
  <c r="D122" i="23" s="1"/>
  <c r="O121" i="23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C121" i="23"/>
  <c r="D121" i="23" s="1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J120" i="23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I120" i="23"/>
  <c r="C120" i="23"/>
  <c r="D120" i="23" s="1"/>
  <c r="E120" i="23" s="1"/>
  <c r="F120" i="23" s="1"/>
  <c r="G120" i="23" s="1"/>
  <c r="H120" i="23" s="1"/>
  <c r="H119" i="23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G119" i="23"/>
  <c r="C119" i="23"/>
  <c r="D119" i="23" s="1"/>
  <c r="E119" i="23" s="1"/>
  <c r="F119" i="23" s="1"/>
  <c r="C118" i="23"/>
  <c r="D118" i="23" s="1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S117" i="23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L117" i="23"/>
  <c r="M117" i="23" s="1"/>
  <c r="N117" i="23" s="1"/>
  <c r="O117" i="23" s="1"/>
  <c r="P117" i="23" s="1"/>
  <c r="Q117" i="23" s="1"/>
  <c r="R117" i="23" s="1"/>
  <c r="G117" i="23"/>
  <c r="H117" i="23" s="1"/>
  <c r="I117" i="23" s="1"/>
  <c r="J117" i="23" s="1"/>
  <c r="K117" i="23" s="1"/>
  <c r="D117" i="23"/>
  <c r="E117" i="23" s="1"/>
  <c r="F117" i="23" s="1"/>
  <c r="C117" i="23"/>
  <c r="I116" i="23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E116" i="23"/>
  <c r="F116" i="23" s="1"/>
  <c r="G116" i="23" s="1"/>
  <c r="H116" i="23" s="1"/>
  <c r="C116" i="23"/>
  <c r="D116" i="23" s="1"/>
  <c r="G115" i="23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C115" i="23"/>
  <c r="D115" i="23" s="1"/>
  <c r="E115" i="23" s="1"/>
  <c r="F115" i="23" s="1"/>
  <c r="F114" i="23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E114" i="23"/>
  <c r="C114" i="23"/>
  <c r="D114" i="23" s="1"/>
  <c r="D113" i="23"/>
  <c r="E113" i="23" s="1"/>
  <c r="F113" i="23" s="1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C113" i="23"/>
  <c r="C92" i="23" s="1"/>
  <c r="J112" i="23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H112" i="23"/>
  <c r="D112" i="23"/>
  <c r="E112" i="23" s="1"/>
  <c r="F112" i="23" s="1"/>
  <c r="G112" i="23" s="1"/>
  <c r="C112" i="23"/>
  <c r="G111" i="23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D111" i="23"/>
  <c r="E111" i="23" s="1"/>
  <c r="F111" i="23" s="1"/>
  <c r="C111" i="23"/>
  <c r="E110" i="23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D110" i="23"/>
  <c r="C110" i="23"/>
  <c r="D108" i="23"/>
  <c r="E108" i="23" s="1"/>
  <c r="F108" i="23" s="1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C108" i="23"/>
  <c r="D107" i="23"/>
  <c r="C107" i="23"/>
  <c r="D105" i="23"/>
  <c r="E105" i="23" s="1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C105" i="23"/>
  <c r="H104" i="23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E104" i="23"/>
  <c r="F104" i="23" s="1"/>
  <c r="G104" i="23" s="1"/>
  <c r="D104" i="23"/>
  <c r="C104" i="23"/>
  <c r="J103" i="23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D103" i="23"/>
  <c r="E103" i="23" s="1"/>
  <c r="F103" i="23" s="1"/>
  <c r="G103" i="23" s="1"/>
  <c r="H103" i="23" s="1"/>
  <c r="I103" i="23" s="1"/>
  <c r="C103" i="23"/>
  <c r="H102" i="23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D102" i="23" s="1"/>
  <c r="AE102" i="23" s="1"/>
  <c r="AF102" i="23" s="1"/>
  <c r="D102" i="23"/>
  <c r="E102" i="23" s="1"/>
  <c r="F102" i="23" s="1"/>
  <c r="G102" i="23" s="1"/>
  <c r="C102" i="23"/>
  <c r="D101" i="23"/>
  <c r="E101" i="23" s="1"/>
  <c r="C101" i="23"/>
  <c r="E100" i="23"/>
  <c r="D100" i="23"/>
  <c r="C100" i="23"/>
  <c r="AH97" i="23"/>
  <c r="AI97" i="23" s="1"/>
  <c r="AH96" i="23"/>
  <c r="AI96" i="23" s="1"/>
  <c r="AH95" i="23"/>
  <c r="AI95" i="23" s="1"/>
  <c r="AH94" i="23"/>
  <c r="AI94" i="23" s="1"/>
  <c r="AH93" i="23"/>
  <c r="AI93" i="23" s="1"/>
  <c r="B92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G81" i="23"/>
  <c r="AI80" i="23"/>
  <c r="AH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E76" i="23"/>
  <c r="AD76" i="23"/>
  <c r="AC76" i="23"/>
  <c r="AB76" i="23"/>
  <c r="AB81" i="23" s="1"/>
  <c r="AA76" i="23"/>
  <c r="Z76" i="23"/>
  <c r="Y76" i="23"/>
  <c r="X76" i="23"/>
  <c r="W76" i="23"/>
  <c r="V76" i="23"/>
  <c r="U76" i="23"/>
  <c r="T76" i="23"/>
  <c r="S76" i="23"/>
  <c r="R76" i="23"/>
  <c r="Q76" i="23"/>
  <c r="P76" i="23"/>
  <c r="P81" i="23" s="1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AF75" i="23"/>
  <c r="AE75" i="23"/>
  <c r="AD75" i="23"/>
  <c r="AC75" i="23"/>
  <c r="AB75" i="23"/>
  <c r="AA75" i="23"/>
  <c r="AA81" i="23" s="1"/>
  <c r="Z75" i="23"/>
  <c r="Z81" i="23" s="1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I81" i="23" s="1"/>
  <c r="H75" i="23"/>
  <c r="G75" i="23"/>
  <c r="F75" i="23"/>
  <c r="E75" i="23"/>
  <c r="D75" i="23"/>
  <c r="C75" i="23"/>
  <c r="B75" i="23"/>
  <c r="AI73" i="23"/>
  <c r="AH73" i="23"/>
  <c r="AG72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AI71" i="23" s="1"/>
  <c r="F71" i="23"/>
  <c r="E71" i="23"/>
  <c r="D71" i="23"/>
  <c r="C71" i="23"/>
  <c r="B71" i="23"/>
  <c r="AI70" i="23"/>
  <c r="AH70" i="23"/>
  <c r="AI69" i="23"/>
  <c r="AH69" i="23"/>
  <c r="AI68" i="23"/>
  <c r="AH68" i="23"/>
  <c r="AG67" i="23"/>
  <c r="AF67" i="23"/>
  <c r="AF5" i="23" s="1"/>
  <c r="AE67" i="23"/>
  <c r="AE5" i="23" s="1"/>
  <c r="AD67" i="23"/>
  <c r="AD5" i="23" s="1"/>
  <c r="AC67" i="23"/>
  <c r="AB67" i="23"/>
  <c r="AB5" i="23" s="1"/>
  <c r="AA67" i="23"/>
  <c r="Z67" i="23"/>
  <c r="Y67" i="23"/>
  <c r="X67" i="23"/>
  <c r="W67" i="23"/>
  <c r="V67" i="23"/>
  <c r="V5" i="23" s="1"/>
  <c r="U67" i="23"/>
  <c r="U5" i="23" s="1"/>
  <c r="T67" i="23"/>
  <c r="S67" i="23"/>
  <c r="S5" i="23" s="1"/>
  <c r="R67" i="23"/>
  <c r="Q67" i="23"/>
  <c r="Q5" i="23" s="1"/>
  <c r="P67" i="23"/>
  <c r="O67" i="23"/>
  <c r="O5" i="23" s="1"/>
  <c r="N67" i="23"/>
  <c r="M67" i="23"/>
  <c r="L67" i="23"/>
  <c r="L5" i="23" s="1"/>
  <c r="K67" i="23"/>
  <c r="K5" i="23" s="1"/>
  <c r="J67" i="23"/>
  <c r="I67" i="23"/>
  <c r="I5" i="23" s="1"/>
  <c r="H67" i="23"/>
  <c r="G67" i="23"/>
  <c r="F67" i="23"/>
  <c r="F5" i="23" s="1"/>
  <c r="E67" i="23"/>
  <c r="E5" i="23" s="1"/>
  <c r="D67" i="23"/>
  <c r="D5" i="23" s="1"/>
  <c r="C67" i="23"/>
  <c r="B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G55" i="23"/>
  <c r="AG4" i="23" s="1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AI54" i="23"/>
  <c r="AH54" i="23"/>
  <c r="AI53" i="23"/>
  <c r="AH53" i="23"/>
  <c r="AI52" i="23"/>
  <c r="AH52" i="23"/>
  <c r="AG51" i="23"/>
  <c r="Y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AG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K37" i="23"/>
  <c r="J37" i="23"/>
  <c r="I37" i="23"/>
  <c r="H37" i="23"/>
  <c r="G37" i="23"/>
  <c r="F37" i="23"/>
  <c r="F74" i="23" s="1"/>
  <c r="F7" i="23" s="1"/>
  <c r="E37" i="23"/>
  <c r="D37" i="23"/>
  <c r="C37" i="23"/>
  <c r="B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2" i="23"/>
  <c r="AH12" i="23"/>
  <c r="AI11" i="23"/>
  <c r="AH11" i="23"/>
  <c r="AG6" i="23"/>
  <c r="AA5" i="23"/>
  <c r="Z5" i="23"/>
  <c r="X5" i="23"/>
  <c r="T5" i="23"/>
  <c r="R5" i="23"/>
  <c r="P5" i="23"/>
  <c r="N5" i="23"/>
  <c r="J5" i="23"/>
  <c r="H5" i="23"/>
  <c r="C5" i="23"/>
  <c r="B5" i="23"/>
  <c r="K4" i="23"/>
  <c r="B4" i="23"/>
  <c r="AG3" i="23"/>
  <c r="AG2" i="23"/>
  <c r="AF94" i="22"/>
  <c r="AF36" i="22"/>
  <c r="AE94" i="22"/>
  <c r="AD94" i="22"/>
  <c r="AE36" i="22"/>
  <c r="AD36" i="22"/>
  <c r="AC94" i="22"/>
  <c r="AC36" i="22"/>
  <c r="AB94" i="22"/>
  <c r="AB36" i="22"/>
  <c r="V36" i="22"/>
  <c r="U36" i="22"/>
  <c r="E4" i="23"/>
  <c r="AF81" i="23" l="1"/>
  <c r="AD81" i="23"/>
  <c r="AC81" i="23"/>
  <c r="V81" i="23"/>
  <c r="X81" i="23"/>
  <c r="Y81" i="23"/>
  <c r="U81" i="23"/>
  <c r="T81" i="23"/>
  <c r="S81" i="23"/>
  <c r="S74" i="23"/>
  <c r="R81" i="23"/>
  <c r="Q81" i="23"/>
  <c r="Q72" i="23"/>
  <c r="P72" i="23"/>
  <c r="P74" i="23"/>
  <c r="AH212" i="23" s="1"/>
  <c r="N81" i="23"/>
  <c r="N74" i="23"/>
  <c r="AF212" i="23" s="1"/>
  <c r="M81" i="23"/>
  <c r="AI76" i="23"/>
  <c r="L81" i="23"/>
  <c r="L74" i="23"/>
  <c r="AD212" i="23" s="1"/>
  <c r="K81" i="23"/>
  <c r="K72" i="23"/>
  <c r="J81" i="23"/>
  <c r="H81" i="23"/>
  <c r="H72" i="23"/>
  <c r="H74" i="23"/>
  <c r="F81" i="23"/>
  <c r="E81" i="23"/>
  <c r="D81" i="23"/>
  <c r="AH79" i="23"/>
  <c r="C74" i="23"/>
  <c r="C81" i="23"/>
  <c r="AH77" i="23"/>
  <c r="AI55" i="23"/>
  <c r="AI78" i="23"/>
  <c r="B81" i="23"/>
  <c r="H4" i="23"/>
  <c r="D74" i="23"/>
  <c r="W5" i="23"/>
  <c r="Q74" i="23"/>
  <c r="AG74" i="23"/>
  <c r="AG82" i="23" s="1"/>
  <c r="AC5" i="23"/>
  <c r="AH75" i="23"/>
  <c r="X212" i="23"/>
  <c r="G72" i="23"/>
  <c r="Y72" i="23"/>
  <c r="Y5" i="23"/>
  <c r="AI67" i="23"/>
  <c r="E72" i="23"/>
  <c r="E74" i="23"/>
  <c r="Y74" i="23"/>
  <c r="F101" i="23"/>
  <c r="G74" i="23"/>
  <c r="AI75" i="23"/>
  <c r="AH76" i="23"/>
  <c r="U212" i="23"/>
  <c r="C7" i="23"/>
  <c r="AH55" i="23"/>
  <c r="C72" i="23"/>
  <c r="C82" i="23" s="1"/>
  <c r="S72" i="23"/>
  <c r="S82" i="23" s="1"/>
  <c r="I74" i="23"/>
  <c r="G81" i="23"/>
  <c r="G82" i="23" s="1"/>
  <c r="O81" i="23"/>
  <c r="W81" i="23"/>
  <c r="AE81" i="23"/>
  <c r="E190" i="23"/>
  <c r="F100" i="23"/>
  <c r="M72" i="23"/>
  <c r="M5" i="23"/>
  <c r="O72" i="23"/>
  <c r="O74" i="23"/>
  <c r="AK212" i="23"/>
  <c r="S7" i="23"/>
  <c r="AH71" i="23"/>
  <c r="AI37" i="23"/>
  <c r="AH37" i="23"/>
  <c r="G5" i="23"/>
  <c r="M74" i="23"/>
  <c r="I72" i="23"/>
  <c r="I82" i="23" s="1"/>
  <c r="K74" i="23"/>
  <c r="F72" i="23"/>
  <c r="F82" i="23" s="1"/>
  <c r="N72" i="23"/>
  <c r="E107" i="23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S209" i="23"/>
  <c r="D209" i="23"/>
  <c r="B72" i="23"/>
  <c r="J72" i="23"/>
  <c r="R72" i="23"/>
  <c r="AH67" i="23"/>
  <c r="J74" i="23"/>
  <c r="R74" i="23"/>
  <c r="AI77" i="23"/>
  <c r="AH78" i="23"/>
  <c r="AI79" i="23"/>
  <c r="D72" i="23"/>
  <c r="D82" i="23" s="1"/>
  <c r="L72" i="23"/>
  <c r="D190" i="23"/>
  <c r="C190" i="23"/>
  <c r="C198" i="23"/>
  <c r="D192" i="23"/>
  <c r="C233" i="23"/>
  <c r="D197" i="23"/>
  <c r="T55" i="22"/>
  <c r="T36" i="22"/>
  <c r="S36" i="22"/>
  <c r="R82" i="23" l="1"/>
  <c r="Q82" i="23"/>
  <c r="P7" i="23"/>
  <c r="L82" i="23"/>
  <c r="P82" i="23"/>
  <c r="O82" i="23"/>
  <c r="N82" i="23"/>
  <c r="N7" i="23"/>
  <c r="M82" i="23"/>
  <c r="L7" i="23"/>
  <c r="J82" i="23"/>
  <c r="H82" i="23"/>
  <c r="Z212" i="23"/>
  <c r="H7" i="23"/>
  <c r="W212" i="23"/>
  <c r="E7" i="23"/>
  <c r="B74" i="23"/>
  <c r="B82" i="23" s="1"/>
  <c r="AI81" i="23"/>
  <c r="AH81" i="23"/>
  <c r="AE212" i="23"/>
  <c r="M7" i="23"/>
  <c r="AI212" i="23"/>
  <c r="Q7" i="23"/>
  <c r="E82" i="23"/>
  <c r="F190" i="23"/>
  <c r="G100" i="23"/>
  <c r="Y212" i="23"/>
  <c r="G7" i="23"/>
  <c r="D198" i="23"/>
  <c r="E192" i="23"/>
  <c r="AJ212" i="23"/>
  <c r="R7" i="23"/>
  <c r="AC212" i="23"/>
  <c r="K7" i="23"/>
  <c r="AQ212" i="23"/>
  <c r="Y7" i="23"/>
  <c r="AA212" i="23"/>
  <c r="I7" i="23"/>
  <c r="AB212" i="23"/>
  <c r="J7" i="23"/>
  <c r="B207" i="23"/>
  <c r="E197" i="23"/>
  <c r="D233" i="23"/>
  <c r="D92" i="23"/>
  <c r="AG212" i="23"/>
  <c r="O7" i="23"/>
  <c r="G101" i="23"/>
  <c r="K82" i="23"/>
  <c r="C207" i="23"/>
  <c r="Y82" i="23"/>
  <c r="V212" i="23"/>
  <c r="D7" i="23"/>
  <c r="R36" i="22"/>
  <c r="P36" i="22"/>
  <c r="AG37" i="22"/>
  <c r="AH13" i="22"/>
  <c r="AI13" i="22"/>
  <c r="O36" i="22"/>
  <c r="M36" i="22"/>
  <c r="N36" i="22"/>
  <c r="L36" i="22"/>
  <c r="K36" i="22"/>
  <c r="J36" i="22"/>
  <c r="I36" i="22"/>
  <c r="H36" i="22"/>
  <c r="G36" i="22"/>
  <c r="F36" i="22"/>
  <c r="E36" i="22"/>
  <c r="D36" i="22"/>
  <c r="C36" i="22"/>
  <c r="AH98" i="22"/>
  <c r="AI98" i="22" s="1"/>
  <c r="B36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T234" i="22"/>
  <c r="S234" i="22"/>
  <c r="R234" i="22"/>
  <c r="Q234" i="22"/>
  <c r="P234" i="22"/>
  <c r="O234" i="22"/>
  <c r="N234" i="22"/>
  <c r="M234" i="22"/>
  <c r="L234" i="22"/>
  <c r="K234" i="22"/>
  <c r="J234" i="22"/>
  <c r="I234" i="22"/>
  <c r="H234" i="22"/>
  <c r="G234" i="22"/>
  <c r="F234" i="22"/>
  <c r="E234" i="22"/>
  <c r="D234" i="22"/>
  <c r="C234" i="22"/>
  <c r="B234" i="22"/>
  <c r="A234" i="22"/>
  <c r="B233" i="22"/>
  <c r="S208" i="22"/>
  <c r="AG198" i="22"/>
  <c r="B198" i="22"/>
  <c r="D197" i="22"/>
  <c r="C197" i="22"/>
  <c r="C233" i="22" s="1"/>
  <c r="J196" i="22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E196" i="22"/>
  <c r="F196" i="22" s="1"/>
  <c r="G196" i="22" s="1"/>
  <c r="H196" i="22" s="1"/>
  <c r="I196" i="22" s="1"/>
  <c r="D196" i="22"/>
  <c r="C196" i="22"/>
  <c r="C195" i="22"/>
  <c r="D195" i="22" s="1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F194" i="22"/>
  <c r="G194" i="22" s="1"/>
  <c r="H194" i="22" s="1"/>
  <c r="I194" i="22" s="1"/>
  <c r="J194" i="22" s="1"/>
  <c r="K194" i="22" s="1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V194" i="22" s="1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E194" i="22"/>
  <c r="D194" i="22"/>
  <c r="C194" i="22"/>
  <c r="C193" i="22"/>
  <c r="D193" i="22" s="1"/>
  <c r="E192" i="22"/>
  <c r="F192" i="22" s="1"/>
  <c r="D192" i="22"/>
  <c r="C192" i="22"/>
  <c r="C198" i="22" s="1"/>
  <c r="AG190" i="22"/>
  <c r="B190" i="22"/>
  <c r="C189" i="22"/>
  <c r="D189" i="22" s="1"/>
  <c r="E189" i="22" s="1"/>
  <c r="F189" i="22" s="1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E188" i="22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D188" i="22"/>
  <c r="C188" i="22"/>
  <c r="C187" i="22"/>
  <c r="D187" i="22" s="1"/>
  <c r="E187" i="22" s="1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E186" i="22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C186" i="22"/>
  <c r="D186" i="22" s="1"/>
  <c r="C185" i="22"/>
  <c r="D185" i="22" s="1"/>
  <c r="E185" i="22" s="1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Z184" i="22"/>
  <c r="AA184" i="22" s="1"/>
  <c r="AB184" i="22" s="1"/>
  <c r="AC184" i="22" s="1"/>
  <c r="AD184" i="22" s="1"/>
  <c r="AE184" i="22" s="1"/>
  <c r="AF184" i="22" s="1"/>
  <c r="J184" i="22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E184" i="22"/>
  <c r="F184" i="22" s="1"/>
  <c r="G184" i="22" s="1"/>
  <c r="H184" i="22" s="1"/>
  <c r="I184" i="22" s="1"/>
  <c r="D184" i="22"/>
  <c r="C184" i="22"/>
  <c r="C183" i="22"/>
  <c r="D183" i="22" s="1"/>
  <c r="E183" i="22" s="1"/>
  <c r="F183" i="22" s="1"/>
  <c r="G183" i="22" s="1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J182" i="22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F182" i="22"/>
  <c r="G182" i="22" s="1"/>
  <c r="H182" i="22" s="1"/>
  <c r="I182" i="22" s="1"/>
  <c r="E182" i="22"/>
  <c r="D182" i="22"/>
  <c r="C182" i="22"/>
  <c r="C181" i="22"/>
  <c r="D181" i="22" s="1"/>
  <c r="E181" i="22" s="1"/>
  <c r="F181" i="22" s="1"/>
  <c r="G181" i="22" s="1"/>
  <c r="H181" i="22" s="1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D180" i="22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C180" i="22"/>
  <c r="C179" i="22"/>
  <c r="D179" i="22" s="1"/>
  <c r="E179" i="22" s="1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F178" i="22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E178" i="22"/>
  <c r="D178" i="22"/>
  <c r="C178" i="22"/>
  <c r="L177" i="22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C177" i="22"/>
  <c r="D177" i="22" s="1"/>
  <c r="E177" i="22" s="1"/>
  <c r="F177" i="22" s="1"/>
  <c r="G177" i="22" s="1"/>
  <c r="H177" i="22" s="1"/>
  <c r="I177" i="22" s="1"/>
  <c r="J177" i="22" s="1"/>
  <c r="K177" i="22" s="1"/>
  <c r="C175" i="22"/>
  <c r="D175" i="22" s="1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J174" i="22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D174" i="22"/>
  <c r="E174" i="22" s="1"/>
  <c r="F174" i="22" s="1"/>
  <c r="G174" i="22" s="1"/>
  <c r="H174" i="22" s="1"/>
  <c r="I174" i="22" s="1"/>
  <c r="C174" i="22"/>
  <c r="C173" i="22"/>
  <c r="D173" i="22" s="1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N172" i="22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F172" i="22"/>
  <c r="G172" i="22" s="1"/>
  <c r="H172" i="22" s="1"/>
  <c r="I172" i="22" s="1"/>
  <c r="J172" i="22" s="1"/>
  <c r="K172" i="22" s="1"/>
  <c r="L172" i="22" s="1"/>
  <c r="M172" i="22" s="1"/>
  <c r="D172" i="22"/>
  <c r="E172" i="22" s="1"/>
  <c r="C172" i="22"/>
  <c r="L171" i="22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D171" i="22"/>
  <c r="E171" i="22" s="1"/>
  <c r="F171" i="22" s="1"/>
  <c r="G171" i="22" s="1"/>
  <c r="H171" i="22" s="1"/>
  <c r="I171" i="22" s="1"/>
  <c r="J171" i="22" s="1"/>
  <c r="K171" i="22" s="1"/>
  <c r="C171" i="22"/>
  <c r="D170" i="22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C170" i="22"/>
  <c r="H169" i="22"/>
  <c r="I169" i="22" s="1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C169" i="22"/>
  <c r="D169" i="22" s="1"/>
  <c r="E169" i="22" s="1"/>
  <c r="F169" i="22" s="1"/>
  <c r="G169" i="22" s="1"/>
  <c r="F168" i="22"/>
  <c r="G168" i="22" s="1"/>
  <c r="H168" i="22" s="1"/>
  <c r="I168" i="22" s="1"/>
  <c r="J168" i="22" s="1"/>
  <c r="K168" i="22" s="1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D168" i="22"/>
  <c r="E168" i="22" s="1"/>
  <c r="C168" i="22"/>
  <c r="J166" i="22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D166" i="22"/>
  <c r="E166" i="22" s="1"/>
  <c r="F166" i="22" s="1"/>
  <c r="G166" i="22" s="1"/>
  <c r="H166" i="22" s="1"/>
  <c r="I166" i="22" s="1"/>
  <c r="C166" i="22"/>
  <c r="P165" i="22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D165" i="22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C165" i="22"/>
  <c r="F164" i="22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E164" i="22"/>
  <c r="C164" i="22"/>
  <c r="D164" i="22" s="1"/>
  <c r="C163" i="22"/>
  <c r="D163" i="22" s="1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S162" i="22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I162" i="22"/>
  <c r="J162" i="22" s="1"/>
  <c r="K162" i="22" s="1"/>
  <c r="L162" i="22" s="1"/>
  <c r="M162" i="22" s="1"/>
  <c r="N162" i="22" s="1"/>
  <c r="O162" i="22" s="1"/>
  <c r="P162" i="22" s="1"/>
  <c r="Q162" i="22" s="1"/>
  <c r="R162" i="22" s="1"/>
  <c r="F162" i="22"/>
  <c r="G162" i="22" s="1"/>
  <c r="H162" i="22" s="1"/>
  <c r="D162" i="22"/>
  <c r="E162" i="22" s="1"/>
  <c r="C162" i="22"/>
  <c r="D161" i="22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C161" i="22"/>
  <c r="C160" i="22"/>
  <c r="D160" i="22" s="1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Y159" i="22"/>
  <c r="Z159" i="22" s="1"/>
  <c r="AA159" i="22" s="1"/>
  <c r="AB159" i="22" s="1"/>
  <c r="AC159" i="22" s="1"/>
  <c r="AD159" i="22" s="1"/>
  <c r="AE159" i="22" s="1"/>
  <c r="AF159" i="22" s="1"/>
  <c r="E159" i="22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D159" i="22"/>
  <c r="C159" i="22"/>
  <c r="C158" i="22"/>
  <c r="D158" i="22" s="1"/>
  <c r="E158" i="22" s="1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AC157" i="22"/>
  <c r="AD157" i="22" s="1"/>
  <c r="AE157" i="22" s="1"/>
  <c r="AF157" i="22" s="1"/>
  <c r="E157" i="22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D157" i="22"/>
  <c r="C157" i="22"/>
  <c r="E156" i="22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D156" i="22"/>
  <c r="C156" i="22"/>
  <c r="C155" i="22"/>
  <c r="D155" i="22" s="1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D154" i="22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C154" i="22"/>
  <c r="G152" i="22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D152" i="22"/>
  <c r="E152" i="22" s="1"/>
  <c r="F152" i="22" s="1"/>
  <c r="C152" i="22"/>
  <c r="R151" i="22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D151" i="22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C151" i="22"/>
  <c r="D150" i="22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C150" i="22"/>
  <c r="P149" i="22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N149" i="22"/>
  <c r="O149" i="22" s="1"/>
  <c r="D149" i="22"/>
  <c r="E149" i="22" s="1"/>
  <c r="F149" i="22" s="1"/>
  <c r="G149" i="22" s="1"/>
  <c r="H149" i="22" s="1"/>
  <c r="I149" i="22" s="1"/>
  <c r="J149" i="22" s="1"/>
  <c r="K149" i="22" s="1"/>
  <c r="L149" i="22" s="1"/>
  <c r="M149" i="22" s="1"/>
  <c r="C149" i="22"/>
  <c r="X147" i="22"/>
  <c r="Y147" i="22" s="1"/>
  <c r="Z147" i="22" s="1"/>
  <c r="AA147" i="22" s="1"/>
  <c r="AB147" i="22" s="1"/>
  <c r="AC147" i="22" s="1"/>
  <c r="AD147" i="22" s="1"/>
  <c r="AE147" i="22" s="1"/>
  <c r="AF147" i="22" s="1"/>
  <c r="I147" i="22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G147" i="22"/>
  <c r="H147" i="22" s="1"/>
  <c r="F147" i="22"/>
  <c r="C147" i="22"/>
  <c r="D147" i="22" s="1"/>
  <c r="E147" i="22" s="1"/>
  <c r="L146" i="22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D146" i="22"/>
  <c r="E146" i="22" s="1"/>
  <c r="F146" i="22" s="1"/>
  <c r="G146" i="22" s="1"/>
  <c r="H146" i="22" s="1"/>
  <c r="I146" i="22" s="1"/>
  <c r="J146" i="22" s="1"/>
  <c r="K146" i="22" s="1"/>
  <c r="C146" i="22"/>
  <c r="C144" i="22"/>
  <c r="D144" i="22" s="1"/>
  <c r="E144" i="22" s="1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C143" i="22"/>
  <c r="D143" i="22" s="1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C142" i="22"/>
  <c r="M141" i="22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I141" i="22"/>
  <c r="J141" i="22" s="1"/>
  <c r="K141" i="22" s="1"/>
  <c r="L141" i="22" s="1"/>
  <c r="D141" i="22"/>
  <c r="E141" i="22" s="1"/>
  <c r="F141" i="22" s="1"/>
  <c r="G141" i="22" s="1"/>
  <c r="H141" i="22" s="1"/>
  <c r="C141" i="22"/>
  <c r="N140" i="22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C140" i="22"/>
  <c r="D140" i="22" s="1"/>
  <c r="E140" i="22" s="1"/>
  <c r="F140" i="22" s="1"/>
  <c r="G140" i="22" s="1"/>
  <c r="H140" i="22" s="1"/>
  <c r="I140" i="22" s="1"/>
  <c r="J140" i="22" s="1"/>
  <c r="K140" i="22" s="1"/>
  <c r="L140" i="22" s="1"/>
  <c r="M140" i="22" s="1"/>
  <c r="F139" i="22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E139" i="22"/>
  <c r="D139" i="22"/>
  <c r="C139" i="22"/>
  <c r="G138" i="22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F138" i="22"/>
  <c r="D138" i="22"/>
  <c r="E138" i="22" s="1"/>
  <c r="C138" i="22"/>
  <c r="D136" i="22"/>
  <c r="E136" i="22" s="1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C136" i="22"/>
  <c r="D135" i="22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C135" i="22"/>
  <c r="E134" i="22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D134" i="22"/>
  <c r="C134" i="22"/>
  <c r="G133" i="22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C133" i="22"/>
  <c r="D133" i="22" s="1"/>
  <c r="E133" i="22" s="1"/>
  <c r="F133" i="22" s="1"/>
  <c r="F132" i="22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E132" i="22"/>
  <c r="D132" i="22"/>
  <c r="C132" i="22"/>
  <c r="F131" i="22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C131" i="22"/>
  <c r="D131" i="22" s="1"/>
  <c r="E131" i="22" s="1"/>
  <c r="D130" i="22"/>
  <c r="E130" i="22" s="1"/>
  <c r="F130" i="22" s="1"/>
  <c r="G130" i="22" s="1"/>
  <c r="H130" i="22" s="1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C130" i="22"/>
  <c r="G129" i="22"/>
  <c r="H129" i="22" s="1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C129" i="22"/>
  <c r="D129" i="22" s="1"/>
  <c r="E129" i="22" s="1"/>
  <c r="F129" i="22" s="1"/>
  <c r="N127" i="22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E127" i="22"/>
  <c r="F127" i="22" s="1"/>
  <c r="G127" i="22" s="1"/>
  <c r="H127" i="22" s="1"/>
  <c r="I127" i="22" s="1"/>
  <c r="J127" i="22" s="1"/>
  <c r="K127" i="22" s="1"/>
  <c r="L127" i="22" s="1"/>
  <c r="M127" i="22" s="1"/>
  <c r="D127" i="22"/>
  <c r="C127" i="22"/>
  <c r="T126" i="22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D126" i="22"/>
  <c r="E126" i="22" s="1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C126" i="22"/>
  <c r="H125" i="22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D125" i="22"/>
  <c r="E125" i="22" s="1"/>
  <c r="F125" i="22" s="1"/>
  <c r="G125" i="22" s="1"/>
  <c r="C125" i="22"/>
  <c r="G124" i="22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F124" i="22"/>
  <c r="C124" i="22"/>
  <c r="D124" i="22" s="1"/>
  <c r="E124" i="22" s="1"/>
  <c r="F123" i="22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D123" i="22"/>
  <c r="E123" i="22" s="1"/>
  <c r="C123" i="22"/>
  <c r="I122" i="22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D122" i="22"/>
  <c r="E122" i="22" s="1"/>
  <c r="F122" i="22" s="1"/>
  <c r="G122" i="22" s="1"/>
  <c r="H122" i="22" s="1"/>
  <c r="C122" i="22"/>
  <c r="G121" i="22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E121" i="22"/>
  <c r="F121" i="22" s="1"/>
  <c r="D121" i="22"/>
  <c r="C121" i="22"/>
  <c r="N120" i="22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E120" i="22"/>
  <c r="F120" i="22" s="1"/>
  <c r="G120" i="22" s="1"/>
  <c r="H120" i="22" s="1"/>
  <c r="I120" i="22" s="1"/>
  <c r="J120" i="22" s="1"/>
  <c r="K120" i="22" s="1"/>
  <c r="L120" i="22" s="1"/>
  <c r="M120" i="22" s="1"/>
  <c r="C120" i="22"/>
  <c r="D120" i="22" s="1"/>
  <c r="I119" i="22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E119" i="22"/>
  <c r="F119" i="22" s="1"/>
  <c r="G119" i="22" s="1"/>
  <c r="H119" i="22" s="1"/>
  <c r="D119" i="22"/>
  <c r="C119" i="22"/>
  <c r="Z118" i="22"/>
  <c r="AA118" i="22" s="1"/>
  <c r="AB118" i="22" s="1"/>
  <c r="AC118" i="22" s="1"/>
  <c r="AD118" i="22" s="1"/>
  <c r="AE118" i="22" s="1"/>
  <c r="AF118" i="22" s="1"/>
  <c r="G118" i="22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C118" i="22"/>
  <c r="D118" i="22" s="1"/>
  <c r="E118" i="22" s="1"/>
  <c r="F118" i="22" s="1"/>
  <c r="C117" i="22"/>
  <c r="D117" i="22" s="1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D116" i="22"/>
  <c r="E116" i="22" s="1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C116" i="22"/>
  <c r="D115" i="22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C115" i="22"/>
  <c r="D114" i="22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C114" i="22"/>
  <c r="C113" i="22"/>
  <c r="D113" i="22" s="1"/>
  <c r="E113" i="22" s="1"/>
  <c r="F113" i="22" s="1"/>
  <c r="G113" i="22" s="1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Y112" i="22"/>
  <c r="Z112" i="22" s="1"/>
  <c r="AA112" i="22" s="1"/>
  <c r="AB112" i="22" s="1"/>
  <c r="AC112" i="22" s="1"/>
  <c r="AD112" i="22" s="1"/>
  <c r="AE112" i="22" s="1"/>
  <c r="AF112" i="22" s="1"/>
  <c r="L112" i="22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K112" i="22"/>
  <c r="J112" i="22"/>
  <c r="C112" i="22"/>
  <c r="D112" i="22" s="1"/>
  <c r="E112" i="22" s="1"/>
  <c r="F112" i="22" s="1"/>
  <c r="G112" i="22" s="1"/>
  <c r="H112" i="22" s="1"/>
  <c r="C111" i="22"/>
  <c r="D111" i="22" s="1"/>
  <c r="E111" i="22" s="1"/>
  <c r="F111" i="22" s="1"/>
  <c r="G111" i="22" s="1"/>
  <c r="H111" i="22" s="1"/>
  <c r="I111" i="22" s="1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Y110" i="22"/>
  <c r="Z110" i="22" s="1"/>
  <c r="AA110" i="22" s="1"/>
  <c r="AB110" i="22" s="1"/>
  <c r="AC110" i="22" s="1"/>
  <c r="AD110" i="22" s="1"/>
  <c r="AE110" i="22" s="1"/>
  <c r="AF110" i="22" s="1"/>
  <c r="I110" i="22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D110" i="22"/>
  <c r="E110" i="22" s="1"/>
  <c r="F110" i="22" s="1"/>
  <c r="G110" i="22" s="1"/>
  <c r="H110" i="22" s="1"/>
  <c r="C110" i="22"/>
  <c r="W108" i="22"/>
  <c r="X108" i="22" s="1"/>
  <c r="Y108" i="22" s="1"/>
  <c r="Z108" i="22" s="1"/>
  <c r="AA108" i="22" s="1"/>
  <c r="AB108" i="22" s="1"/>
  <c r="AC108" i="22" s="1"/>
  <c r="AD108" i="22" s="1"/>
  <c r="AE108" i="22" s="1"/>
  <c r="AF108" i="22" s="1"/>
  <c r="G108" i="22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E108" i="22"/>
  <c r="F108" i="22" s="1"/>
  <c r="D108" i="22"/>
  <c r="C108" i="22"/>
  <c r="X107" i="22"/>
  <c r="Y107" i="22" s="1"/>
  <c r="Z107" i="22" s="1"/>
  <c r="AA107" i="22" s="1"/>
  <c r="AB107" i="22" s="1"/>
  <c r="AC107" i="22" s="1"/>
  <c r="AD107" i="22" s="1"/>
  <c r="AE107" i="22" s="1"/>
  <c r="AF107" i="22" s="1"/>
  <c r="H107" i="22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E107" i="22"/>
  <c r="F107" i="22" s="1"/>
  <c r="G107" i="22" s="1"/>
  <c r="C107" i="22"/>
  <c r="D107" i="22" s="1"/>
  <c r="C105" i="22"/>
  <c r="D105" i="22" s="1"/>
  <c r="E105" i="22" s="1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T104" i="22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D104" i="22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C104" i="22"/>
  <c r="J103" i="22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D103" i="22"/>
  <c r="E103" i="22" s="1"/>
  <c r="F103" i="22" s="1"/>
  <c r="G103" i="22" s="1"/>
  <c r="H103" i="22" s="1"/>
  <c r="I103" i="22" s="1"/>
  <c r="C103" i="22"/>
  <c r="U102" i="22"/>
  <c r="V102" i="22" s="1"/>
  <c r="W102" i="22" s="1"/>
  <c r="X102" i="22" s="1"/>
  <c r="Y102" i="22" s="1"/>
  <c r="Z102" i="22" s="1"/>
  <c r="AA102" i="22" s="1"/>
  <c r="AB102" i="22" s="1"/>
  <c r="AC102" i="22" s="1"/>
  <c r="AD102" i="22" s="1"/>
  <c r="AE102" i="22" s="1"/>
  <c r="AF102" i="22" s="1"/>
  <c r="J102" i="22"/>
  <c r="K102" i="22" s="1"/>
  <c r="L102" i="22" s="1"/>
  <c r="M102" i="22" s="1"/>
  <c r="N102" i="22" s="1"/>
  <c r="O102" i="22" s="1"/>
  <c r="P102" i="22" s="1"/>
  <c r="Q102" i="22" s="1"/>
  <c r="R102" i="22" s="1"/>
  <c r="S102" i="22" s="1"/>
  <c r="T102" i="22" s="1"/>
  <c r="C102" i="22"/>
  <c r="D102" i="22" s="1"/>
  <c r="E102" i="22" s="1"/>
  <c r="F102" i="22" s="1"/>
  <c r="G102" i="22" s="1"/>
  <c r="H102" i="22" s="1"/>
  <c r="I102" i="22" s="1"/>
  <c r="C101" i="22"/>
  <c r="D101" i="22" s="1"/>
  <c r="C100" i="22"/>
  <c r="AH97" i="22"/>
  <c r="AI97" i="22" s="1"/>
  <c r="AH96" i="22"/>
  <c r="AI96" i="22" s="1"/>
  <c r="AH95" i="22"/>
  <c r="AI95" i="22" s="1"/>
  <c r="AH94" i="22"/>
  <c r="AI94" i="22" s="1"/>
  <c r="AH93" i="22"/>
  <c r="AI93" i="22" s="1"/>
  <c r="C92" i="22"/>
  <c r="B92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3" i="22"/>
  <c r="AH83" i="22"/>
  <c r="AG81" i="22"/>
  <c r="AI80" i="22"/>
  <c r="AH80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AF75" i="22"/>
  <c r="AE75" i="22"/>
  <c r="AE81" i="22" s="1"/>
  <c r="AD75" i="22"/>
  <c r="AD81" i="22" s="1"/>
  <c r="AC75" i="22"/>
  <c r="AC81" i="22" s="1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AI73" i="22"/>
  <c r="AH73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AH71" i="22" s="1"/>
  <c r="AI70" i="22"/>
  <c r="AH70" i="22"/>
  <c r="AI69" i="22"/>
  <c r="AH69" i="22"/>
  <c r="AI68" i="22"/>
  <c r="AH68" i="22"/>
  <c r="AG67" i="22"/>
  <c r="AF67" i="22"/>
  <c r="AE67" i="22"/>
  <c r="AD67" i="22"/>
  <c r="AD5" i="22" s="1"/>
  <c r="AC67" i="22"/>
  <c r="AB67" i="22"/>
  <c r="AA67" i="22"/>
  <c r="AA5" i="22" s="1"/>
  <c r="Z67" i="22"/>
  <c r="Y67" i="22"/>
  <c r="Y5" i="22" s="1"/>
  <c r="X67" i="22"/>
  <c r="W67" i="22"/>
  <c r="W5" i="22" s="1"/>
  <c r="V67" i="22"/>
  <c r="V5" i="22" s="1"/>
  <c r="U67" i="22"/>
  <c r="T67" i="22"/>
  <c r="T5" i="22" s="1"/>
  <c r="S67" i="22"/>
  <c r="S5" i="22" s="1"/>
  <c r="R67" i="22"/>
  <c r="Q67" i="22"/>
  <c r="P67" i="22"/>
  <c r="O67" i="22"/>
  <c r="N67" i="22"/>
  <c r="N5" i="22" s="1"/>
  <c r="M67" i="22"/>
  <c r="L67" i="22"/>
  <c r="L5" i="22" s="1"/>
  <c r="K67" i="22"/>
  <c r="K5" i="22" s="1"/>
  <c r="J67" i="22"/>
  <c r="I67" i="22"/>
  <c r="I5" i="22" s="1"/>
  <c r="H67" i="22"/>
  <c r="G67" i="22"/>
  <c r="F67" i="22"/>
  <c r="F5" i="22" s="1"/>
  <c r="E67" i="22"/>
  <c r="D67" i="22"/>
  <c r="D5" i="22" s="1"/>
  <c r="C67" i="22"/>
  <c r="C5" i="22" s="1"/>
  <c r="B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AI54" i="22"/>
  <c r="AH54" i="22"/>
  <c r="AI53" i="22"/>
  <c r="AH53" i="22"/>
  <c r="AI52" i="22"/>
  <c r="AH52" i="22"/>
  <c r="Y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AG50" i="22"/>
  <c r="AG51" i="22" s="1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G2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2" i="22"/>
  <c r="AH12" i="22"/>
  <c r="AI11" i="22"/>
  <c r="AH11" i="22"/>
  <c r="AE5" i="22"/>
  <c r="AB5" i="22"/>
  <c r="Z5" i="22"/>
  <c r="R5" i="22"/>
  <c r="Q5" i="22"/>
  <c r="O5" i="22"/>
  <c r="J5" i="22"/>
  <c r="G5" i="22"/>
  <c r="B5" i="22"/>
  <c r="AG4" i="22"/>
  <c r="K4" i="22"/>
  <c r="B4" i="22"/>
  <c r="AF35" i="20"/>
  <c r="AE35" i="20"/>
  <c r="AD35" i="20"/>
  <c r="AC35" i="20"/>
  <c r="AB35" i="20"/>
  <c r="AA35" i="20"/>
  <c r="Z35" i="20"/>
  <c r="X91" i="20"/>
  <c r="Y35" i="20"/>
  <c r="X35" i="20"/>
  <c r="W93" i="20"/>
  <c r="V93" i="20"/>
  <c r="AH93" i="20" s="1"/>
  <c r="AI93" i="20" s="1"/>
  <c r="V35" i="20"/>
  <c r="U93" i="20"/>
  <c r="U35" i="20"/>
  <c r="T93" i="20"/>
  <c r="T35" i="20"/>
  <c r="S35" i="20"/>
  <c r="R35" i="20"/>
  <c r="Q35" i="20"/>
  <c r="O35" i="20"/>
  <c r="N35" i="20"/>
  <c r="M35" i="20"/>
  <c r="L35" i="20"/>
  <c r="K35" i="20"/>
  <c r="J35" i="20"/>
  <c r="I35" i="20"/>
  <c r="H35" i="20"/>
  <c r="G35" i="20"/>
  <c r="F35" i="20"/>
  <c r="D35" i="20"/>
  <c r="E35" i="20"/>
  <c r="AI35" i="20" s="1"/>
  <c r="AH97" i="20"/>
  <c r="AI97" i="20" s="1"/>
  <c r="C93" i="20"/>
  <c r="C35" i="20"/>
  <c r="B35" i="20"/>
  <c r="B93" i="20"/>
  <c r="B91" i="20"/>
  <c r="B78" i="20"/>
  <c r="B77" i="20"/>
  <c r="B80" i="20" s="1"/>
  <c r="B76" i="20"/>
  <c r="B75" i="20"/>
  <c r="B74" i="20"/>
  <c r="B70" i="20"/>
  <c r="B66" i="20"/>
  <c r="B54" i="20"/>
  <c r="B49" i="20"/>
  <c r="B50" i="20" s="1"/>
  <c r="B36" i="20"/>
  <c r="AF93" i="19"/>
  <c r="AF35" i="19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AF234" i="20"/>
  <c r="AE234" i="20"/>
  <c r="AD234" i="20"/>
  <c r="AC234" i="20"/>
  <c r="AB234" i="20"/>
  <c r="AA234" i="20"/>
  <c r="Z234" i="20"/>
  <c r="Y234" i="20"/>
  <c r="X234" i="20"/>
  <c r="W234" i="20"/>
  <c r="V234" i="20"/>
  <c r="U234" i="20"/>
  <c r="T234" i="20"/>
  <c r="S234" i="20"/>
  <c r="R234" i="20"/>
  <c r="Q234" i="20"/>
  <c r="P234" i="20"/>
  <c r="O234" i="20"/>
  <c r="N234" i="20"/>
  <c r="M234" i="20"/>
  <c r="L234" i="20"/>
  <c r="K234" i="20"/>
  <c r="J234" i="20"/>
  <c r="I234" i="20"/>
  <c r="H234" i="20"/>
  <c r="G234" i="20"/>
  <c r="F234" i="20"/>
  <c r="E234" i="20"/>
  <c r="D234" i="20"/>
  <c r="C234" i="20"/>
  <c r="B234" i="20"/>
  <c r="A234" i="20"/>
  <c r="AF233" i="20"/>
  <c r="AE233" i="20"/>
  <c r="AD233" i="20"/>
  <c r="AC233" i="20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233" i="20"/>
  <c r="B232" i="20"/>
  <c r="S207" i="20"/>
  <c r="AG197" i="20"/>
  <c r="B197" i="20"/>
  <c r="E196" i="20"/>
  <c r="F196" i="20" s="1"/>
  <c r="F232" i="20" s="1"/>
  <c r="D196" i="20"/>
  <c r="D232" i="20" s="1"/>
  <c r="C196" i="20"/>
  <c r="C232" i="20" s="1"/>
  <c r="C195" i="20"/>
  <c r="D195" i="20" s="1"/>
  <c r="E195" i="20" s="1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C194" i="20"/>
  <c r="D194" i="20" s="1"/>
  <c r="E194" i="20" s="1"/>
  <c r="F194" i="20" s="1"/>
  <c r="G194" i="20" s="1"/>
  <c r="H194" i="20" s="1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AD194" i="20" s="1"/>
  <c r="AE194" i="20" s="1"/>
  <c r="AF194" i="20" s="1"/>
  <c r="C193" i="20"/>
  <c r="D193" i="20" s="1"/>
  <c r="E193" i="20" s="1"/>
  <c r="F193" i="20" s="1"/>
  <c r="G193" i="20" s="1"/>
  <c r="H193" i="20" s="1"/>
  <c r="I193" i="20" s="1"/>
  <c r="J193" i="20" s="1"/>
  <c r="K193" i="20" s="1"/>
  <c r="L193" i="20" s="1"/>
  <c r="M193" i="20" s="1"/>
  <c r="N193" i="20" s="1"/>
  <c r="O193" i="20" s="1"/>
  <c r="P193" i="20" s="1"/>
  <c r="Q193" i="20" s="1"/>
  <c r="R193" i="20" s="1"/>
  <c r="S193" i="20" s="1"/>
  <c r="T193" i="20" s="1"/>
  <c r="U193" i="20" s="1"/>
  <c r="V193" i="20" s="1"/>
  <c r="W193" i="20" s="1"/>
  <c r="X193" i="20" s="1"/>
  <c r="Y193" i="20" s="1"/>
  <c r="Z193" i="20" s="1"/>
  <c r="AA193" i="20" s="1"/>
  <c r="AB193" i="20" s="1"/>
  <c r="AC193" i="20" s="1"/>
  <c r="AD193" i="20" s="1"/>
  <c r="AE193" i="20" s="1"/>
  <c r="AF193" i="20" s="1"/>
  <c r="C192" i="20"/>
  <c r="D192" i="20" s="1"/>
  <c r="E192" i="20" s="1"/>
  <c r="F192" i="20" s="1"/>
  <c r="G192" i="20" s="1"/>
  <c r="H192" i="20" s="1"/>
  <c r="I192" i="20" s="1"/>
  <c r="J192" i="20" s="1"/>
  <c r="K192" i="20" s="1"/>
  <c r="L192" i="20" s="1"/>
  <c r="M192" i="20" s="1"/>
  <c r="N192" i="20" s="1"/>
  <c r="O192" i="20" s="1"/>
  <c r="P192" i="20" s="1"/>
  <c r="Q192" i="20" s="1"/>
  <c r="R192" i="20" s="1"/>
  <c r="S192" i="20" s="1"/>
  <c r="T192" i="20" s="1"/>
  <c r="U192" i="20" s="1"/>
  <c r="V192" i="20" s="1"/>
  <c r="W192" i="20" s="1"/>
  <c r="X192" i="20" s="1"/>
  <c r="Y192" i="20" s="1"/>
  <c r="Z192" i="20" s="1"/>
  <c r="AA192" i="20" s="1"/>
  <c r="AB192" i="20" s="1"/>
  <c r="AC192" i="20" s="1"/>
  <c r="AD192" i="20" s="1"/>
  <c r="AE192" i="20" s="1"/>
  <c r="AF192" i="20" s="1"/>
  <c r="C191" i="20"/>
  <c r="AG189" i="20"/>
  <c r="B189" i="20"/>
  <c r="G188" i="20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C188" i="20"/>
  <c r="D188" i="20" s="1"/>
  <c r="E188" i="20" s="1"/>
  <c r="F188" i="20" s="1"/>
  <c r="D187" i="20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C187" i="20"/>
  <c r="C186" i="20"/>
  <c r="D186" i="20" s="1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C185" i="20"/>
  <c r="D185" i="20" s="1"/>
  <c r="E185" i="20" s="1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C184" i="20"/>
  <c r="D184" i="20" s="1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E183" i="20"/>
  <c r="F183" i="20" s="1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D183" i="20"/>
  <c r="C183" i="20"/>
  <c r="C182" i="20"/>
  <c r="D182" i="20" s="1"/>
  <c r="E182" i="20" s="1"/>
  <c r="F182" i="20" s="1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D181" i="20"/>
  <c r="E181" i="20" s="1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C181" i="20"/>
  <c r="F180" i="20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C180" i="20"/>
  <c r="D180" i="20" s="1"/>
  <c r="E180" i="20" s="1"/>
  <c r="C179" i="20"/>
  <c r="D179" i="20" s="1"/>
  <c r="E179" i="20" s="1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C178" i="20"/>
  <c r="D178" i="20" s="1"/>
  <c r="E178" i="20" s="1"/>
  <c r="F178" i="20" s="1"/>
  <c r="G178" i="20" s="1"/>
  <c r="H178" i="20" s="1"/>
  <c r="I178" i="20" s="1"/>
  <c r="J178" i="20" s="1"/>
  <c r="K178" i="20" s="1"/>
  <c r="L178" i="20" s="1"/>
  <c r="M178" i="20" s="1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C177" i="20"/>
  <c r="D177" i="20" s="1"/>
  <c r="E177" i="20" s="1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D176" i="20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C176" i="20"/>
  <c r="C174" i="20"/>
  <c r="D174" i="20" s="1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F173" i="20"/>
  <c r="G173" i="20" s="1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C173" i="20"/>
  <c r="D173" i="20" s="1"/>
  <c r="E173" i="20" s="1"/>
  <c r="C172" i="20"/>
  <c r="D172" i="20" s="1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C171" i="20"/>
  <c r="D171" i="20" s="1"/>
  <c r="E171" i="20" s="1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C170" i="20"/>
  <c r="D170" i="20" s="1"/>
  <c r="E170" i="20" s="1"/>
  <c r="F170" i="20" s="1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F169" i="20"/>
  <c r="G169" i="20" s="1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C169" i="20"/>
  <c r="D169" i="20" s="1"/>
  <c r="E169" i="20" s="1"/>
  <c r="C168" i="20"/>
  <c r="D168" i="20" s="1"/>
  <c r="E168" i="20" s="1"/>
  <c r="F168" i="20" s="1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C167" i="20"/>
  <c r="D167" i="20" s="1"/>
  <c r="E167" i="20" s="1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C165" i="20"/>
  <c r="D165" i="20" s="1"/>
  <c r="E165" i="20" s="1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C164" i="20"/>
  <c r="D164" i="20" s="1"/>
  <c r="E164" i="20" s="1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C163" i="20"/>
  <c r="D163" i="20" s="1"/>
  <c r="E163" i="20" s="1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E162" i="20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C162" i="20"/>
  <c r="D162" i="20" s="1"/>
  <c r="D161" i="20"/>
  <c r="E161" i="20" s="1"/>
  <c r="F161" i="20" s="1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C161" i="20"/>
  <c r="C160" i="20"/>
  <c r="D160" i="20" s="1"/>
  <c r="E160" i="20" s="1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D159" i="20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C159" i="20"/>
  <c r="K158" i="20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D158" i="20"/>
  <c r="E158" i="20" s="1"/>
  <c r="F158" i="20" s="1"/>
  <c r="G158" i="20" s="1"/>
  <c r="H158" i="20" s="1"/>
  <c r="I158" i="20" s="1"/>
  <c r="J158" i="20" s="1"/>
  <c r="C158" i="20"/>
  <c r="C157" i="20"/>
  <c r="D157" i="20" s="1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C156" i="20"/>
  <c r="D156" i="20" s="1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H155" i="20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C155" i="20"/>
  <c r="D155" i="20" s="1"/>
  <c r="E155" i="20" s="1"/>
  <c r="F155" i="20" s="1"/>
  <c r="G155" i="20" s="1"/>
  <c r="E154" i="20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C154" i="20"/>
  <c r="D154" i="20" s="1"/>
  <c r="C153" i="20"/>
  <c r="D153" i="20" s="1"/>
  <c r="E153" i="20" s="1"/>
  <c r="F153" i="20" s="1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C151" i="20"/>
  <c r="D151" i="20" s="1"/>
  <c r="E151" i="20" s="1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D150" i="20"/>
  <c r="E150" i="20" s="1"/>
  <c r="F150" i="20" s="1"/>
  <c r="G150" i="20" s="1"/>
  <c r="H150" i="20" s="1"/>
  <c r="I150" i="20" s="1"/>
  <c r="J150" i="20" s="1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C150" i="20"/>
  <c r="C149" i="20"/>
  <c r="D149" i="20" s="1"/>
  <c r="E149" i="20" s="1"/>
  <c r="F149" i="20" s="1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X149" i="20" s="1"/>
  <c r="Y149" i="20" s="1"/>
  <c r="Z149" i="20" s="1"/>
  <c r="AA149" i="20" s="1"/>
  <c r="AB149" i="20" s="1"/>
  <c r="AC149" i="20" s="1"/>
  <c r="AD149" i="20" s="1"/>
  <c r="AE149" i="20" s="1"/>
  <c r="AF149" i="20" s="1"/>
  <c r="C148" i="20"/>
  <c r="D148" i="20" s="1"/>
  <c r="E148" i="20" s="1"/>
  <c r="F148" i="20" s="1"/>
  <c r="G148" i="20" s="1"/>
  <c r="H148" i="20" s="1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D146" i="20"/>
  <c r="E146" i="20" s="1"/>
  <c r="F146" i="20" s="1"/>
  <c r="G146" i="20" s="1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C146" i="20"/>
  <c r="C145" i="20"/>
  <c r="D145" i="20" s="1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C143" i="20"/>
  <c r="D143" i="20" s="1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C142" i="20"/>
  <c r="D142" i="20" s="1"/>
  <c r="E142" i="20" s="1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L141" i="20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D141" i="20"/>
  <c r="E141" i="20" s="1"/>
  <c r="F141" i="20" s="1"/>
  <c r="G141" i="20" s="1"/>
  <c r="H141" i="20" s="1"/>
  <c r="I141" i="20" s="1"/>
  <c r="J141" i="20" s="1"/>
  <c r="K141" i="20" s="1"/>
  <c r="C141" i="20"/>
  <c r="C140" i="20"/>
  <c r="D140" i="20" s="1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C139" i="20"/>
  <c r="D139" i="20" s="1"/>
  <c r="E139" i="20" s="1"/>
  <c r="F139" i="20" s="1"/>
  <c r="G139" i="20" s="1"/>
  <c r="H139" i="20" s="1"/>
  <c r="I139" i="20" s="1"/>
  <c r="J139" i="20" s="1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C138" i="20"/>
  <c r="D138" i="20" s="1"/>
  <c r="E138" i="20" s="1"/>
  <c r="F138" i="20" s="1"/>
  <c r="G138" i="20" s="1"/>
  <c r="H138" i="20" s="1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F137" i="20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D137" i="20"/>
  <c r="E137" i="20" s="1"/>
  <c r="C137" i="20"/>
  <c r="C135" i="20"/>
  <c r="D135" i="20" s="1"/>
  <c r="E135" i="20" s="1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D134" i="20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C134" i="20"/>
  <c r="C133" i="20"/>
  <c r="D133" i="20" s="1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C132" i="20"/>
  <c r="D132" i="20" s="1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C131" i="20"/>
  <c r="D131" i="20" s="1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D130" i="20"/>
  <c r="E130" i="20" s="1"/>
  <c r="F130" i="20" s="1"/>
  <c r="G130" i="20" s="1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C130" i="20"/>
  <c r="Z129" i="20"/>
  <c r="AA129" i="20" s="1"/>
  <c r="AB129" i="20" s="1"/>
  <c r="AC129" i="20" s="1"/>
  <c r="AD129" i="20" s="1"/>
  <c r="AE129" i="20" s="1"/>
  <c r="AF129" i="20" s="1"/>
  <c r="F129" i="20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C129" i="20"/>
  <c r="D129" i="20" s="1"/>
  <c r="E129" i="20" s="1"/>
  <c r="C128" i="20"/>
  <c r="D128" i="20" s="1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D126" i="20"/>
  <c r="E126" i="20" s="1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C126" i="20"/>
  <c r="D125" i="20"/>
  <c r="E125" i="20" s="1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C125" i="20"/>
  <c r="C124" i="20"/>
  <c r="D124" i="20" s="1"/>
  <c r="E124" i="20" s="1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C123" i="20"/>
  <c r="D123" i="20" s="1"/>
  <c r="E123" i="20" s="1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C122" i="20"/>
  <c r="D122" i="20" s="1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D121" i="20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C121" i="20"/>
  <c r="C120" i="20"/>
  <c r="D120" i="20" s="1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D119" i="20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C119" i="20"/>
  <c r="J118" i="20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C118" i="20"/>
  <c r="D118" i="20" s="1"/>
  <c r="E118" i="20" s="1"/>
  <c r="F118" i="20" s="1"/>
  <c r="G118" i="20" s="1"/>
  <c r="H118" i="20" s="1"/>
  <c r="I118" i="20" s="1"/>
  <c r="D117" i="20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C117" i="20"/>
  <c r="E116" i="20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C116" i="20"/>
  <c r="D116" i="20" s="1"/>
  <c r="C115" i="20"/>
  <c r="D115" i="20" s="1"/>
  <c r="E115" i="20" s="1"/>
  <c r="F115" i="20" s="1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C114" i="20"/>
  <c r="D114" i="20" s="1"/>
  <c r="E114" i="20" s="1"/>
  <c r="F114" i="20" s="1"/>
  <c r="G114" i="20" s="1"/>
  <c r="H114" i="20" s="1"/>
  <c r="I114" i="20" s="1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C113" i="20"/>
  <c r="D113" i="20" s="1"/>
  <c r="E113" i="20" s="1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C112" i="20"/>
  <c r="D112" i="20" s="1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M111" i="20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L111" i="20"/>
  <c r="K111" i="20"/>
  <c r="J111" i="20"/>
  <c r="C111" i="20"/>
  <c r="D111" i="20" s="1"/>
  <c r="E111" i="20" s="1"/>
  <c r="F111" i="20" s="1"/>
  <c r="G111" i="20" s="1"/>
  <c r="H111" i="20" s="1"/>
  <c r="E110" i="20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C110" i="20"/>
  <c r="D110" i="20" s="1"/>
  <c r="C109" i="20"/>
  <c r="D109" i="20" s="1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C107" i="20"/>
  <c r="D107" i="20" s="1"/>
  <c r="E107" i="20" s="1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G106" i="20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C106" i="20"/>
  <c r="D106" i="20" s="1"/>
  <c r="E106" i="20" s="1"/>
  <c r="F106" i="20" s="1"/>
  <c r="F104" i="20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E104" i="20"/>
  <c r="C104" i="20"/>
  <c r="D104" i="20" s="1"/>
  <c r="C103" i="20"/>
  <c r="D103" i="20" s="1"/>
  <c r="E103" i="20" s="1"/>
  <c r="F103" i="20" s="1"/>
  <c r="G103" i="20" s="1"/>
  <c r="H103" i="20" s="1"/>
  <c r="I103" i="20" s="1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C102" i="20"/>
  <c r="D102" i="20" s="1"/>
  <c r="E102" i="20" s="1"/>
  <c r="F102" i="20" s="1"/>
  <c r="G102" i="20" s="1"/>
  <c r="H102" i="20" s="1"/>
  <c r="I102" i="20" s="1"/>
  <c r="J102" i="20" s="1"/>
  <c r="K102" i="20" s="1"/>
  <c r="L102" i="20" s="1"/>
  <c r="M102" i="20" s="1"/>
  <c r="N102" i="20" s="1"/>
  <c r="O102" i="20" s="1"/>
  <c r="P102" i="20" s="1"/>
  <c r="Q102" i="20" s="1"/>
  <c r="R102" i="20" s="1"/>
  <c r="S102" i="20" s="1"/>
  <c r="T102" i="20" s="1"/>
  <c r="U102" i="20" s="1"/>
  <c r="V102" i="20" s="1"/>
  <c r="W102" i="20" s="1"/>
  <c r="X102" i="20" s="1"/>
  <c r="Y102" i="20" s="1"/>
  <c r="Z102" i="20" s="1"/>
  <c r="AA102" i="20" s="1"/>
  <c r="AB102" i="20" s="1"/>
  <c r="AC102" i="20" s="1"/>
  <c r="AD102" i="20" s="1"/>
  <c r="AE102" i="20" s="1"/>
  <c r="AF102" i="20" s="1"/>
  <c r="H101" i="20"/>
  <c r="I101" i="20" s="1"/>
  <c r="J101" i="20" s="1"/>
  <c r="K101" i="20" s="1"/>
  <c r="L101" i="20" s="1"/>
  <c r="M101" i="20" s="1"/>
  <c r="N101" i="20" s="1"/>
  <c r="O101" i="20" s="1"/>
  <c r="P101" i="20" s="1"/>
  <c r="Q101" i="20" s="1"/>
  <c r="R101" i="20" s="1"/>
  <c r="S101" i="20" s="1"/>
  <c r="T101" i="20" s="1"/>
  <c r="U101" i="20" s="1"/>
  <c r="V101" i="20" s="1"/>
  <c r="W101" i="20" s="1"/>
  <c r="X101" i="20" s="1"/>
  <c r="Y101" i="20" s="1"/>
  <c r="Z101" i="20" s="1"/>
  <c r="AA101" i="20" s="1"/>
  <c r="AB101" i="20" s="1"/>
  <c r="AC101" i="20" s="1"/>
  <c r="AD101" i="20" s="1"/>
  <c r="AE101" i="20" s="1"/>
  <c r="AF101" i="20" s="1"/>
  <c r="D101" i="20"/>
  <c r="E101" i="20" s="1"/>
  <c r="F101" i="20" s="1"/>
  <c r="G101" i="20" s="1"/>
  <c r="C101" i="20"/>
  <c r="C100" i="20"/>
  <c r="D100" i="20" s="1"/>
  <c r="C99" i="20"/>
  <c r="D99" i="20" s="1"/>
  <c r="AH96" i="20"/>
  <c r="AI96" i="20" s="1"/>
  <c r="AH95" i="20"/>
  <c r="AI95" i="20" s="1"/>
  <c r="AH94" i="20"/>
  <c r="AI94" i="20" s="1"/>
  <c r="AH92" i="20"/>
  <c r="AI92" i="20" s="1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G80" i="20"/>
  <c r="AI79" i="20"/>
  <c r="AH79" i="20"/>
  <c r="AF78" i="20"/>
  <c r="AE78" i="20"/>
  <c r="AD78" i="20"/>
  <c r="AC78" i="20"/>
  <c r="AB78" i="20"/>
  <c r="AA78" i="20"/>
  <c r="Z78" i="20"/>
  <c r="Y78" i="20"/>
  <c r="X78" i="20"/>
  <c r="W78" i="20"/>
  <c r="V78" i="20"/>
  <c r="V80" i="20" s="1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AI72" i="20"/>
  <c r="AH72" i="20"/>
  <c r="AG70" i="20"/>
  <c r="AG73" i="20" s="1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AH70" i="20" s="1"/>
  <c r="AI69" i="20"/>
  <c r="AH69" i="20"/>
  <c r="AI68" i="20"/>
  <c r="AH68" i="20"/>
  <c r="AI67" i="20"/>
  <c r="AH67" i="20"/>
  <c r="AG66" i="20"/>
  <c r="AF66" i="20"/>
  <c r="AE66" i="20"/>
  <c r="AE5" i="20" s="1"/>
  <c r="AD66" i="20"/>
  <c r="AD5" i="20" s="1"/>
  <c r="AC66" i="20"/>
  <c r="AB66" i="20"/>
  <c r="AB5" i="20" s="1"/>
  <c r="AA66" i="20"/>
  <c r="AA5" i="20" s="1"/>
  <c r="Z66" i="20"/>
  <c r="Z5" i="20" s="1"/>
  <c r="Y66" i="20"/>
  <c r="Y5" i="20" s="1"/>
  <c r="X66" i="20"/>
  <c r="X5" i="20" s="1"/>
  <c r="W66" i="20"/>
  <c r="W5" i="20" s="1"/>
  <c r="V66" i="20"/>
  <c r="V5" i="20" s="1"/>
  <c r="U66" i="20"/>
  <c r="U5" i="20" s="1"/>
  <c r="T66" i="20"/>
  <c r="T5" i="20" s="1"/>
  <c r="S66" i="20"/>
  <c r="R66" i="20"/>
  <c r="R5" i="20" s="1"/>
  <c r="Q66" i="20"/>
  <c r="Q5" i="20" s="1"/>
  <c r="P66" i="20"/>
  <c r="P5" i="20" s="1"/>
  <c r="O66" i="20"/>
  <c r="O5" i="20" s="1"/>
  <c r="N66" i="20"/>
  <c r="M66" i="20"/>
  <c r="M5" i="20" s="1"/>
  <c r="L66" i="20"/>
  <c r="L5" i="20" s="1"/>
  <c r="K66" i="20"/>
  <c r="J66" i="20"/>
  <c r="J5" i="20" s="1"/>
  <c r="I66" i="20"/>
  <c r="I5" i="20" s="1"/>
  <c r="H66" i="20"/>
  <c r="G66" i="20"/>
  <c r="G5" i="20" s="1"/>
  <c r="F66" i="20"/>
  <c r="E66" i="20"/>
  <c r="D66" i="20"/>
  <c r="C66" i="20"/>
  <c r="C5" i="20" s="1"/>
  <c r="B5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G54" i="20"/>
  <c r="AG4" i="20" s="1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AI53" i="20"/>
  <c r="AH53" i="20"/>
  <c r="AI52" i="20"/>
  <c r="AH52" i="20"/>
  <c r="AI51" i="20"/>
  <c r="AH51" i="20"/>
  <c r="AG50" i="20"/>
  <c r="AG3" i="20" s="1"/>
  <c r="Y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AG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H71" i="20" s="1"/>
  <c r="G36" i="20"/>
  <c r="F36" i="20"/>
  <c r="E36" i="20"/>
  <c r="D36" i="20"/>
  <c r="C36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F5" i="20"/>
  <c r="AC5" i="20"/>
  <c r="S5" i="20"/>
  <c r="N5" i="20"/>
  <c r="K5" i="20"/>
  <c r="H5" i="20"/>
  <c r="E5" i="20"/>
  <c r="D5" i="20"/>
  <c r="K4" i="20"/>
  <c r="B4" i="20"/>
  <c r="AG2" i="20"/>
  <c r="AE93" i="19"/>
  <c r="AE35" i="19"/>
  <c r="AD93" i="19"/>
  <c r="AD35" i="19"/>
  <c r="AC35" i="19"/>
  <c r="AB35" i="19"/>
  <c r="AA93" i="19"/>
  <c r="AA35" i="19"/>
  <c r="Q93" i="19"/>
  <c r="P93" i="19"/>
  <c r="O93" i="19"/>
  <c r="N93" i="19"/>
  <c r="M93" i="19"/>
  <c r="L93" i="19"/>
  <c r="E4" i="20"/>
  <c r="E4" i="22"/>
  <c r="K6" i="23" l="1"/>
  <c r="H101" i="23"/>
  <c r="G190" i="23"/>
  <c r="H100" i="23"/>
  <c r="F192" i="23"/>
  <c r="E198" i="23"/>
  <c r="E92" i="23"/>
  <c r="T212" i="23"/>
  <c r="B7" i="23"/>
  <c r="E233" i="23"/>
  <c r="F197" i="23"/>
  <c r="AF81" i="22"/>
  <c r="AB81" i="22"/>
  <c r="Z81" i="22"/>
  <c r="Y81" i="22"/>
  <c r="Y72" i="22"/>
  <c r="X81" i="22"/>
  <c r="W81" i="22"/>
  <c r="S72" i="22"/>
  <c r="V81" i="22"/>
  <c r="U81" i="22"/>
  <c r="T81" i="22"/>
  <c r="S74" i="22"/>
  <c r="AH77" i="22"/>
  <c r="R81" i="22"/>
  <c r="R74" i="22"/>
  <c r="R7" i="22" s="1"/>
  <c r="Q81" i="22"/>
  <c r="Q72" i="22"/>
  <c r="AH37" i="22"/>
  <c r="P81" i="22"/>
  <c r="P72" i="22"/>
  <c r="R72" i="22"/>
  <c r="O81" i="22"/>
  <c r="AH76" i="22"/>
  <c r="O74" i="22"/>
  <c r="AG212" i="22" s="1"/>
  <c r="O72" i="22"/>
  <c r="N81" i="22"/>
  <c r="N72" i="22"/>
  <c r="L81" i="22"/>
  <c r="M81" i="22"/>
  <c r="L72" i="22"/>
  <c r="L74" i="22"/>
  <c r="K72" i="22"/>
  <c r="J81" i="22"/>
  <c r="J74" i="22"/>
  <c r="J7" i="22" s="1"/>
  <c r="I81" i="22"/>
  <c r="I72" i="22"/>
  <c r="H81" i="22"/>
  <c r="K74" i="22"/>
  <c r="K7" i="22" s="1"/>
  <c r="J72" i="22"/>
  <c r="H72" i="22"/>
  <c r="AH78" i="22"/>
  <c r="G81" i="22"/>
  <c r="AH55" i="22"/>
  <c r="G74" i="22"/>
  <c r="Y212" i="22" s="1"/>
  <c r="G72" i="22"/>
  <c r="F72" i="22"/>
  <c r="AI78" i="22"/>
  <c r="F81" i="22"/>
  <c r="E81" i="22"/>
  <c r="D81" i="22"/>
  <c r="D72" i="22"/>
  <c r="D74" i="22"/>
  <c r="V212" i="22" s="1"/>
  <c r="C72" i="22"/>
  <c r="C74" i="22"/>
  <c r="C7" i="22" s="1"/>
  <c r="AI55" i="22"/>
  <c r="AI37" i="22"/>
  <c r="H4" i="22"/>
  <c r="U5" i="22"/>
  <c r="AG6" i="22"/>
  <c r="E5" i="22"/>
  <c r="E72" i="22"/>
  <c r="M5" i="22"/>
  <c r="M72" i="22"/>
  <c r="AC5" i="22"/>
  <c r="AI75" i="22"/>
  <c r="C81" i="22"/>
  <c r="K81" i="22"/>
  <c r="S81" i="22"/>
  <c r="S82" i="22" s="1"/>
  <c r="AA81" i="22"/>
  <c r="D92" i="22"/>
  <c r="E101" i="22"/>
  <c r="AG3" i="22"/>
  <c r="AG72" i="22"/>
  <c r="AK212" i="22"/>
  <c r="S7" i="22"/>
  <c r="AH79" i="22"/>
  <c r="AH67" i="22"/>
  <c r="AD212" i="22"/>
  <c r="L7" i="22"/>
  <c r="AI79" i="22"/>
  <c r="E74" i="22"/>
  <c r="M74" i="22"/>
  <c r="AI77" i="22"/>
  <c r="AI67" i="22"/>
  <c r="AI71" i="22"/>
  <c r="AI76" i="22"/>
  <c r="H5" i="22"/>
  <c r="P5" i="22"/>
  <c r="X5" i="22"/>
  <c r="AF5" i="22"/>
  <c r="B72" i="22"/>
  <c r="F74" i="22"/>
  <c r="N74" i="22"/>
  <c r="N82" i="22" s="1"/>
  <c r="H74" i="22"/>
  <c r="P74" i="22"/>
  <c r="P82" i="22" s="1"/>
  <c r="I74" i="22"/>
  <c r="Q74" i="22"/>
  <c r="Q82" i="22" s="1"/>
  <c r="Y74" i="22"/>
  <c r="Y82" i="22" s="1"/>
  <c r="AG74" i="22"/>
  <c r="C190" i="22"/>
  <c r="S209" i="22"/>
  <c r="D209" i="22"/>
  <c r="AH75" i="22"/>
  <c r="B81" i="22"/>
  <c r="D100" i="22"/>
  <c r="D198" i="22"/>
  <c r="E193" i="22"/>
  <c r="F193" i="22" s="1"/>
  <c r="G193" i="22" s="1"/>
  <c r="H193" i="22" s="1"/>
  <c r="I193" i="22" s="1"/>
  <c r="J193" i="22" s="1"/>
  <c r="K193" i="22" s="1"/>
  <c r="L193" i="22" s="1"/>
  <c r="M193" i="22" s="1"/>
  <c r="N193" i="22" s="1"/>
  <c r="O193" i="22" s="1"/>
  <c r="P193" i="22" s="1"/>
  <c r="Q193" i="22" s="1"/>
  <c r="R193" i="22" s="1"/>
  <c r="S193" i="22" s="1"/>
  <c r="T193" i="22" s="1"/>
  <c r="U193" i="22" s="1"/>
  <c r="V193" i="22" s="1"/>
  <c r="W193" i="22" s="1"/>
  <c r="X193" i="22" s="1"/>
  <c r="Y193" i="22" s="1"/>
  <c r="Z193" i="22" s="1"/>
  <c r="AA193" i="22" s="1"/>
  <c r="AB193" i="22" s="1"/>
  <c r="AC193" i="22" s="1"/>
  <c r="AD193" i="22" s="1"/>
  <c r="AE193" i="22" s="1"/>
  <c r="AF193" i="22" s="1"/>
  <c r="E198" i="22"/>
  <c r="G192" i="22"/>
  <c r="D233" i="22"/>
  <c r="E197" i="22"/>
  <c r="Y73" i="20"/>
  <c r="AI76" i="20"/>
  <c r="AH35" i="20"/>
  <c r="S80" i="20"/>
  <c r="AA80" i="20"/>
  <c r="D80" i="20"/>
  <c r="AB80" i="20"/>
  <c r="Z80" i="20"/>
  <c r="AC80" i="20"/>
  <c r="AG71" i="20"/>
  <c r="D73" i="20"/>
  <c r="AD80" i="20"/>
  <c r="O80" i="20"/>
  <c r="W80" i="20"/>
  <c r="AE80" i="20"/>
  <c r="U80" i="20"/>
  <c r="T80" i="20"/>
  <c r="R80" i="20"/>
  <c r="S71" i="20"/>
  <c r="S73" i="20"/>
  <c r="R73" i="20"/>
  <c r="Q80" i="20"/>
  <c r="P71" i="20"/>
  <c r="P73" i="20"/>
  <c r="O71" i="20"/>
  <c r="O73" i="20"/>
  <c r="N71" i="20"/>
  <c r="N80" i="20"/>
  <c r="N73" i="20"/>
  <c r="F71" i="20"/>
  <c r="M80" i="20"/>
  <c r="M71" i="20"/>
  <c r="L80" i="20"/>
  <c r="L73" i="20"/>
  <c r="AD211" i="20" s="1"/>
  <c r="L71" i="20"/>
  <c r="I80" i="20"/>
  <c r="K80" i="20"/>
  <c r="J80" i="20"/>
  <c r="K71" i="20"/>
  <c r="G80" i="20"/>
  <c r="AI75" i="20"/>
  <c r="G71" i="20"/>
  <c r="G73" i="20"/>
  <c r="Y211" i="20" s="1"/>
  <c r="F5" i="20"/>
  <c r="F80" i="20"/>
  <c r="F73" i="20"/>
  <c r="E80" i="20"/>
  <c r="AH54" i="20"/>
  <c r="V211" i="20"/>
  <c r="D7" i="20"/>
  <c r="AH36" i="20"/>
  <c r="D71" i="20"/>
  <c r="D81" i="20" s="1"/>
  <c r="E71" i="20"/>
  <c r="AH77" i="20"/>
  <c r="AI77" i="20"/>
  <c r="C80" i="20"/>
  <c r="AI78" i="20"/>
  <c r="C73" i="20"/>
  <c r="C7" i="20" s="1"/>
  <c r="C71" i="20"/>
  <c r="B73" i="20"/>
  <c r="B71" i="20"/>
  <c r="B81" i="20" s="1"/>
  <c r="H4" i="20"/>
  <c r="AK211" i="20"/>
  <c r="S7" i="20"/>
  <c r="AG6" i="20"/>
  <c r="X211" i="20"/>
  <c r="F7" i="20"/>
  <c r="AF211" i="20"/>
  <c r="N7" i="20"/>
  <c r="AG211" i="20"/>
  <c r="O7" i="20"/>
  <c r="AH211" i="20"/>
  <c r="P7" i="20"/>
  <c r="AQ211" i="20"/>
  <c r="Y7" i="20"/>
  <c r="AJ211" i="20"/>
  <c r="R7" i="20"/>
  <c r="AI54" i="20"/>
  <c r="AI66" i="20"/>
  <c r="AI70" i="20"/>
  <c r="I71" i="20"/>
  <c r="Q71" i="20"/>
  <c r="Y71" i="20"/>
  <c r="E73" i="20"/>
  <c r="M73" i="20"/>
  <c r="M81" i="20" s="1"/>
  <c r="AH76" i="20"/>
  <c r="AI36" i="20"/>
  <c r="AH75" i="20"/>
  <c r="J71" i="20"/>
  <c r="R71" i="20"/>
  <c r="R81" i="20" s="1"/>
  <c r="S208" i="20"/>
  <c r="D208" i="20"/>
  <c r="AH66" i="20"/>
  <c r="AH78" i="20"/>
  <c r="AI74" i="20"/>
  <c r="N81" i="20"/>
  <c r="H73" i="20"/>
  <c r="S81" i="20"/>
  <c r="E100" i="20"/>
  <c r="O81" i="20"/>
  <c r="I73" i="20"/>
  <c r="Q73" i="20"/>
  <c r="J73" i="20"/>
  <c r="H80" i="20"/>
  <c r="P80" i="20"/>
  <c r="P81" i="20" s="1"/>
  <c r="X80" i="20"/>
  <c r="AF80" i="20"/>
  <c r="C91" i="20"/>
  <c r="AG81" i="20"/>
  <c r="K73" i="20"/>
  <c r="Y80" i="20"/>
  <c r="AH74" i="20"/>
  <c r="C189" i="20"/>
  <c r="D189" i="20"/>
  <c r="E99" i="20"/>
  <c r="C197" i="20"/>
  <c r="D191" i="20"/>
  <c r="D91" i="20" s="1"/>
  <c r="G196" i="20"/>
  <c r="E232" i="20"/>
  <c r="AJ212" i="22" l="1"/>
  <c r="R82" i="22"/>
  <c r="H190" i="23"/>
  <c r="I100" i="23"/>
  <c r="I101" i="23"/>
  <c r="G197" i="23"/>
  <c r="F233" i="23"/>
  <c r="F198" i="23"/>
  <c r="G192" i="23"/>
  <c r="F92" i="23"/>
  <c r="D7" i="22"/>
  <c r="AB212" i="22"/>
  <c r="I82" i="22"/>
  <c r="U212" i="22"/>
  <c r="G82" i="22"/>
  <c r="AG82" i="22"/>
  <c r="O82" i="22"/>
  <c r="O7" i="22"/>
  <c r="M82" i="22"/>
  <c r="L82" i="22"/>
  <c r="AC212" i="22"/>
  <c r="J82" i="22"/>
  <c r="C82" i="22"/>
  <c r="K82" i="22"/>
  <c r="G7" i="22"/>
  <c r="E82" i="22"/>
  <c r="D82" i="22"/>
  <c r="Z212" i="22"/>
  <c r="H7" i="22"/>
  <c r="X212" i="22"/>
  <c r="C207" i="22"/>
  <c r="B207" i="22"/>
  <c r="F7" i="22"/>
  <c r="W212" i="22"/>
  <c r="E7" i="22"/>
  <c r="B74" i="22"/>
  <c r="B82" i="22" s="1"/>
  <c r="AQ212" i="22"/>
  <c r="Y7" i="22"/>
  <c r="F82" i="22"/>
  <c r="D190" i="22"/>
  <c r="E100" i="22"/>
  <c r="AI212" i="22"/>
  <c r="Q7" i="22"/>
  <c r="E233" i="22"/>
  <c r="F197" i="22"/>
  <c r="AI81" i="22"/>
  <c r="AH81" i="22"/>
  <c r="AA212" i="22"/>
  <c r="I7" i="22"/>
  <c r="E92" i="22"/>
  <c r="F101" i="22"/>
  <c r="H82" i="22"/>
  <c r="F198" i="22"/>
  <c r="AE212" i="22"/>
  <c r="M7" i="22"/>
  <c r="H192" i="22"/>
  <c r="AH212" i="22"/>
  <c r="P7" i="22"/>
  <c r="AF212" i="22"/>
  <c r="N7" i="22"/>
  <c r="Y81" i="20"/>
  <c r="F81" i="20"/>
  <c r="Q81" i="20"/>
  <c r="AH80" i="20"/>
  <c r="L81" i="20"/>
  <c r="G81" i="20"/>
  <c r="G7" i="20"/>
  <c r="L7" i="20"/>
  <c r="J81" i="20"/>
  <c r="B206" i="20"/>
  <c r="I81" i="20"/>
  <c r="AI80" i="20"/>
  <c r="H81" i="20"/>
  <c r="E81" i="20"/>
  <c r="C81" i="20"/>
  <c r="U211" i="20"/>
  <c r="G232" i="20"/>
  <c r="H196" i="20"/>
  <c r="F100" i="20"/>
  <c r="E91" i="20"/>
  <c r="E189" i="20"/>
  <c r="F99" i="20"/>
  <c r="AI211" i="20"/>
  <c r="Q7" i="20"/>
  <c r="C206" i="20"/>
  <c r="K6" i="20" s="1"/>
  <c r="AC211" i="20"/>
  <c r="K7" i="20"/>
  <c r="AA211" i="20"/>
  <c r="I7" i="20"/>
  <c r="Z211" i="20"/>
  <c r="H7" i="20"/>
  <c r="AB211" i="20"/>
  <c r="J7" i="20"/>
  <c r="W211" i="20"/>
  <c r="E7" i="20"/>
  <c r="E191" i="20"/>
  <c r="D197" i="20"/>
  <c r="K81" i="20"/>
  <c r="AE211" i="20"/>
  <c r="M7" i="20"/>
  <c r="G233" i="23" l="1"/>
  <c r="H197" i="23"/>
  <c r="J101" i="23"/>
  <c r="I190" i="23"/>
  <c r="J100" i="23"/>
  <c r="H192" i="23"/>
  <c r="G198" i="23"/>
  <c r="G92" i="23"/>
  <c r="K6" i="22"/>
  <c r="F233" i="22"/>
  <c r="G197" i="22"/>
  <c r="G101" i="22"/>
  <c r="F92" i="22"/>
  <c r="I192" i="22"/>
  <c r="E190" i="22"/>
  <c r="F100" i="22"/>
  <c r="T212" i="22"/>
  <c r="B7" i="22"/>
  <c r="G100" i="20"/>
  <c r="F191" i="20"/>
  <c r="F91" i="20" s="1"/>
  <c r="E197" i="20"/>
  <c r="I196" i="20"/>
  <c r="H232" i="20"/>
  <c r="T211" i="20"/>
  <c r="B7" i="20"/>
  <c r="F189" i="20"/>
  <c r="G99" i="20"/>
  <c r="I192" i="23" l="1"/>
  <c r="H198" i="23"/>
  <c r="H92" i="23"/>
  <c r="K101" i="23"/>
  <c r="J190" i="23"/>
  <c r="K100" i="23"/>
  <c r="H233" i="23"/>
  <c r="I197" i="23"/>
  <c r="G92" i="22"/>
  <c r="H101" i="22"/>
  <c r="F190" i="22"/>
  <c r="G100" i="22"/>
  <c r="G233" i="22"/>
  <c r="H197" i="22"/>
  <c r="G198" i="22"/>
  <c r="J192" i="22"/>
  <c r="J196" i="20"/>
  <c r="I232" i="20"/>
  <c r="G189" i="20"/>
  <c r="H99" i="20"/>
  <c r="G191" i="20"/>
  <c r="G91" i="20" s="1"/>
  <c r="F197" i="20"/>
  <c r="H100" i="20"/>
  <c r="K190" i="23" l="1"/>
  <c r="L100" i="23"/>
  <c r="L101" i="23"/>
  <c r="J197" i="23"/>
  <c r="I233" i="23"/>
  <c r="I198" i="23"/>
  <c r="J192" i="23"/>
  <c r="I92" i="23"/>
  <c r="G190" i="22"/>
  <c r="H100" i="22"/>
  <c r="H233" i="22"/>
  <c r="I197" i="22"/>
  <c r="H198" i="22"/>
  <c r="I101" i="22"/>
  <c r="H92" i="22"/>
  <c r="K192" i="22"/>
  <c r="I100" i="20"/>
  <c r="K196" i="20"/>
  <c r="J232" i="20"/>
  <c r="G197" i="20"/>
  <c r="H191" i="20"/>
  <c r="H189" i="20"/>
  <c r="I99" i="20"/>
  <c r="J233" i="23" l="1"/>
  <c r="K197" i="23"/>
  <c r="M101" i="23"/>
  <c r="L190" i="23"/>
  <c r="M100" i="23"/>
  <c r="K192" i="23"/>
  <c r="J198" i="23"/>
  <c r="J92" i="23"/>
  <c r="H190" i="22"/>
  <c r="I100" i="22"/>
  <c r="L192" i="22"/>
  <c r="J101" i="22"/>
  <c r="I92" i="22"/>
  <c r="J197" i="22"/>
  <c r="I233" i="22"/>
  <c r="I198" i="22"/>
  <c r="I189" i="20"/>
  <c r="J99" i="20"/>
  <c r="H197" i="20"/>
  <c r="I191" i="20"/>
  <c r="L196" i="20"/>
  <c r="K232" i="20"/>
  <c r="H91" i="20"/>
  <c r="J100" i="20"/>
  <c r="I91" i="20"/>
  <c r="N101" i="23" l="1"/>
  <c r="K233" i="23"/>
  <c r="L197" i="23"/>
  <c r="K198" i="23"/>
  <c r="L192" i="23"/>
  <c r="K92" i="23"/>
  <c r="M190" i="23"/>
  <c r="N100" i="23"/>
  <c r="K101" i="22"/>
  <c r="J92" i="22"/>
  <c r="M192" i="22"/>
  <c r="I190" i="22"/>
  <c r="J100" i="22"/>
  <c r="K197" i="22"/>
  <c r="J233" i="22"/>
  <c r="J198" i="22"/>
  <c r="K100" i="20"/>
  <c r="J91" i="20"/>
  <c r="L232" i="20"/>
  <c r="M196" i="20"/>
  <c r="I197" i="20"/>
  <c r="J191" i="20"/>
  <c r="J189" i="20"/>
  <c r="K99" i="20"/>
  <c r="M197" i="23" l="1"/>
  <c r="L233" i="23"/>
  <c r="M192" i="23"/>
  <c r="L198" i="23"/>
  <c r="L92" i="23"/>
  <c r="O101" i="23"/>
  <c r="N190" i="23"/>
  <c r="O100" i="23"/>
  <c r="J190" i="22"/>
  <c r="K100" i="22"/>
  <c r="K233" i="22"/>
  <c r="L197" i="22"/>
  <c r="K198" i="22"/>
  <c r="N192" i="22"/>
  <c r="L101" i="22"/>
  <c r="K92" i="22"/>
  <c r="K189" i="20"/>
  <c r="L99" i="20"/>
  <c r="J197" i="20"/>
  <c r="K191" i="20"/>
  <c r="M232" i="20"/>
  <c r="N196" i="20"/>
  <c r="L100" i="20"/>
  <c r="K91" i="20"/>
  <c r="P101" i="23" l="1"/>
  <c r="N192" i="23"/>
  <c r="M198" i="23"/>
  <c r="M92" i="23"/>
  <c r="O190" i="23"/>
  <c r="P100" i="23"/>
  <c r="M233" i="23"/>
  <c r="N197" i="23"/>
  <c r="M101" i="22"/>
  <c r="L92" i="22"/>
  <c r="K190" i="22"/>
  <c r="L100" i="22"/>
  <c r="O192" i="22"/>
  <c r="L233" i="22"/>
  <c r="M197" i="22"/>
  <c r="L198" i="22"/>
  <c r="M100" i="20"/>
  <c r="N232" i="20"/>
  <c r="O196" i="20"/>
  <c r="K197" i="20"/>
  <c r="L191" i="20"/>
  <c r="L189" i="20"/>
  <c r="M99" i="20"/>
  <c r="P190" i="23" l="1"/>
  <c r="Q100" i="23"/>
  <c r="N198" i="23"/>
  <c r="O192" i="23"/>
  <c r="N92" i="23"/>
  <c r="O197" i="23"/>
  <c r="N233" i="23"/>
  <c r="Q101" i="23"/>
  <c r="M233" i="22"/>
  <c r="N197" i="22"/>
  <c r="M198" i="22"/>
  <c r="L190" i="22"/>
  <c r="M100" i="22"/>
  <c r="P192" i="22"/>
  <c r="N101" i="22"/>
  <c r="M92" i="22"/>
  <c r="M189" i="20"/>
  <c r="N99" i="20"/>
  <c r="O232" i="20"/>
  <c r="P196" i="20"/>
  <c r="M91" i="20"/>
  <c r="N100" i="20"/>
  <c r="M191" i="20"/>
  <c r="L197" i="20"/>
  <c r="L91" i="20"/>
  <c r="R101" i="23" l="1"/>
  <c r="O233" i="23"/>
  <c r="P197" i="23"/>
  <c r="P192" i="23"/>
  <c r="O198" i="23"/>
  <c r="O92" i="23"/>
  <c r="Q190" i="23"/>
  <c r="R100" i="23"/>
  <c r="O101" i="22"/>
  <c r="N92" i="22"/>
  <c r="M190" i="22"/>
  <c r="N100" i="22"/>
  <c r="Q192" i="22"/>
  <c r="N233" i="22"/>
  <c r="O197" i="22"/>
  <c r="N198" i="22"/>
  <c r="N191" i="20"/>
  <c r="N91" i="20" s="1"/>
  <c r="M197" i="20"/>
  <c r="O100" i="20"/>
  <c r="Q196" i="20"/>
  <c r="P232" i="20"/>
  <c r="N189" i="20"/>
  <c r="O99" i="20"/>
  <c r="P198" i="23" l="1"/>
  <c r="Q192" i="23"/>
  <c r="P92" i="23"/>
  <c r="P233" i="23"/>
  <c r="Q197" i="23"/>
  <c r="S101" i="23"/>
  <c r="R190" i="23"/>
  <c r="S100" i="23"/>
  <c r="R192" i="22"/>
  <c r="O233" i="22"/>
  <c r="P197" i="22"/>
  <c r="O198" i="22"/>
  <c r="N190" i="22"/>
  <c r="O100" i="22"/>
  <c r="O92" i="22"/>
  <c r="P101" i="22"/>
  <c r="O189" i="20"/>
  <c r="P99" i="20"/>
  <c r="Q232" i="20"/>
  <c r="R196" i="20"/>
  <c r="O91" i="20"/>
  <c r="P100" i="20"/>
  <c r="O191" i="20"/>
  <c r="N197" i="20"/>
  <c r="T101" i="23" l="1"/>
  <c r="R197" i="23"/>
  <c r="Q233" i="23"/>
  <c r="Q198" i="23"/>
  <c r="R192" i="23"/>
  <c r="Q92" i="23"/>
  <c r="S190" i="23"/>
  <c r="T100" i="23"/>
  <c r="O190" i="22"/>
  <c r="P100" i="22"/>
  <c r="S192" i="22"/>
  <c r="P233" i="22"/>
  <c r="Q197" i="22"/>
  <c r="P198" i="22"/>
  <c r="Q101" i="22"/>
  <c r="P92" i="22"/>
  <c r="O197" i="20"/>
  <c r="P191" i="20"/>
  <c r="Q100" i="20"/>
  <c r="P91" i="20"/>
  <c r="S196" i="20"/>
  <c r="R232" i="20"/>
  <c r="P189" i="20"/>
  <c r="Q99" i="20"/>
  <c r="S192" i="23" l="1"/>
  <c r="R198" i="23"/>
  <c r="R92" i="23"/>
  <c r="R233" i="23"/>
  <c r="S197" i="23"/>
  <c r="T190" i="23"/>
  <c r="U100" i="23"/>
  <c r="U101" i="23"/>
  <c r="R101" i="22"/>
  <c r="Q92" i="22"/>
  <c r="R197" i="22"/>
  <c r="Q233" i="22"/>
  <c r="Q198" i="22"/>
  <c r="T192" i="22"/>
  <c r="P190" i="22"/>
  <c r="Q100" i="22"/>
  <c r="Q189" i="20"/>
  <c r="R99" i="20"/>
  <c r="T196" i="20"/>
  <c r="S232" i="20"/>
  <c r="P197" i="20"/>
  <c r="Q191" i="20"/>
  <c r="R100" i="20"/>
  <c r="Q91" i="20"/>
  <c r="V101" i="23" l="1"/>
  <c r="S233" i="23"/>
  <c r="T197" i="23"/>
  <c r="U190" i="23"/>
  <c r="V100" i="23"/>
  <c r="S198" i="23"/>
  <c r="T192" i="23"/>
  <c r="S92" i="23"/>
  <c r="U192" i="22"/>
  <c r="S197" i="22"/>
  <c r="R233" i="22"/>
  <c r="R198" i="22"/>
  <c r="Q190" i="22"/>
  <c r="R100" i="22"/>
  <c r="S101" i="22"/>
  <c r="R92" i="22"/>
  <c r="R189" i="20"/>
  <c r="S99" i="20"/>
  <c r="S100" i="20"/>
  <c r="Q197" i="20"/>
  <c r="R191" i="20"/>
  <c r="U196" i="20"/>
  <c r="T232" i="20"/>
  <c r="T198" i="23" l="1"/>
  <c r="T50" i="23" s="1"/>
  <c r="U192" i="23"/>
  <c r="T92" i="23"/>
  <c r="V190" i="23"/>
  <c r="W100" i="23"/>
  <c r="U197" i="23"/>
  <c r="T233" i="23"/>
  <c r="W101" i="23"/>
  <c r="T101" i="22"/>
  <c r="S92" i="22"/>
  <c r="R190" i="22"/>
  <c r="S100" i="22"/>
  <c r="S233" i="22"/>
  <c r="T197" i="22"/>
  <c r="S198" i="22"/>
  <c r="V192" i="22"/>
  <c r="R197" i="20"/>
  <c r="S191" i="20"/>
  <c r="U232" i="20"/>
  <c r="V196" i="20"/>
  <c r="T100" i="20"/>
  <c r="S91" i="20"/>
  <c r="R91" i="20"/>
  <c r="S189" i="20"/>
  <c r="T99" i="20"/>
  <c r="U233" i="23" l="1"/>
  <c r="V197" i="23"/>
  <c r="W190" i="23"/>
  <c r="X100" i="23"/>
  <c r="V192" i="23"/>
  <c r="U198" i="23"/>
  <c r="U50" i="23" s="1"/>
  <c r="U51" i="23" s="1"/>
  <c r="U92" i="23"/>
  <c r="X101" i="23"/>
  <c r="T51" i="23"/>
  <c r="W192" i="22"/>
  <c r="T233" i="22"/>
  <c r="U197" i="22"/>
  <c r="T198" i="22"/>
  <c r="T50" i="22" s="1"/>
  <c r="S190" i="22"/>
  <c r="T100" i="22"/>
  <c r="U101" i="22"/>
  <c r="T92" i="22"/>
  <c r="V232" i="20"/>
  <c r="W196" i="20"/>
  <c r="T191" i="20"/>
  <c r="S197" i="20"/>
  <c r="U100" i="20"/>
  <c r="T91" i="20"/>
  <c r="T189" i="20"/>
  <c r="U99" i="20"/>
  <c r="V198" i="23" l="1"/>
  <c r="V51" i="23" s="1"/>
  <c r="W192" i="23"/>
  <c r="V92" i="23"/>
  <c r="X190" i="23"/>
  <c r="Y100" i="23"/>
  <c r="T74" i="23"/>
  <c r="T72" i="23"/>
  <c r="U72" i="23"/>
  <c r="U74" i="23"/>
  <c r="V233" i="23"/>
  <c r="W197" i="23"/>
  <c r="Y101" i="23"/>
  <c r="T190" i="22"/>
  <c r="U100" i="22"/>
  <c r="V101" i="22"/>
  <c r="U92" i="22"/>
  <c r="T51" i="22"/>
  <c r="U233" i="22"/>
  <c r="V197" i="22"/>
  <c r="U198" i="22"/>
  <c r="U50" i="22" s="1"/>
  <c r="U51" i="22" s="1"/>
  <c r="X192" i="22"/>
  <c r="U189" i="20"/>
  <c r="V99" i="20"/>
  <c r="U91" i="20"/>
  <c r="V100" i="20"/>
  <c r="T197" i="20"/>
  <c r="T49" i="20" s="1"/>
  <c r="U191" i="20"/>
  <c r="W232" i="20"/>
  <c r="X196" i="20"/>
  <c r="Z101" i="23" l="1"/>
  <c r="Y190" i="23"/>
  <c r="Z100" i="23"/>
  <c r="T82" i="23"/>
  <c r="AM212" i="23"/>
  <c r="U7" i="23"/>
  <c r="W233" i="23"/>
  <c r="X197" i="23"/>
  <c r="U82" i="23"/>
  <c r="X192" i="23"/>
  <c r="W198" i="23"/>
  <c r="W92" i="23"/>
  <c r="AL212" i="23"/>
  <c r="T7" i="23"/>
  <c r="V74" i="23"/>
  <c r="V72" i="23"/>
  <c r="V82" i="23" s="1"/>
  <c r="T72" i="22"/>
  <c r="T74" i="22"/>
  <c r="W101" i="22"/>
  <c r="V92" i="22"/>
  <c r="Y192" i="22"/>
  <c r="U72" i="22"/>
  <c r="U74" i="22"/>
  <c r="U190" i="22"/>
  <c r="V100" i="22"/>
  <c r="V233" i="22"/>
  <c r="W197" i="22"/>
  <c r="V198" i="22"/>
  <c r="V50" i="22" s="1"/>
  <c r="V189" i="20"/>
  <c r="W99" i="20"/>
  <c r="Y196" i="20"/>
  <c r="X232" i="20"/>
  <c r="U197" i="20"/>
  <c r="U49" i="20" s="1"/>
  <c r="U50" i="20" s="1"/>
  <c r="V191" i="20"/>
  <c r="V91" i="20" s="1"/>
  <c r="T50" i="20"/>
  <c r="W100" i="20"/>
  <c r="Y192" i="23" l="1"/>
  <c r="X198" i="23"/>
  <c r="X51" i="23" s="1"/>
  <c r="X92" i="23"/>
  <c r="AN212" i="23"/>
  <c r="V7" i="23"/>
  <c r="Z190" i="23"/>
  <c r="AA100" i="23"/>
  <c r="W51" i="23"/>
  <c r="X233" i="23"/>
  <c r="Y197" i="23"/>
  <c r="AA101" i="23"/>
  <c r="V51" i="22"/>
  <c r="W233" i="22"/>
  <c r="X197" i="22"/>
  <c r="W198" i="22"/>
  <c r="W51" i="22" s="1"/>
  <c r="Z192" i="22"/>
  <c r="AM212" i="22"/>
  <c r="U7" i="22"/>
  <c r="W92" i="22"/>
  <c r="X101" i="22"/>
  <c r="V190" i="22"/>
  <c r="W100" i="22"/>
  <c r="AL212" i="22"/>
  <c r="T7" i="22"/>
  <c r="U82" i="22"/>
  <c r="T82" i="22"/>
  <c r="U71" i="20"/>
  <c r="U73" i="20"/>
  <c r="Y232" i="20"/>
  <c r="Z196" i="20"/>
  <c r="W91" i="20"/>
  <c r="X100" i="20"/>
  <c r="W189" i="20"/>
  <c r="X99" i="20"/>
  <c r="W191" i="20"/>
  <c r="V197" i="20"/>
  <c r="V49" i="20" s="1"/>
  <c r="T73" i="20"/>
  <c r="T71" i="20"/>
  <c r="Z197" i="23" l="1"/>
  <c r="Y233" i="23"/>
  <c r="AB101" i="23"/>
  <c r="W74" i="23"/>
  <c r="W72" i="23"/>
  <c r="X72" i="23"/>
  <c r="X74" i="23"/>
  <c r="AA190" i="23"/>
  <c r="AB100" i="23"/>
  <c r="Y198" i="23"/>
  <c r="Z192" i="23"/>
  <c r="Y92" i="23"/>
  <c r="X233" i="22"/>
  <c r="Y197" i="22"/>
  <c r="X198" i="22"/>
  <c r="X50" i="22" s="1"/>
  <c r="X51" i="22" s="1"/>
  <c r="W74" i="22"/>
  <c r="W72" i="22"/>
  <c r="Y101" i="22"/>
  <c r="X92" i="22"/>
  <c r="W190" i="22"/>
  <c r="X100" i="22"/>
  <c r="AA192" i="22"/>
  <c r="V72" i="22"/>
  <c r="V74" i="22"/>
  <c r="X189" i="20"/>
  <c r="Y99" i="20"/>
  <c r="V50" i="20"/>
  <c r="T81" i="20"/>
  <c r="Y100" i="20"/>
  <c r="AA196" i="20"/>
  <c r="Z232" i="20"/>
  <c r="AL211" i="20"/>
  <c r="T7" i="20"/>
  <c r="AM211" i="20"/>
  <c r="U7" i="20"/>
  <c r="W197" i="20"/>
  <c r="W50" i="20" s="1"/>
  <c r="X191" i="20"/>
  <c r="U81" i="20"/>
  <c r="W82" i="22" l="1"/>
  <c r="W82" i="23"/>
  <c r="AO212" i="23"/>
  <c r="W7" i="23"/>
  <c r="AC101" i="23"/>
  <c r="AA192" i="23"/>
  <c r="Z198" i="23"/>
  <c r="Z50" i="23" s="1"/>
  <c r="Z92" i="23"/>
  <c r="AB190" i="23"/>
  <c r="AC100" i="23"/>
  <c r="AP212" i="23"/>
  <c r="X7" i="23"/>
  <c r="X82" i="23"/>
  <c r="Z233" i="23"/>
  <c r="AA197" i="23"/>
  <c r="AO212" i="22"/>
  <c r="W7" i="22"/>
  <c r="AB192" i="22"/>
  <c r="X74" i="22"/>
  <c r="X72" i="22"/>
  <c r="X82" i="22" s="1"/>
  <c r="X190" i="22"/>
  <c r="Y100" i="22"/>
  <c r="Z197" i="22"/>
  <c r="Y233" i="22"/>
  <c r="Y198" i="22"/>
  <c r="AN212" i="22"/>
  <c r="V7" i="22"/>
  <c r="V82" i="22"/>
  <c r="Z101" i="22"/>
  <c r="Y92" i="22"/>
  <c r="W71" i="20"/>
  <c r="W73" i="20"/>
  <c r="AB196" i="20"/>
  <c r="AA232" i="20"/>
  <c r="V73" i="20"/>
  <c r="V71" i="20"/>
  <c r="Y189" i="20"/>
  <c r="Z99" i="20"/>
  <c r="X197" i="20"/>
  <c r="X49" i="20" s="1"/>
  <c r="Y191" i="20"/>
  <c r="Z100" i="20"/>
  <c r="AD101" i="23" l="1"/>
  <c r="AC190" i="23"/>
  <c r="AD100" i="23"/>
  <c r="AA233" i="23"/>
  <c r="AB197" i="23"/>
  <c r="Z51" i="23"/>
  <c r="AA198" i="23"/>
  <c r="AA50" i="23" s="1"/>
  <c r="AA51" i="23" s="1"/>
  <c r="AB192" i="23"/>
  <c r="AA92" i="23"/>
  <c r="Y190" i="22"/>
  <c r="Z100" i="22"/>
  <c r="AP212" i="22"/>
  <c r="X7" i="22"/>
  <c r="AC192" i="22"/>
  <c r="AA101" i="22"/>
  <c r="Z92" i="22"/>
  <c r="AA197" i="22"/>
  <c r="Z233" i="22"/>
  <c r="Z198" i="22"/>
  <c r="Z50" i="22" s="1"/>
  <c r="V81" i="20"/>
  <c r="Z189" i="20"/>
  <c r="AA99" i="20"/>
  <c r="Y197" i="20"/>
  <c r="Z191" i="20"/>
  <c r="Z91" i="20" s="1"/>
  <c r="AC196" i="20"/>
  <c r="AB232" i="20"/>
  <c r="W81" i="20"/>
  <c r="X50" i="20"/>
  <c r="AN211" i="20"/>
  <c r="V7" i="20"/>
  <c r="AO211" i="20"/>
  <c r="W7" i="20"/>
  <c r="Y91" i="20"/>
  <c r="AA100" i="20"/>
  <c r="AD190" i="23" l="1"/>
  <c r="AE100" i="23"/>
  <c r="Z72" i="23"/>
  <c r="Z74" i="23"/>
  <c r="AC197" i="23"/>
  <c r="AB233" i="23"/>
  <c r="AC192" i="23"/>
  <c r="AB198" i="23"/>
  <c r="AB50" i="23" s="1"/>
  <c r="AB92" i="23"/>
  <c r="AA72" i="23"/>
  <c r="AA74" i="23"/>
  <c r="AE101" i="23"/>
  <c r="AA233" i="22"/>
  <c r="AB197" i="22"/>
  <c r="AA198" i="22"/>
  <c r="AA50" i="22" s="1"/>
  <c r="AA51" i="22" s="1"/>
  <c r="Z190" i="22"/>
  <c r="AA100" i="22"/>
  <c r="AD192" i="22"/>
  <c r="Z51" i="22"/>
  <c r="AA92" i="22"/>
  <c r="AB101" i="22"/>
  <c r="AB100" i="20"/>
  <c r="AA91" i="20"/>
  <c r="AA189" i="20"/>
  <c r="AB99" i="20"/>
  <c r="AD196" i="20"/>
  <c r="AC232" i="20"/>
  <c r="Z197" i="20"/>
  <c r="Z49" i="20" s="1"/>
  <c r="AA191" i="20"/>
  <c r="X71" i="20"/>
  <c r="X73" i="20"/>
  <c r="AF101" i="23" l="1"/>
  <c r="AS212" i="23"/>
  <c r="AA7" i="23"/>
  <c r="AR212" i="23"/>
  <c r="Z7" i="23"/>
  <c r="Z82" i="23"/>
  <c r="AC233" i="23"/>
  <c r="AD197" i="23"/>
  <c r="AB51" i="23"/>
  <c r="AE190" i="23"/>
  <c r="AF100" i="23"/>
  <c r="AF190" i="23" s="1"/>
  <c r="AA82" i="23"/>
  <c r="AD192" i="23"/>
  <c r="AC198" i="23"/>
  <c r="AC50" i="23" s="1"/>
  <c r="AC51" i="23" s="1"/>
  <c r="AC92" i="23"/>
  <c r="Z74" i="22"/>
  <c r="Z72" i="22"/>
  <c r="AB233" i="22"/>
  <c r="AC197" i="22"/>
  <c r="AB198" i="22"/>
  <c r="AB50" i="22" s="1"/>
  <c r="AB51" i="22" s="1"/>
  <c r="AE192" i="22"/>
  <c r="AA190" i="22"/>
  <c r="AB100" i="22"/>
  <c r="AB92" i="22"/>
  <c r="AC101" i="22"/>
  <c r="AA72" i="22"/>
  <c r="AA74" i="22"/>
  <c r="AD232" i="20"/>
  <c r="AE196" i="20"/>
  <c r="AP211" i="20"/>
  <c r="X7" i="20"/>
  <c r="AC100" i="20"/>
  <c r="Z50" i="20"/>
  <c r="AB189" i="20"/>
  <c r="AC99" i="20"/>
  <c r="X81" i="20"/>
  <c r="AB191" i="20"/>
  <c r="AB91" i="20" s="1"/>
  <c r="AA197" i="20"/>
  <c r="AA49" i="20" s="1"/>
  <c r="AA50" i="20" s="1"/>
  <c r="AD233" i="23" l="1"/>
  <c r="AE197" i="23"/>
  <c r="AC74" i="23"/>
  <c r="AC72" i="23"/>
  <c r="AD198" i="23"/>
  <c r="AD50" i="23" s="1"/>
  <c r="AD51" i="23" s="1"/>
  <c r="AE192" i="23"/>
  <c r="AD92" i="23"/>
  <c r="AB74" i="23"/>
  <c r="AB72" i="23"/>
  <c r="AS212" i="22"/>
  <c r="AA7" i="22"/>
  <c r="AC233" i="22"/>
  <c r="AD197" i="22"/>
  <c r="AC198" i="22"/>
  <c r="AC50" i="22" s="1"/>
  <c r="AC51" i="22" s="1"/>
  <c r="AA82" i="22"/>
  <c r="AC92" i="22"/>
  <c r="AD101" i="22"/>
  <c r="AB72" i="22"/>
  <c r="AB74" i="22"/>
  <c r="Z82" i="22"/>
  <c r="AB190" i="22"/>
  <c r="AC100" i="22"/>
  <c r="AF192" i="22"/>
  <c r="AR212" i="22"/>
  <c r="Z7" i="22"/>
  <c r="AD100" i="20"/>
  <c r="AC189" i="20"/>
  <c r="AD99" i="20"/>
  <c r="AA73" i="20"/>
  <c r="AA71" i="20"/>
  <c r="AE232" i="20"/>
  <c r="AF196" i="20"/>
  <c r="AF232" i="20" s="1"/>
  <c r="AC191" i="20"/>
  <c r="AB197" i="20"/>
  <c r="AB49" i="20" s="1"/>
  <c r="Z73" i="20"/>
  <c r="Z71" i="20"/>
  <c r="J35" i="19"/>
  <c r="AC82" i="23" l="1"/>
  <c r="AF192" i="23"/>
  <c r="AE198" i="23"/>
  <c r="AE50" i="23" s="1"/>
  <c r="AE51" i="23" s="1"/>
  <c r="AE92" i="23"/>
  <c r="AD74" i="23"/>
  <c r="AD72" i="23"/>
  <c r="AD82" i="23" s="1"/>
  <c r="AU212" i="23"/>
  <c r="AC7" i="23"/>
  <c r="AT212" i="23"/>
  <c r="AB7" i="23"/>
  <c r="AE233" i="23"/>
  <c r="AF197" i="23"/>
  <c r="AF233" i="23" s="1"/>
  <c r="AB82" i="23"/>
  <c r="AE101" i="22"/>
  <c r="AD92" i="22"/>
  <c r="AC72" i="22"/>
  <c r="AC74" i="22"/>
  <c r="AD233" i="22"/>
  <c r="AE197" i="22"/>
  <c r="AD198" i="22"/>
  <c r="AD50" i="22" s="1"/>
  <c r="AD51" i="22" s="1"/>
  <c r="AT212" i="22"/>
  <c r="AB7" i="22"/>
  <c r="AC190" i="22"/>
  <c r="AD100" i="22"/>
  <c r="AB82" i="22"/>
  <c r="AS211" i="20"/>
  <c r="AA7" i="20"/>
  <c r="Z81" i="20"/>
  <c r="AA81" i="20"/>
  <c r="AC197" i="20"/>
  <c r="AC49" i="20" s="1"/>
  <c r="AC50" i="20" s="1"/>
  <c r="AD191" i="20"/>
  <c r="AR211" i="20"/>
  <c r="Z7" i="20"/>
  <c r="AB50" i="20"/>
  <c r="AD189" i="20"/>
  <c r="AE99" i="20"/>
  <c r="AC91" i="20"/>
  <c r="AE100" i="20"/>
  <c r="C35" i="19"/>
  <c r="AH97" i="19"/>
  <c r="AI97" i="19" s="1"/>
  <c r="AF35" i="18"/>
  <c r="AE35" i="18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AF234" i="19"/>
  <c r="AE234" i="19"/>
  <c r="AD234" i="19"/>
  <c r="AC234" i="19"/>
  <c r="AB234" i="19"/>
  <c r="AA234" i="19"/>
  <c r="Z234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A234" i="19"/>
  <c r="AF233" i="19"/>
  <c r="AE233" i="19"/>
  <c r="AD233" i="19"/>
  <c r="AC233" i="19"/>
  <c r="AB233" i="19"/>
  <c r="AA233" i="19"/>
  <c r="Z233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A233" i="19"/>
  <c r="B232" i="19"/>
  <c r="S207" i="19"/>
  <c r="AG197" i="19"/>
  <c r="B197" i="19"/>
  <c r="D196" i="19"/>
  <c r="C196" i="19"/>
  <c r="C232" i="19" s="1"/>
  <c r="J195" i="19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C195" i="19"/>
  <c r="D195" i="19" s="1"/>
  <c r="E195" i="19" s="1"/>
  <c r="F195" i="19" s="1"/>
  <c r="G195" i="19" s="1"/>
  <c r="H195" i="19" s="1"/>
  <c r="I195" i="19" s="1"/>
  <c r="C194" i="19"/>
  <c r="D194" i="19" s="1"/>
  <c r="E194" i="19" s="1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T194" i="19" s="1"/>
  <c r="U194" i="19" s="1"/>
  <c r="V194" i="19" s="1"/>
  <c r="W194" i="19" s="1"/>
  <c r="X194" i="19" s="1"/>
  <c r="Y194" i="19" s="1"/>
  <c r="Z194" i="19" s="1"/>
  <c r="AA194" i="19" s="1"/>
  <c r="AB194" i="19" s="1"/>
  <c r="AC194" i="19" s="1"/>
  <c r="AD194" i="19" s="1"/>
  <c r="AE194" i="19" s="1"/>
  <c r="AF194" i="19" s="1"/>
  <c r="C193" i="19"/>
  <c r="D193" i="19" s="1"/>
  <c r="E193" i="19" s="1"/>
  <c r="F193" i="19" s="1"/>
  <c r="G193" i="19" s="1"/>
  <c r="H193" i="19" s="1"/>
  <c r="I193" i="19" s="1"/>
  <c r="J193" i="19" s="1"/>
  <c r="K193" i="19" s="1"/>
  <c r="L193" i="19" s="1"/>
  <c r="M193" i="19" s="1"/>
  <c r="N193" i="19" s="1"/>
  <c r="O193" i="19" s="1"/>
  <c r="P193" i="19" s="1"/>
  <c r="Q193" i="19" s="1"/>
  <c r="R193" i="19" s="1"/>
  <c r="S193" i="19" s="1"/>
  <c r="T193" i="19" s="1"/>
  <c r="U193" i="19" s="1"/>
  <c r="V193" i="19" s="1"/>
  <c r="W193" i="19" s="1"/>
  <c r="X193" i="19" s="1"/>
  <c r="Y193" i="19" s="1"/>
  <c r="Z193" i="19" s="1"/>
  <c r="AA193" i="19" s="1"/>
  <c r="AB193" i="19" s="1"/>
  <c r="AC193" i="19" s="1"/>
  <c r="AD193" i="19" s="1"/>
  <c r="AE193" i="19" s="1"/>
  <c r="AF193" i="19" s="1"/>
  <c r="L192" i="19"/>
  <c r="M192" i="19" s="1"/>
  <c r="N192" i="19" s="1"/>
  <c r="O192" i="19" s="1"/>
  <c r="P192" i="19" s="1"/>
  <c r="Q192" i="19" s="1"/>
  <c r="R192" i="19" s="1"/>
  <c r="S192" i="19" s="1"/>
  <c r="T192" i="19" s="1"/>
  <c r="U192" i="19" s="1"/>
  <c r="V192" i="19" s="1"/>
  <c r="W192" i="19" s="1"/>
  <c r="X192" i="19" s="1"/>
  <c r="Y192" i="19" s="1"/>
  <c r="Z192" i="19" s="1"/>
  <c r="AA192" i="19" s="1"/>
  <c r="AB192" i="19" s="1"/>
  <c r="AC192" i="19" s="1"/>
  <c r="AD192" i="19" s="1"/>
  <c r="AE192" i="19" s="1"/>
  <c r="AF192" i="19" s="1"/>
  <c r="C192" i="19"/>
  <c r="D192" i="19" s="1"/>
  <c r="E192" i="19" s="1"/>
  <c r="F192" i="19" s="1"/>
  <c r="G192" i="19" s="1"/>
  <c r="H192" i="19" s="1"/>
  <c r="I192" i="19" s="1"/>
  <c r="J192" i="19" s="1"/>
  <c r="K192" i="19" s="1"/>
  <c r="C191" i="19"/>
  <c r="AG189" i="19"/>
  <c r="B189" i="19"/>
  <c r="G188" i="19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C188" i="19"/>
  <c r="D188" i="19" s="1"/>
  <c r="E188" i="19" s="1"/>
  <c r="F188" i="19" s="1"/>
  <c r="U187" i="19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C187" i="19"/>
  <c r="D187" i="19" s="1"/>
  <c r="E187" i="19" s="1"/>
  <c r="F187" i="19" s="1"/>
  <c r="G187" i="19" s="1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C186" i="19"/>
  <c r="D186" i="19" s="1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I185" i="19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C185" i="19"/>
  <c r="D185" i="19" s="1"/>
  <c r="E185" i="19" s="1"/>
  <c r="F185" i="19" s="1"/>
  <c r="G185" i="19" s="1"/>
  <c r="H185" i="19" s="1"/>
  <c r="C184" i="19"/>
  <c r="D184" i="19" s="1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C183" i="19"/>
  <c r="D183" i="19" s="1"/>
  <c r="E183" i="19" s="1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C182" i="19"/>
  <c r="D182" i="19" s="1"/>
  <c r="E182" i="19" s="1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G181" i="19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C181" i="19"/>
  <c r="D181" i="19" s="1"/>
  <c r="E181" i="19" s="1"/>
  <c r="F181" i="19" s="1"/>
  <c r="C180" i="19"/>
  <c r="D180" i="19" s="1"/>
  <c r="E180" i="19" s="1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AC179" i="19"/>
  <c r="AD179" i="19" s="1"/>
  <c r="AE179" i="19" s="1"/>
  <c r="AF179" i="19" s="1"/>
  <c r="F179" i="19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E179" i="19"/>
  <c r="C179" i="19"/>
  <c r="D179" i="19" s="1"/>
  <c r="I178" i="19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Z178" i="19" s="1"/>
  <c r="AA178" i="19" s="1"/>
  <c r="AB178" i="19" s="1"/>
  <c r="AC178" i="19" s="1"/>
  <c r="AD178" i="19" s="1"/>
  <c r="AE178" i="19" s="1"/>
  <c r="AF178" i="19" s="1"/>
  <c r="D178" i="19"/>
  <c r="E178" i="19" s="1"/>
  <c r="F178" i="19" s="1"/>
  <c r="G178" i="19" s="1"/>
  <c r="H178" i="19" s="1"/>
  <c r="C178" i="19"/>
  <c r="G177" i="19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E177" i="19"/>
  <c r="F177" i="19" s="1"/>
  <c r="C177" i="19"/>
  <c r="D177" i="19" s="1"/>
  <c r="H176" i="19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C176" i="19"/>
  <c r="D176" i="19" s="1"/>
  <c r="E176" i="19" s="1"/>
  <c r="F176" i="19" s="1"/>
  <c r="G176" i="19" s="1"/>
  <c r="H174" i="19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C174" i="19"/>
  <c r="D174" i="19" s="1"/>
  <c r="E174" i="19" s="1"/>
  <c r="F174" i="19" s="1"/>
  <c r="G174" i="19" s="1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C173" i="19"/>
  <c r="D172" i="19"/>
  <c r="E172" i="19" s="1"/>
  <c r="F172" i="19" s="1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C172" i="19"/>
  <c r="P171" i="19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H171" i="19"/>
  <c r="I171" i="19" s="1"/>
  <c r="J171" i="19" s="1"/>
  <c r="K171" i="19" s="1"/>
  <c r="L171" i="19" s="1"/>
  <c r="M171" i="19" s="1"/>
  <c r="N171" i="19" s="1"/>
  <c r="O171" i="19" s="1"/>
  <c r="C171" i="19"/>
  <c r="D171" i="19" s="1"/>
  <c r="E171" i="19" s="1"/>
  <c r="F171" i="19" s="1"/>
  <c r="G171" i="19" s="1"/>
  <c r="P170" i="19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H170" i="19"/>
  <c r="I170" i="19" s="1"/>
  <c r="J170" i="19" s="1"/>
  <c r="K170" i="19" s="1"/>
  <c r="L170" i="19" s="1"/>
  <c r="M170" i="19" s="1"/>
  <c r="N170" i="19" s="1"/>
  <c r="O170" i="19" s="1"/>
  <c r="F170" i="19"/>
  <c r="G170" i="19" s="1"/>
  <c r="C170" i="19"/>
  <c r="D170" i="19" s="1"/>
  <c r="E170" i="19" s="1"/>
  <c r="I169" i="19"/>
  <c r="J169" i="19" s="1"/>
  <c r="K169" i="19" s="1"/>
  <c r="L169" i="19" s="1"/>
  <c r="M169" i="19" s="1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F169" i="19"/>
  <c r="G169" i="19" s="1"/>
  <c r="H169" i="19" s="1"/>
  <c r="D169" i="19"/>
  <c r="E169" i="19" s="1"/>
  <c r="C169" i="19"/>
  <c r="L168" i="19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G168" i="19"/>
  <c r="H168" i="19" s="1"/>
  <c r="I168" i="19" s="1"/>
  <c r="J168" i="19" s="1"/>
  <c r="K168" i="19" s="1"/>
  <c r="D168" i="19"/>
  <c r="E168" i="19" s="1"/>
  <c r="F168" i="19" s="1"/>
  <c r="C168" i="19"/>
  <c r="X167" i="19"/>
  <c r="Y167" i="19" s="1"/>
  <c r="Z167" i="19" s="1"/>
  <c r="AA167" i="19" s="1"/>
  <c r="AB167" i="19" s="1"/>
  <c r="AC167" i="19" s="1"/>
  <c r="AD167" i="19" s="1"/>
  <c r="AE167" i="19" s="1"/>
  <c r="AF167" i="19" s="1"/>
  <c r="J167" i="19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H167" i="19"/>
  <c r="I167" i="19" s="1"/>
  <c r="E167" i="19"/>
  <c r="F167" i="19" s="1"/>
  <c r="G167" i="19" s="1"/>
  <c r="D167" i="19"/>
  <c r="C167" i="19"/>
  <c r="P165" i="19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C165" i="19"/>
  <c r="D165" i="19" s="1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Y164" i="19"/>
  <c r="Z164" i="19" s="1"/>
  <c r="AA164" i="19" s="1"/>
  <c r="AB164" i="19" s="1"/>
  <c r="AC164" i="19" s="1"/>
  <c r="AD164" i="19" s="1"/>
  <c r="AE164" i="19" s="1"/>
  <c r="AF164" i="19" s="1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C164" i="19"/>
  <c r="O163" i="19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J163" i="19"/>
  <c r="K163" i="19" s="1"/>
  <c r="L163" i="19" s="1"/>
  <c r="M163" i="19" s="1"/>
  <c r="N163" i="19" s="1"/>
  <c r="G163" i="19"/>
  <c r="H163" i="19" s="1"/>
  <c r="I163" i="19" s="1"/>
  <c r="D163" i="19"/>
  <c r="E163" i="19" s="1"/>
  <c r="F163" i="19" s="1"/>
  <c r="C163" i="19"/>
  <c r="Z162" i="19"/>
  <c r="AA162" i="19" s="1"/>
  <c r="AB162" i="19" s="1"/>
  <c r="AC162" i="19" s="1"/>
  <c r="AD162" i="19" s="1"/>
  <c r="AE162" i="19" s="1"/>
  <c r="AF162" i="19" s="1"/>
  <c r="E162" i="19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D162" i="19"/>
  <c r="C162" i="19"/>
  <c r="V161" i="19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F161" i="19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C161" i="19"/>
  <c r="D161" i="19" s="1"/>
  <c r="E161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C160" i="19"/>
  <c r="I159" i="19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F159" i="19"/>
  <c r="G159" i="19" s="1"/>
  <c r="H159" i="19" s="1"/>
  <c r="D159" i="19"/>
  <c r="E159" i="19" s="1"/>
  <c r="C159" i="19"/>
  <c r="O158" i="19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D158" i="19"/>
  <c r="E158" i="19" s="1"/>
  <c r="F158" i="19" s="1"/>
  <c r="G158" i="19" s="1"/>
  <c r="H158" i="19" s="1"/>
  <c r="I158" i="19" s="1"/>
  <c r="J158" i="19" s="1"/>
  <c r="K158" i="19" s="1"/>
  <c r="L158" i="19" s="1"/>
  <c r="M158" i="19" s="1"/>
  <c r="N158" i="19" s="1"/>
  <c r="C158" i="19"/>
  <c r="Y157" i="19"/>
  <c r="Z157" i="19" s="1"/>
  <c r="AA157" i="19" s="1"/>
  <c r="AB157" i="19" s="1"/>
  <c r="AC157" i="19" s="1"/>
  <c r="AD157" i="19" s="1"/>
  <c r="AE157" i="19" s="1"/>
  <c r="AF157" i="19" s="1"/>
  <c r="C157" i="19"/>
  <c r="D157" i="19" s="1"/>
  <c r="E157" i="19" s="1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V156" i="19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C156" i="19"/>
  <c r="D155" i="19"/>
  <c r="E155" i="19" s="1"/>
  <c r="F155" i="19" s="1"/>
  <c r="G155" i="19" s="1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C155" i="19"/>
  <c r="H154" i="19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E154" i="19"/>
  <c r="F154" i="19" s="1"/>
  <c r="G154" i="19" s="1"/>
  <c r="D154" i="19"/>
  <c r="C154" i="19"/>
  <c r="H153" i="19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C153" i="19"/>
  <c r="D153" i="19" s="1"/>
  <c r="E153" i="19" s="1"/>
  <c r="F153" i="19" s="1"/>
  <c r="G153" i="19" s="1"/>
  <c r="F151" i="19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D151" i="19"/>
  <c r="E151" i="19" s="1"/>
  <c r="C151" i="19"/>
  <c r="D150" i="19"/>
  <c r="E150" i="19" s="1"/>
  <c r="F150" i="19" s="1"/>
  <c r="G150" i="19" s="1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C150" i="19"/>
  <c r="AE149" i="19"/>
  <c r="AF149" i="19" s="1"/>
  <c r="E149" i="19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D149" i="19"/>
  <c r="C149" i="19"/>
  <c r="F148" i="19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E148" i="19"/>
  <c r="C148" i="19"/>
  <c r="D148" i="19" s="1"/>
  <c r="AD146" i="19"/>
  <c r="AE146" i="19" s="1"/>
  <c r="AF146" i="19" s="1"/>
  <c r="D146" i="19"/>
  <c r="E146" i="19" s="1"/>
  <c r="F146" i="19" s="1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C146" i="19"/>
  <c r="AB145" i="19"/>
  <c r="AC145" i="19" s="1"/>
  <c r="AD145" i="19" s="1"/>
  <c r="AE145" i="19" s="1"/>
  <c r="AF145" i="19" s="1"/>
  <c r="F145" i="19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D145" i="19"/>
  <c r="E145" i="19" s="1"/>
  <c r="C145" i="19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C143" i="19"/>
  <c r="C142" i="19"/>
  <c r="D142" i="19" s="1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C141" i="19"/>
  <c r="J140" i="19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D140" i="19"/>
  <c r="E140" i="19" s="1"/>
  <c r="F140" i="19" s="1"/>
  <c r="G140" i="19" s="1"/>
  <c r="H140" i="19" s="1"/>
  <c r="I140" i="19" s="1"/>
  <c r="C140" i="19"/>
  <c r="C139" i="19"/>
  <c r="D139" i="19" s="1"/>
  <c r="E139" i="19" s="1"/>
  <c r="F139" i="19" s="1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F138" i="19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C138" i="19"/>
  <c r="D138" i="19" s="1"/>
  <c r="E138" i="19" s="1"/>
  <c r="T137" i="19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D137" i="19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C137" i="19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C135" i="19"/>
  <c r="C134" i="19"/>
  <c r="D134" i="19" s="1"/>
  <c r="E134" i="19" s="1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C133" i="19"/>
  <c r="D133" i="19" s="1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K132" i="19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C132" i="19"/>
  <c r="D132" i="19" s="1"/>
  <c r="E132" i="19" s="1"/>
  <c r="F132" i="19" s="1"/>
  <c r="G132" i="19" s="1"/>
  <c r="H132" i="19" s="1"/>
  <c r="I132" i="19" s="1"/>
  <c r="J132" i="19" s="1"/>
  <c r="O131" i="19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G131" i="19"/>
  <c r="H131" i="19" s="1"/>
  <c r="I131" i="19" s="1"/>
  <c r="J131" i="19" s="1"/>
  <c r="K131" i="19" s="1"/>
  <c r="L131" i="19" s="1"/>
  <c r="M131" i="19" s="1"/>
  <c r="N131" i="19" s="1"/>
  <c r="E131" i="19"/>
  <c r="F131" i="19" s="1"/>
  <c r="D131" i="19"/>
  <c r="C131" i="19"/>
  <c r="C130" i="19"/>
  <c r="D130" i="19" s="1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Y129" i="19"/>
  <c r="Z129" i="19" s="1"/>
  <c r="AA129" i="19" s="1"/>
  <c r="AB129" i="19" s="1"/>
  <c r="AC129" i="19" s="1"/>
  <c r="AD129" i="19" s="1"/>
  <c r="AE129" i="19" s="1"/>
  <c r="AF129" i="19" s="1"/>
  <c r="M129" i="19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E129" i="19"/>
  <c r="F129" i="19" s="1"/>
  <c r="G129" i="19" s="1"/>
  <c r="H129" i="19" s="1"/>
  <c r="I129" i="19" s="1"/>
  <c r="J129" i="19" s="1"/>
  <c r="K129" i="19" s="1"/>
  <c r="L129" i="19" s="1"/>
  <c r="C129" i="19"/>
  <c r="D129" i="19" s="1"/>
  <c r="Q128" i="19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C128" i="19"/>
  <c r="U126" i="19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I126" i="19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D126" i="19"/>
  <c r="E126" i="19" s="1"/>
  <c r="F126" i="19" s="1"/>
  <c r="G126" i="19" s="1"/>
  <c r="H126" i="19" s="1"/>
  <c r="C126" i="19"/>
  <c r="G125" i="19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E125" i="19"/>
  <c r="F125" i="19" s="1"/>
  <c r="C125" i="19"/>
  <c r="D125" i="19" s="1"/>
  <c r="C124" i="19"/>
  <c r="D124" i="19" s="1"/>
  <c r="E124" i="19" s="1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K123" i="19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C123" i="19"/>
  <c r="D123" i="19" s="1"/>
  <c r="E123" i="19" s="1"/>
  <c r="F123" i="19" s="1"/>
  <c r="G123" i="19" s="1"/>
  <c r="H123" i="19" s="1"/>
  <c r="I123" i="19" s="1"/>
  <c r="J123" i="19" s="1"/>
  <c r="G122" i="19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E122" i="19"/>
  <c r="F122" i="19" s="1"/>
  <c r="D122" i="19"/>
  <c r="C122" i="19"/>
  <c r="K121" i="19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H121" i="19"/>
  <c r="I121" i="19" s="1"/>
  <c r="J121" i="19" s="1"/>
  <c r="D121" i="19"/>
  <c r="E121" i="19" s="1"/>
  <c r="F121" i="19" s="1"/>
  <c r="G121" i="19" s="1"/>
  <c r="C121" i="19"/>
  <c r="C120" i="19"/>
  <c r="D120" i="19" s="1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C119" i="19"/>
  <c r="D119" i="19" s="1"/>
  <c r="E119" i="19" s="1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G118" i="19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E118" i="19"/>
  <c r="F118" i="19" s="1"/>
  <c r="C118" i="19"/>
  <c r="D118" i="19" s="1"/>
  <c r="H117" i="19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D117" i="19"/>
  <c r="E117" i="19" s="1"/>
  <c r="F117" i="19" s="1"/>
  <c r="G117" i="19" s="1"/>
  <c r="C117" i="19"/>
  <c r="C116" i="19"/>
  <c r="D116" i="19" s="1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G115" i="19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F115" i="19"/>
  <c r="D115" i="19"/>
  <c r="E115" i="19" s="1"/>
  <c r="C115" i="19"/>
  <c r="R114" i="19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C114" i="19"/>
  <c r="D114" i="19" s="1"/>
  <c r="E114" i="19" s="1"/>
  <c r="F114" i="19" s="1"/>
  <c r="G114" i="19" s="1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C113" i="19"/>
  <c r="D113" i="19" s="1"/>
  <c r="E113" i="19" s="1"/>
  <c r="F113" i="19" s="1"/>
  <c r="G113" i="19" s="1"/>
  <c r="H113" i="19" s="1"/>
  <c r="I113" i="19" s="1"/>
  <c r="J113" i="19" s="1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F112" i="19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E112" i="19"/>
  <c r="C112" i="19"/>
  <c r="D112" i="19" s="1"/>
  <c r="P111" i="19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N111" i="19"/>
  <c r="O111" i="19" s="1"/>
  <c r="K111" i="19"/>
  <c r="L111" i="19" s="1"/>
  <c r="M111" i="19" s="1"/>
  <c r="J111" i="19"/>
  <c r="C111" i="19"/>
  <c r="D111" i="19" s="1"/>
  <c r="E111" i="19" s="1"/>
  <c r="F111" i="19" s="1"/>
  <c r="G111" i="19" s="1"/>
  <c r="H111" i="19" s="1"/>
  <c r="AC110" i="19"/>
  <c r="AD110" i="19" s="1"/>
  <c r="AE110" i="19" s="1"/>
  <c r="AF110" i="19" s="1"/>
  <c r="H110" i="19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D110" i="19"/>
  <c r="E110" i="19" s="1"/>
  <c r="F110" i="19" s="1"/>
  <c r="G110" i="19" s="1"/>
  <c r="C110" i="19"/>
  <c r="C109" i="19"/>
  <c r="D109" i="19" s="1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P107" i="19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C107" i="19"/>
  <c r="D107" i="19" s="1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G106" i="19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F106" i="19"/>
  <c r="D106" i="19"/>
  <c r="E106" i="19" s="1"/>
  <c r="C106" i="19"/>
  <c r="P104" i="19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F104" i="19"/>
  <c r="G104" i="19" s="1"/>
  <c r="H104" i="19" s="1"/>
  <c r="I104" i="19" s="1"/>
  <c r="J104" i="19" s="1"/>
  <c r="K104" i="19" s="1"/>
  <c r="L104" i="19" s="1"/>
  <c r="M104" i="19" s="1"/>
  <c r="N104" i="19" s="1"/>
  <c r="O104" i="19" s="1"/>
  <c r="E104" i="19"/>
  <c r="D104" i="19"/>
  <c r="C104" i="19"/>
  <c r="P103" i="19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E103" i="19"/>
  <c r="F103" i="19" s="1"/>
  <c r="G103" i="19" s="1"/>
  <c r="H103" i="19" s="1"/>
  <c r="I103" i="19" s="1"/>
  <c r="J103" i="19" s="1"/>
  <c r="K103" i="19" s="1"/>
  <c r="L103" i="19" s="1"/>
  <c r="M103" i="19" s="1"/>
  <c r="N103" i="19" s="1"/>
  <c r="O103" i="19" s="1"/>
  <c r="D103" i="19"/>
  <c r="C103" i="19"/>
  <c r="N102" i="19"/>
  <c r="O102" i="19" s="1"/>
  <c r="P102" i="19" s="1"/>
  <c r="Q102" i="19" s="1"/>
  <c r="R102" i="19" s="1"/>
  <c r="S102" i="19" s="1"/>
  <c r="T102" i="19" s="1"/>
  <c r="U102" i="19" s="1"/>
  <c r="V102" i="19" s="1"/>
  <c r="W102" i="19" s="1"/>
  <c r="X102" i="19" s="1"/>
  <c r="Y102" i="19" s="1"/>
  <c r="Z102" i="19" s="1"/>
  <c r="AA102" i="19" s="1"/>
  <c r="AB102" i="19" s="1"/>
  <c r="AC102" i="19" s="1"/>
  <c r="AD102" i="19" s="1"/>
  <c r="AE102" i="19" s="1"/>
  <c r="AF102" i="19" s="1"/>
  <c r="C102" i="19"/>
  <c r="D102" i="19" s="1"/>
  <c r="E102" i="19" s="1"/>
  <c r="F102" i="19" s="1"/>
  <c r="G102" i="19" s="1"/>
  <c r="H102" i="19" s="1"/>
  <c r="I102" i="19" s="1"/>
  <c r="J102" i="19" s="1"/>
  <c r="K102" i="19" s="1"/>
  <c r="L102" i="19" s="1"/>
  <c r="M102" i="19" s="1"/>
  <c r="F101" i="19"/>
  <c r="G101" i="19" s="1"/>
  <c r="H101" i="19" s="1"/>
  <c r="I101" i="19" s="1"/>
  <c r="J101" i="19" s="1"/>
  <c r="K101" i="19" s="1"/>
  <c r="L101" i="19" s="1"/>
  <c r="M101" i="19" s="1"/>
  <c r="N101" i="19" s="1"/>
  <c r="O101" i="19" s="1"/>
  <c r="P101" i="19" s="1"/>
  <c r="Q101" i="19" s="1"/>
  <c r="R101" i="19" s="1"/>
  <c r="S101" i="19" s="1"/>
  <c r="T101" i="19" s="1"/>
  <c r="U101" i="19" s="1"/>
  <c r="V101" i="19" s="1"/>
  <c r="W101" i="19" s="1"/>
  <c r="X101" i="19" s="1"/>
  <c r="Y101" i="19" s="1"/>
  <c r="Z101" i="19" s="1"/>
  <c r="AA101" i="19" s="1"/>
  <c r="AB101" i="19" s="1"/>
  <c r="AC101" i="19" s="1"/>
  <c r="AD101" i="19" s="1"/>
  <c r="AE101" i="19" s="1"/>
  <c r="AF101" i="19" s="1"/>
  <c r="D101" i="19"/>
  <c r="E101" i="19" s="1"/>
  <c r="C101" i="19"/>
  <c r="E100" i="19"/>
  <c r="F100" i="19" s="1"/>
  <c r="D100" i="19"/>
  <c r="C100" i="19"/>
  <c r="D99" i="19"/>
  <c r="C99" i="19"/>
  <c r="AH96" i="19"/>
  <c r="AI96" i="19" s="1"/>
  <c r="AH95" i="19"/>
  <c r="AI95" i="19" s="1"/>
  <c r="AH94" i="19"/>
  <c r="AI94" i="19" s="1"/>
  <c r="AH93" i="19"/>
  <c r="AI93" i="19" s="1"/>
  <c r="AH92" i="19"/>
  <c r="AI92" i="19" s="1"/>
  <c r="C91" i="19"/>
  <c r="B91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G80" i="19"/>
  <c r="AI79" i="19"/>
  <c r="AH79" i="19"/>
  <c r="AF78" i="19"/>
  <c r="AE78" i="19"/>
  <c r="AD78" i="19"/>
  <c r="AD80" i="19" s="1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F75" i="19"/>
  <c r="AE75" i="19"/>
  <c r="AD75" i="19"/>
  <c r="AC75" i="19"/>
  <c r="AB75" i="19"/>
  <c r="AA75" i="19"/>
  <c r="Z75" i="19"/>
  <c r="Y75" i="19"/>
  <c r="Y80" i="19" s="1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AF74" i="19"/>
  <c r="AE74" i="19"/>
  <c r="AD74" i="19"/>
  <c r="AC74" i="19"/>
  <c r="AC80" i="19" s="1"/>
  <c r="AB74" i="19"/>
  <c r="AA74" i="19"/>
  <c r="Z74" i="19"/>
  <c r="Y74" i="19"/>
  <c r="X74" i="19"/>
  <c r="X80" i="19" s="1"/>
  <c r="W74" i="19"/>
  <c r="W80" i="19" s="1"/>
  <c r="V74" i="19"/>
  <c r="U74" i="19"/>
  <c r="T74" i="19"/>
  <c r="S74" i="19"/>
  <c r="R74" i="19"/>
  <c r="Q74" i="19"/>
  <c r="P74" i="19"/>
  <c r="O74" i="19"/>
  <c r="N74" i="19"/>
  <c r="N80" i="19" s="1"/>
  <c r="M74" i="19"/>
  <c r="M80" i="19" s="1"/>
  <c r="L74" i="19"/>
  <c r="K74" i="19"/>
  <c r="J74" i="19"/>
  <c r="I74" i="19"/>
  <c r="H74" i="19"/>
  <c r="G74" i="19"/>
  <c r="F74" i="19"/>
  <c r="E74" i="19"/>
  <c r="D74" i="19"/>
  <c r="C74" i="19"/>
  <c r="B74" i="19"/>
  <c r="AI72" i="19"/>
  <c r="AH72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B70" i="19"/>
  <c r="AI69" i="19"/>
  <c r="AH69" i="19"/>
  <c r="AI68" i="19"/>
  <c r="AH68" i="19"/>
  <c r="AI67" i="19"/>
  <c r="AH67" i="19"/>
  <c r="AG66" i="19"/>
  <c r="AF66" i="19"/>
  <c r="AF5" i="19" s="1"/>
  <c r="AE66" i="19"/>
  <c r="AE5" i="19" s="1"/>
  <c r="AD66" i="19"/>
  <c r="AC66" i="19"/>
  <c r="AB66" i="19"/>
  <c r="AA66" i="19"/>
  <c r="AA5" i="19" s="1"/>
  <c r="Z66" i="19"/>
  <c r="Y66" i="19"/>
  <c r="X66" i="19"/>
  <c r="W66" i="19"/>
  <c r="V66" i="19"/>
  <c r="U66" i="19"/>
  <c r="T66" i="19"/>
  <c r="T5" i="19" s="1"/>
  <c r="S66" i="19"/>
  <c r="R66" i="19"/>
  <c r="Q66" i="19"/>
  <c r="P66" i="19"/>
  <c r="O66" i="19"/>
  <c r="O5" i="19" s="1"/>
  <c r="N66" i="19"/>
  <c r="M66" i="19"/>
  <c r="L66" i="19"/>
  <c r="K66" i="19"/>
  <c r="K5" i="19" s="1"/>
  <c r="J66" i="19"/>
  <c r="J5" i="19" s="1"/>
  <c r="I66" i="19"/>
  <c r="I5" i="19" s="1"/>
  <c r="H66" i="19"/>
  <c r="H5" i="19" s="1"/>
  <c r="G66" i="19"/>
  <c r="G5" i="19" s="1"/>
  <c r="F66" i="19"/>
  <c r="E66" i="19"/>
  <c r="D66" i="19"/>
  <c r="C66" i="19"/>
  <c r="B66" i="19"/>
  <c r="B5" i="19" s="1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G54" i="19"/>
  <c r="AG71" i="19" s="1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AI53" i="19"/>
  <c r="AH53" i="19"/>
  <c r="AI52" i="19"/>
  <c r="AH52" i="19"/>
  <c r="AI51" i="19"/>
  <c r="AH51" i="19"/>
  <c r="Y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AG49" i="19"/>
  <c r="AG50" i="19" s="1"/>
  <c r="AG3" i="19" s="1"/>
  <c r="AG6" i="19" s="1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C71" i="19" s="1"/>
  <c r="B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B5" i="19"/>
  <c r="Z5" i="19"/>
  <c r="Y5" i="19"/>
  <c r="X5" i="19"/>
  <c r="W5" i="19"/>
  <c r="S5" i="19"/>
  <c r="R5" i="19"/>
  <c r="Q5" i="19"/>
  <c r="P5" i="19"/>
  <c r="L5" i="19"/>
  <c r="D5" i="19"/>
  <c r="C5" i="19"/>
  <c r="AG4" i="19"/>
  <c r="K4" i="19"/>
  <c r="B4" i="19"/>
  <c r="AG2" i="19"/>
  <c r="AD35" i="18"/>
  <c r="E4" i="19"/>
  <c r="AV212" i="23" l="1"/>
  <c r="AD7" i="23"/>
  <c r="AE74" i="23"/>
  <c r="AE72" i="23"/>
  <c r="AE82" i="23" s="1"/>
  <c r="AF198" i="23"/>
  <c r="AF50" i="23" s="1"/>
  <c r="AF92" i="23"/>
  <c r="AD72" i="22"/>
  <c r="AD74" i="22"/>
  <c r="AE233" i="22"/>
  <c r="AF197" i="22"/>
  <c r="AE198" i="22"/>
  <c r="AE50" i="22" s="1"/>
  <c r="AE51" i="22" s="1"/>
  <c r="AD190" i="22"/>
  <c r="AE100" i="22"/>
  <c r="AU212" i="22"/>
  <c r="AC7" i="22"/>
  <c r="AC82" i="22"/>
  <c r="AE92" i="22"/>
  <c r="AF101" i="22"/>
  <c r="AF92" i="22" s="1"/>
  <c r="AF80" i="19"/>
  <c r="AE189" i="20"/>
  <c r="AF99" i="20"/>
  <c r="AE191" i="20"/>
  <c r="AD197" i="20"/>
  <c r="AD49" i="20" s="1"/>
  <c r="AD50" i="20" s="1"/>
  <c r="AC71" i="20"/>
  <c r="AC73" i="20"/>
  <c r="AB73" i="20"/>
  <c r="AB71" i="20"/>
  <c r="AE91" i="20"/>
  <c r="AF100" i="20"/>
  <c r="AD91" i="20"/>
  <c r="AE80" i="19"/>
  <c r="Y71" i="19"/>
  <c r="Y73" i="19"/>
  <c r="Y81" i="19" s="1"/>
  <c r="V80" i="19"/>
  <c r="U80" i="19"/>
  <c r="S71" i="19"/>
  <c r="R71" i="19"/>
  <c r="Q80" i="19"/>
  <c r="Q73" i="19"/>
  <c r="Q7" i="19" s="1"/>
  <c r="Q71" i="19"/>
  <c r="P80" i="19"/>
  <c r="P73" i="19"/>
  <c r="AH211" i="19" s="1"/>
  <c r="P71" i="19"/>
  <c r="O80" i="19"/>
  <c r="O73" i="19"/>
  <c r="AG211" i="19" s="1"/>
  <c r="L73" i="19"/>
  <c r="L7" i="19" s="1"/>
  <c r="L71" i="19"/>
  <c r="K71" i="19"/>
  <c r="J71" i="19"/>
  <c r="I80" i="19"/>
  <c r="I71" i="19"/>
  <c r="I73" i="19"/>
  <c r="I7" i="19" s="1"/>
  <c r="H80" i="19"/>
  <c r="H71" i="19"/>
  <c r="H73" i="19"/>
  <c r="AI76" i="19"/>
  <c r="G80" i="19"/>
  <c r="G73" i="19"/>
  <c r="Y211" i="19" s="1"/>
  <c r="F80" i="19"/>
  <c r="E80" i="19"/>
  <c r="D71" i="19"/>
  <c r="D73" i="19"/>
  <c r="D7" i="19" s="1"/>
  <c r="AH75" i="19"/>
  <c r="AI78" i="19"/>
  <c r="AI77" i="19"/>
  <c r="AH36" i="19"/>
  <c r="B71" i="19"/>
  <c r="B73" i="19" s="1"/>
  <c r="AI36" i="19"/>
  <c r="H4" i="19"/>
  <c r="AG73" i="19"/>
  <c r="AH78" i="19"/>
  <c r="G100" i="19"/>
  <c r="AH77" i="19"/>
  <c r="E73" i="19"/>
  <c r="M73" i="19"/>
  <c r="AI54" i="19"/>
  <c r="F73" i="19"/>
  <c r="N73" i="19"/>
  <c r="AI75" i="19"/>
  <c r="C80" i="19"/>
  <c r="K80" i="19"/>
  <c r="S80" i="19"/>
  <c r="AA80" i="19"/>
  <c r="E5" i="19"/>
  <c r="E71" i="19"/>
  <c r="M5" i="19"/>
  <c r="M71" i="19"/>
  <c r="AC5" i="19"/>
  <c r="AI74" i="19"/>
  <c r="J80" i="19"/>
  <c r="R80" i="19"/>
  <c r="Z80" i="19"/>
  <c r="F5" i="19"/>
  <c r="F71" i="19"/>
  <c r="N5" i="19"/>
  <c r="N71" i="19"/>
  <c r="V5" i="19"/>
  <c r="AD5" i="19"/>
  <c r="U5" i="19"/>
  <c r="G71" i="19"/>
  <c r="O71" i="19"/>
  <c r="AG81" i="19"/>
  <c r="D80" i="19"/>
  <c r="L80" i="19"/>
  <c r="T80" i="19"/>
  <c r="AB80" i="19"/>
  <c r="C189" i="19"/>
  <c r="J73" i="19"/>
  <c r="R73" i="19"/>
  <c r="D189" i="19"/>
  <c r="S208" i="19"/>
  <c r="D208" i="19"/>
  <c r="C73" i="19"/>
  <c r="K73" i="19"/>
  <c r="S73" i="19"/>
  <c r="AH74" i="19"/>
  <c r="B80" i="19"/>
  <c r="E99" i="19"/>
  <c r="AH54" i="19"/>
  <c r="AH66" i="19"/>
  <c r="AH70" i="19"/>
  <c r="AI66" i="19"/>
  <c r="AI70" i="19"/>
  <c r="AH76" i="19"/>
  <c r="C197" i="19"/>
  <c r="D232" i="19"/>
  <c r="E196" i="19"/>
  <c r="D191" i="19"/>
  <c r="AH92" i="23" l="1"/>
  <c r="AI92" i="23"/>
  <c r="AW212" i="23"/>
  <c r="AE7" i="23"/>
  <c r="AF51" i="23"/>
  <c r="AI50" i="23"/>
  <c r="AH50" i="23"/>
  <c r="AE74" i="22"/>
  <c r="AE72" i="22"/>
  <c r="AF233" i="22"/>
  <c r="AF198" i="22"/>
  <c r="AF50" i="22" s="1"/>
  <c r="AH92" i="22"/>
  <c r="AI92" i="22"/>
  <c r="AD82" i="22"/>
  <c r="AV212" i="22"/>
  <c r="AD7" i="22"/>
  <c r="AE190" i="22"/>
  <c r="AF100" i="22"/>
  <c r="AF190" i="22" s="1"/>
  <c r="AB81" i="20"/>
  <c r="Y7" i="19"/>
  <c r="AT211" i="20"/>
  <c r="AB7" i="20"/>
  <c r="AC81" i="20"/>
  <c r="AU211" i="20"/>
  <c r="AC7" i="20"/>
  <c r="AD73" i="20"/>
  <c r="AD71" i="20"/>
  <c r="AE197" i="20"/>
  <c r="AE49" i="20" s="1"/>
  <c r="AE50" i="20" s="1"/>
  <c r="AF191" i="20"/>
  <c r="AF197" i="20" s="1"/>
  <c r="AF49" i="20" s="1"/>
  <c r="AF91" i="20"/>
  <c r="AF189" i="20"/>
  <c r="AQ211" i="19"/>
  <c r="S81" i="19"/>
  <c r="R81" i="19"/>
  <c r="AA211" i="19"/>
  <c r="AI211" i="19"/>
  <c r="Q81" i="19"/>
  <c r="P7" i="19"/>
  <c r="P81" i="19"/>
  <c r="N81" i="19"/>
  <c r="O81" i="19"/>
  <c r="O7" i="19"/>
  <c r="M81" i="19"/>
  <c r="AD211" i="19"/>
  <c r="L81" i="19"/>
  <c r="K81" i="19"/>
  <c r="J81" i="19"/>
  <c r="I81" i="19"/>
  <c r="H81" i="19"/>
  <c r="Z211" i="19"/>
  <c r="H7" i="19"/>
  <c r="G7" i="19"/>
  <c r="V211" i="19"/>
  <c r="D81" i="19"/>
  <c r="F81" i="19"/>
  <c r="E81" i="19"/>
  <c r="C81" i="19"/>
  <c r="E232" i="19"/>
  <c r="F196" i="19"/>
  <c r="G81" i="19"/>
  <c r="T211" i="19"/>
  <c r="B7" i="19"/>
  <c r="E189" i="19"/>
  <c r="F99" i="19"/>
  <c r="AF211" i="19"/>
  <c r="N7" i="19"/>
  <c r="W211" i="19"/>
  <c r="E7" i="19"/>
  <c r="AI80" i="19"/>
  <c r="AH80" i="19"/>
  <c r="AJ211" i="19"/>
  <c r="R7" i="19"/>
  <c r="B81" i="19"/>
  <c r="U211" i="19"/>
  <c r="C7" i="19"/>
  <c r="AB211" i="19"/>
  <c r="J7" i="19"/>
  <c r="X211" i="19"/>
  <c r="C206" i="19"/>
  <c r="B206" i="19"/>
  <c r="F7" i="19"/>
  <c r="AK211" i="19"/>
  <c r="S7" i="19"/>
  <c r="D197" i="19"/>
  <c r="E191" i="19"/>
  <c r="D91" i="19"/>
  <c r="AC211" i="19"/>
  <c r="K7" i="19"/>
  <c r="AE211" i="19"/>
  <c r="M7" i="19"/>
  <c r="H100" i="19"/>
  <c r="AF72" i="23" l="1"/>
  <c r="AF74" i="23"/>
  <c r="AH51" i="23"/>
  <c r="AI51" i="23"/>
  <c r="AE82" i="22"/>
  <c r="AF51" i="22"/>
  <c r="AI50" i="22"/>
  <c r="AH50" i="22"/>
  <c r="AW212" i="22"/>
  <c r="AE7" i="22"/>
  <c r="AD81" i="20"/>
  <c r="AE71" i="20"/>
  <c r="AE73" i="20"/>
  <c r="AI91" i="20"/>
  <c r="AH91" i="20"/>
  <c r="AV211" i="20"/>
  <c r="AD7" i="20"/>
  <c r="AF50" i="20"/>
  <c r="AH49" i="20"/>
  <c r="AI49" i="20"/>
  <c r="F191" i="19"/>
  <c r="E197" i="19"/>
  <c r="E91" i="19"/>
  <c r="F232" i="19"/>
  <c r="G196" i="19"/>
  <c r="I100" i="19"/>
  <c r="K6" i="19"/>
  <c r="F189" i="19"/>
  <c r="G99" i="19"/>
  <c r="AX212" i="23" l="1"/>
  <c r="AF7" i="23"/>
  <c r="A7" i="23" s="1"/>
  <c r="AI74" i="23"/>
  <c r="AH74" i="23"/>
  <c r="AF82" i="23"/>
  <c r="AH72" i="23"/>
  <c r="AI72" i="23"/>
  <c r="AF74" i="22"/>
  <c r="AF72" i="22"/>
  <c r="AH51" i="22"/>
  <c r="AI51" i="22"/>
  <c r="AF71" i="20"/>
  <c r="AF73" i="20"/>
  <c r="AH50" i="20"/>
  <c r="AI50" i="20"/>
  <c r="AW211" i="20"/>
  <c r="AE7" i="20"/>
  <c r="AE81" i="20"/>
  <c r="G189" i="19"/>
  <c r="H99" i="19"/>
  <c r="G191" i="19"/>
  <c r="F197" i="19"/>
  <c r="F91" i="19"/>
  <c r="J100" i="19"/>
  <c r="G232" i="19"/>
  <c r="H196" i="19"/>
  <c r="AH82" i="23" l="1"/>
  <c r="AI82" i="23"/>
  <c r="AF82" i="22"/>
  <c r="AI72" i="22"/>
  <c r="AH72" i="22"/>
  <c r="AX212" i="22"/>
  <c r="AF7" i="22"/>
  <c r="A7" i="22" s="1"/>
  <c r="AI74" i="22"/>
  <c r="AH74" i="22"/>
  <c r="AX211" i="20"/>
  <c r="AF7" i="20"/>
  <c r="A7" i="20" s="1"/>
  <c r="AH73" i="20"/>
  <c r="AI73" i="20"/>
  <c r="AF81" i="20"/>
  <c r="AH71" i="20"/>
  <c r="AI71" i="20"/>
  <c r="K100" i="19"/>
  <c r="H191" i="19"/>
  <c r="G197" i="19"/>
  <c r="G91" i="19"/>
  <c r="H189" i="19"/>
  <c r="I99" i="19"/>
  <c r="H232" i="19"/>
  <c r="I196" i="19"/>
  <c r="AI82" i="22" l="1"/>
  <c r="AH82" i="22"/>
  <c r="AI81" i="20"/>
  <c r="AH81" i="20"/>
  <c r="I189" i="19"/>
  <c r="J99" i="19"/>
  <c r="J196" i="19"/>
  <c r="I232" i="19"/>
  <c r="L100" i="19"/>
  <c r="H197" i="19"/>
  <c r="I191" i="19"/>
  <c r="H91" i="19"/>
  <c r="X35" i="18"/>
  <c r="M100" i="19" l="1"/>
  <c r="K196" i="19"/>
  <c r="J232" i="19"/>
  <c r="J189" i="19"/>
  <c r="K99" i="19"/>
  <c r="I197" i="19"/>
  <c r="J191" i="19"/>
  <c r="I91" i="19"/>
  <c r="K189" i="19" l="1"/>
  <c r="L99" i="19"/>
  <c r="K232" i="19"/>
  <c r="L196" i="19"/>
  <c r="N100" i="19"/>
  <c r="J197" i="19"/>
  <c r="K191" i="19"/>
  <c r="J91" i="19"/>
  <c r="K197" i="19" l="1"/>
  <c r="L191" i="19"/>
  <c r="K91" i="19"/>
  <c r="O100" i="19"/>
  <c r="L232" i="19"/>
  <c r="M196" i="19"/>
  <c r="L189" i="19"/>
  <c r="M99" i="19"/>
  <c r="M232" i="19" l="1"/>
  <c r="N196" i="19"/>
  <c r="P100" i="19"/>
  <c r="L197" i="19"/>
  <c r="M191" i="19"/>
  <c r="L91" i="19"/>
  <c r="M189" i="19"/>
  <c r="N99" i="19"/>
  <c r="N191" i="19" l="1"/>
  <c r="M197" i="19"/>
  <c r="M91" i="19"/>
  <c r="Q100" i="19"/>
  <c r="N232" i="19"/>
  <c r="O196" i="19"/>
  <c r="N189" i="19"/>
  <c r="O99" i="19"/>
  <c r="O232" i="19" l="1"/>
  <c r="P196" i="19"/>
  <c r="R100" i="19"/>
  <c r="O189" i="19"/>
  <c r="P99" i="19"/>
  <c r="O191" i="19"/>
  <c r="N197" i="19"/>
  <c r="N91" i="19"/>
  <c r="P191" i="19" l="1"/>
  <c r="O197" i="19"/>
  <c r="O91" i="19"/>
  <c r="S100" i="19"/>
  <c r="P189" i="19"/>
  <c r="Q99" i="19"/>
  <c r="P232" i="19"/>
  <c r="Q196" i="19"/>
  <c r="Q189" i="19" l="1"/>
  <c r="R99" i="19"/>
  <c r="T100" i="19"/>
  <c r="R196" i="19"/>
  <c r="Q232" i="19"/>
  <c r="P197" i="19"/>
  <c r="Q191" i="19"/>
  <c r="P91" i="19"/>
  <c r="Q197" i="19" l="1"/>
  <c r="R191" i="19"/>
  <c r="Q91" i="19"/>
  <c r="S196" i="19"/>
  <c r="R232" i="19"/>
  <c r="U100" i="19"/>
  <c r="R189" i="19"/>
  <c r="S99" i="19"/>
  <c r="V100" i="19" l="1"/>
  <c r="S232" i="19"/>
  <c r="T196" i="19"/>
  <c r="R197" i="19"/>
  <c r="S191" i="19"/>
  <c r="R91" i="19"/>
  <c r="S189" i="19"/>
  <c r="T99" i="19"/>
  <c r="S197" i="19" l="1"/>
  <c r="T191" i="19"/>
  <c r="S91" i="19"/>
  <c r="T232" i="19"/>
  <c r="U196" i="19"/>
  <c r="W100" i="19"/>
  <c r="T189" i="19"/>
  <c r="U99" i="19"/>
  <c r="X100" i="19" l="1"/>
  <c r="U232" i="19"/>
  <c r="V196" i="19"/>
  <c r="T197" i="19"/>
  <c r="T49" i="19" s="1"/>
  <c r="U191" i="19"/>
  <c r="T91" i="19"/>
  <c r="U189" i="19"/>
  <c r="V99" i="19"/>
  <c r="V191" i="19" l="1"/>
  <c r="U197" i="19"/>
  <c r="U49" i="19" s="1"/>
  <c r="U50" i="19" s="1"/>
  <c r="U91" i="19"/>
  <c r="V232" i="19"/>
  <c r="W196" i="19"/>
  <c r="Y100" i="19"/>
  <c r="T50" i="19"/>
  <c r="V189" i="19"/>
  <c r="W99" i="19"/>
  <c r="W189" i="19" l="1"/>
  <c r="X99" i="19"/>
  <c r="Z100" i="19"/>
  <c r="W232" i="19"/>
  <c r="X196" i="19"/>
  <c r="U73" i="19"/>
  <c r="U71" i="19"/>
  <c r="T73" i="19"/>
  <c r="T71" i="19"/>
  <c r="W191" i="19"/>
  <c r="V197" i="19"/>
  <c r="V49" i="19" s="1"/>
  <c r="V91" i="19"/>
  <c r="U81" i="19" l="1"/>
  <c r="X191" i="19"/>
  <c r="W197" i="19"/>
  <c r="W50" i="19" s="1"/>
  <c r="W91" i="19"/>
  <c r="AA100" i="19"/>
  <c r="V50" i="19"/>
  <c r="X232" i="19"/>
  <c r="Y196" i="19"/>
  <c r="T81" i="19"/>
  <c r="X189" i="19"/>
  <c r="Y99" i="19"/>
  <c r="AM211" i="19"/>
  <c r="U7" i="19"/>
  <c r="AL211" i="19"/>
  <c r="T7" i="19"/>
  <c r="Y189" i="19" l="1"/>
  <c r="Z99" i="19"/>
  <c r="AB100" i="19"/>
  <c r="V71" i="19"/>
  <c r="V73" i="19"/>
  <c r="W73" i="19"/>
  <c r="W71" i="19"/>
  <c r="W81" i="19" s="1"/>
  <c r="Z196" i="19"/>
  <c r="Y232" i="19"/>
  <c r="X197" i="19"/>
  <c r="X49" i="19" s="1"/>
  <c r="Y191" i="19"/>
  <c r="X91" i="19"/>
  <c r="V81" i="19" l="1"/>
  <c r="AA196" i="19"/>
  <c r="Z232" i="19"/>
  <c r="AC100" i="19"/>
  <c r="AO211" i="19"/>
  <c r="W7" i="19"/>
  <c r="Y197" i="19"/>
  <c r="Z191" i="19"/>
  <c r="Y91" i="19"/>
  <c r="Z189" i="19"/>
  <c r="AA99" i="19"/>
  <c r="X50" i="19"/>
  <c r="AN211" i="19"/>
  <c r="V7" i="19"/>
  <c r="X71" i="19" l="1"/>
  <c r="X73" i="19"/>
  <c r="AA189" i="19"/>
  <c r="AB99" i="19"/>
  <c r="Z197" i="19"/>
  <c r="Z49" i="19" s="1"/>
  <c r="AA191" i="19"/>
  <c r="Z91" i="19"/>
  <c r="AA232" i="19"/>
  <c r="AB196" i="19"/>
  <c r="AD100" i="19"/>
  <c r="Z50" i="19" l="1"/>
  <c r="AA197" i="19"/>
  <c r="AA49" i="19" s="1"/>
  <c r="AA50" i="19" s="1"/>
  <c r="AB191" i="19"/>
  <c r="AA91" i="19"/>
  <c r="AB232" i="19"/>
  <c r="AC196" i="19"/>
  <c r="AB189" i="19"/>
  <c r="AC99" i="19"/>
  <c r="AE100" i="19"/>
  <c r="AP211" i="19"/>
  <c r="X7" i="19"/>
  <c r="X81" i="19"/>
  <c r="AC232" i="19" l="1"/>
  <c r="AD196" i="19"/>
  <c r="AA71" i="19"/>
  <c r="AA73" i="19"/>
  <c r="AF100" i="19"/>
  <c r="AC189" i="19"/>
  <c r="AD99" i="19"/>
  <c r="AB197" i="19"/>
  <c r="AB49" i="19" s="1"/>
  <c r="AB50" i="19" s="1"/>
  <c r="AC191" i="19"/>
  <c r="AB91" i="19"/>
  <c r="Z73" i="19"/>
  <c r="Z71" i="19"/>
  <c r="AR211" i="19" l="1"/>
  <c r="Z7" i="19"/>
  <c r="AA81" i="19"/>
  <c r="AS211" i="19"/>
  <c r="AA7" i="19"/>
  <c r="AB73" i="19"/>
  <c r="AB71" i="19"/>
  <c r="AD232" i="19"/>
  <c r="AE196" i="19"/>
  <c r="Z81" i="19"/>
  <c r="AD191" i="19"/>
  <c r="AC197" i="19"/>
  <c r="AC49" i="19" s="1"/>
  <c r="AC50" i="19" s="1"/>
  <c r="AC91" i="19"/>
  <c r="AD189" i="19"/>
  <c r="AE99" i="19"/>
  <c r="AB81" i="19" l="1"/>
  <c r="AE191" i="19"/>
  <c r="AD197" i="19"/>
  <c r="AD49" i="19" s="1"/>
  <c r="AD50" i="19" s="1"/>
  <c r="AD91" i="19"/>
  <c r="AE232" i="19"/>
  <c r="AF196" i="19"/>
  <c r="AF232" i="19" s="1"/>
  <c r="AE189" i="19"/>
  <c r="AF99" i="19"/>
  <c r="AF189" i="19" s="1"/>
  <c r="AC73" i="19"/>
  <c r="AC71" i="19"/>
  <c r="AT211" i="19"/>
  <c r="AB7" i="19"/>
  <c r="AC81" i="19" l="1"/>
  <c r="AU211" i="19"/>
  <c r="AC7" i="19"/>
  <c r="AD73" i="19"/>
  <c r="AD71" i="19"/>
  <c r="AF191" i="19"/>
  <c r="AE197" i="19"/>
  <c r="AE49" i="19" s="1"/>
  <c r="AE50" i="19" s="1"/>
  <c r="AE91" i="19"/>
  <c r="AD81" i="19" l="1"/>
  <c r="AE73" i="19"/>
  <c r="AE71" i="19"/>
  <c r="AE81" i="19" s="1"/>
  <c r="AF197" i="19"/>
  <c r="AF49" i="19" s="1"/>
  <c r="AF91" i="19"/>
  <c r="AV211" i="19"/>
  <c r="AD7" i="19"/>
  <c r="AI91" i="19" l="1"/>
  <c r="AH91" i="19"/>
  <c r="AF50" i="19"/>
  <c r="AI49" i="19"/>
  <c r="AH49" i="19"/>
  <c r="AW211" i="19"/>
  <c r="AE7" i="19"/>
  <c r="AF71" i="19" l="1"/>
  <c r="AF73" i="19"/>
  <c r="AI50" i="19"/>
  <c r="AH50" i="19"/>
  <c r="AX211" i="19" l="1"/>
  <c r="AF7" i="19"/>
  <c r="A7" i="19" s="1"/>
  <c r="AH73" i="19"/>
  <c r="AI73" i="19"/>
  <c r="AF81" i="19"/>
  <c r="AH71" i="19"/>
  <c r="AI71" i="19"/>
  <c r="AH81" i="19" l="1"/>
  <c r="AI81" i="19"/>
  <c r="S35" i="18" l="1"/>
  <c r="R35" i="18" l="1"/>
  <c r="Q93" i="18" l="1"/>
  <c r="Q35" i="18"/>
  <c r="P93" i="18"/>
  <c r="P35" i="18"/>
  <c r="N35" i="18"/>
  <c r="M35" i="18"/>
  <c r="L35" i="18" l="1"/>
  <c r="K35" i="18"/>
  <c r="AH97" i="18"/>
  <c r="AI97" i="18" s="1"/>
  <c r="D35" i="18"/>
  <c r="C35" i="18"/>
  <c r="AF35" i="17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AF234" i="18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B232" i="18"/>
  <c r="S207" i="18"/>
  <c r="AG197" i="18"/>
  <c r="C197" i="18"/>
  <c r="B197" i="18"/>
  <c r="E196" i="18"/>
  <c r="D196" i="18"/>
  <c r="D232" i="18" s="1"/>
  <c r="C196" i="18"/>
  <c r="C232" i="18" s="1"/>
  <c r="G195" i="18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C195" i="18"/>
  <c r="D195" i="18" s="1"/>
  <c r="E195" i="18" s="1"/>
  <c r="F195" i="18" s="1"/>
  <c r="P194" i="18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E194" i="18"/>
  <c r="F194" i="18" s="1"/>
  <c r="G194" i="18" s="1"/>
  <c r="H194" i="18" s="1"/>
  <c r="I194" i="18" s="1"/>
  <c r="J194" i="18" s="1"/>
  <c r="K194" i="18" s="1"/>
  <c r="L194" i="18" s="1"/>
  <c r="M194" i="18" s="1"/>
  <c r="N194" i="18" s="1"/>
  <c r="O194" i="18" s="1"/>
  <c r="C194" i="18"/>
  <c r="D194" i="18" s="1"/>
  <c r="C193" i="18"/>
  <c r="D193" i="18" s="1"/>
  <c r="E193" i="18" s="1"/>
  <c r="F193" i="18" s="1"/>
  <c r="G193" i="18" s="1"/>
  <c r="H193" i="18" s="1"/>
  <c r="I193" i="18" s="1"/>
  <c r="J193" i="18" s="1"/>
  <c r="K193" i="18" s="1"/>
  <c r="L193" i="18" s="1"/>
  <c r="M193" i="18" s="1"/>
  <c r="N193" i="18" s="1"/>
  <c r="O193" i="18" s="1"/>
  <c r="P193" i="18" s="1"/>
  <c r="Q193" i="18" s="1"/>
  <c r="R193" i="18" s="1"/>
  <c r="S193" i="18" s="1"/>
  <c r="T193" i="18" s="1"/>
  <c r="U193" i="18" s="1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O192" i="18"/>
  <c r="P192" i="18" s="1"/>
  <c r="Q192" i="18" s="1"/>
  <c r="R192" i="18" s="1"/>
  <c r="S192" i="18" s="1"/>
  <c r="T192" i="18" s="1"/>
  <c r="U192" i="18" s="1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E192" i="18"/>
  <c r="F192" i="18" s="1"/>
  <c r="G192" i="18" s="1"/>
  <c r="H192" i="18" s="1"/>
  <c r="I192" i="18" s="1"/>
  <c r="J192" i="18" s="1"/>
  <c r="K192" i="18" s="1"/>
  <c r="L192" i="18" s="1"/>
  <c r="M192" i="18" s="1"/>
  <c r="N192" i="18" s="1"/>
  <c r="D192" i="18"/>
  <c r="C192" i="18"/>
  <c r="D191" i="18"/>
  <c r="C191" i="18"/>
  <c r="AG189" i="18"/>
  <c r="B189" i="18"/>
  <c r="C188" i="18"/>
  <c r="D188" i="18" s="1"/>
  <c r="E188" i="18" s="1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D187" i="18"/>
  <c r="E187" i="18" s="1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C187" i="18"/>
  <c r="M186" i="18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D186" i="18"/>
  <c r="E186" i="18" s="1"/>
  <c r="F186" i="18" s="1"/>
  <c r="G186" i="18" s="1"/>
  <c r="H186" i="18" s="1"/>
  <c r="I186" i="18" s="1"/>
  <c r="J186" i="18" s="1"/>
  <c r="K186" i="18" s="1"/>
  <c r="L186" i="18" s="1"/>
  <c r="C186" i="18"/>
  <c r="D185" i="18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C185" i="18"/>
  <c r="I184" i="18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E184" i="18"/>
  <c r="F184" i="18" s="1"/>
  <c r="G184" i="18" s="1"/>
  <c r="H184" i="18" s="1"/>
  <c r="C184" i="18"/>
  <c r="D184" i="18" s="1"/>
  <c r="C183" i="18"/>
  <c r="D183" i="18" s="1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E182" i="18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C182" i="18"/>
  <c r="D182" i="18" s="1"/>
  <c r="J181" i="18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C181" i="18"/>
  <c r="D181" i="18" s="1"/>
  <c r="E181" i="18" s="1"/>
  <c r="F181" i="18" s="1"/>
  <c r="G181" i="18" s="1"/>
  <c r="H181" i="18" s="1"/>
  <c r="I181" i="18" s="1"/>
  <c r="S180" i="18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H180" i="18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C180" i="18"/>
  <c r="D180" i="18" s="1"/>
  <c r="E180" i="18" s="1"/>
  <c r="F180" i="18" s="1"/>
  <c r="G180" i="18" s="1"/>
  <c r="X179" i="18"/>
  <c r="Y179" i="18" s="1"/>
  <c r="Z179" i="18" s="1"/>
  <c r="AA179" i="18" s="1"/>
  <c r="AB179" i="18" s="1"/>
  <c r="AC179" i="18" s="1"/>
  <c r="AD179" i="18" s="1"/>
  <c r="AE179" i="18" s="1"/>
  <c r="AF179" i="18" s="1"/>
  <c r="F179" i="18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D179" i="18"/>
  <c r="E179" i="18" s="1"/>
  <c r="C179" i="18"/>
  <c r="O178" i="18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F178" i="18"/>
  <c r="G178" i="18" s="1"/>
  <c r="H178" i="18" s="1"/>
  <c r="I178" i="18" s="1"/>
  <c r="J178" i="18" s="1"/>
  <c r="K178" i="18" s="1"/>
  <c r="L178" i="18" s="1"/>
  <c r="M178" i="18" s="1"/>
  <c r="N178" i="18" s="1"/>
  <c r="D178" i="18"/>
  <c r="E178" i="18" s="1"/>
  <c r="C178" i="18"/>
  <c r="K177" i="18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C177" i="18"/>
  <c r="D177" i="18" s="1"/>
  <c r="E177" i="18" s="1"/>
  <c r="F177" i="18" s="1"/>
  <c r="G177" i="18" s="1"/>
  <c r="H177" i="18" s="1"/>
  <c r="I177" i="18" s="1"/>
  <c r="J177" i="18" s="1"/>
  <c r="L176" i="18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F176" i="18"/>
  <c r="G176" i="18" s="1"/>
  <c r="H176" i="18" s="1"/>
  <c r="I176" i="18" s="1"/>
  <c r="J176" i="18" s="1"/>
  <c r="K176" i="18" s="1"/>
  <c r="D176" i="18"/>
  <c r="E176" i="18" s="1"/>
  <c r="C176" i="18"/>
  <c r="R174" i="18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E174" i="18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D174" i="18"/>
  <c r="C174" i="18"/>
  <c r="D173" i="18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C173" i="18"/>
  <c r="F172" i="18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D172" i="18"/>
  <c r="E172" i="18" s="1"/>
  <c r="C172" i="18"/>
  <c r="D171" i="18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C171" i="18"/>
  <c r="E170" i="18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D170" i="18"/>
  <c r="C170" i="18"/>
  <c r="D169" i="18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C169" i="18"/>
  <c r="C168" i="18"/>
  <c r="D168" i="18" s="1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H167" i="18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7" i="18"/>
  <c r="D167" i="18" s="1"/>
  <c r="E167" i="18" s="1"/>
  <c r="F167" i="18" s="1"/>
  <c r="G167" i="18" s="1"/>
  <c r="U165" i="18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C165" i="18"/>
  <c r="D165" i="18" s="1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C164" i="18"/>
  <c r="D164" i="18" s="1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C163" i="18"/>
  <c r="D163" i="18" s="1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2" i="18"/>
  <c r="D162" i="18" s="1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C160" i="18"/>
  <c r="D160" i="18" s="1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S159" i="18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C159" i="18"/>
  <c r="G158" i="18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C158" i="18"/>
  <c r="D158" i="18" s="1"/>
  <c r="E158" i="18" s="1"/>
  <c r="F158" i="18" s="1"/>
  <c r="C157" i="18"/>
  <c r="D157" i="18" s="1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F156" i="18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E156" i="18"/>
  <c r="C156" i="18"/>
  <c r="D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E154" i="18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4" i="18"/>
  <c r="D154" i="18" s="1"/>
  <c r="S153" i="18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G153" i="18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E153" i="18"/>
  <c r="F153" i="18" s="1"/>
  <c r="C153" i="18"/>
  <c r="D153" i="18" s="1"/>
  <c r="N151" i="18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E151" i="18"/>
  <c r="F151" i="18" s="1"/>
  <c r="G151" i="18" s="1"/>
  <c r="H151" i="18" s="1"/>
  <c r="I151" i="18" s="1"/>
  <c r="J151" i="18" s="1"/>
  <c r="K151" i="18" s="1"/>
  <c r="L151" i="18" s="1"/>
  <c r="M151" i="18" s="1"/>
  <c r="C151" i="18"/>
  <c r="D151" i="18" s="1"/>
  <c r="C150" i="18"/>
  <c r="D150" i="18" s="1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D149" i="18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9" i="18"/>
  <c r="U148" i="18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D148" i="18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C148" i="18"/>
  <c r="G146" i="18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C146" i="18"/>
  <c r="D146" i="18" s="1"/>
  <c r="E146" i="18" s="1"/>
  <c r="F146" i="18" s="1"/>
  <c r="I145" i="18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C145" i="18"/>
  <c r="D145" i="18" s="1"/>
  <c r="E145" i="18" s="1"/>
  <c r="F145" i="18" s="1"/>
  <c r="G145" i="18" s="1"/>
  <c r="H145" i="18" s="1"/>
  <c r="D143" i="18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3" i="18"/>
  <c r="L142" i="18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D142" i="18"/>
  <c r="E142" i="18" s="1"/>
  <c r="F142" i="18" s="1"/>
  <c r="G142" i="18" s="1"/>
  <c r="H142" i="18" s="1"/>
  <c r="I142" i="18" s="1"/>
  <c r="J142" i="18" s="1"/>
  <c r="K142" i="18" s="1"/>
  <c r="C142" i="18"/>
  <c r="C141" i="18"/>
  <c r="D141" i="18" s="1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I140" i="18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C140" i="18"/>
  <c r="D140" i="18" s="1"/>
  <c r="E140" i="18" s="1"/>
  <c r="F140" i="18" s="1"/>
  <c r="G140" i="18" s="1"/>
  <c r="H140" i="18" s="1"/>
  <c r="AE139" i="18"/>
  <c r="AF139" i="18" s="1"/>
  <c r="C139" i="18"/>
  <c r="D139" i="18" s="1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I138" i="18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D138" i="18"/>
  <c r="E138" i="18" s="1"/>
  <c r="F138" i="18" s="1"/>
  <c r="G138" i="18" s="1"/>
  <c r="H138" i="18" s="1"/>
  <c r="C138" i="18"/>
  <c r="H137" i="18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C137" i="18"/>
  <c r="D137" i="18" s="1"/>
  <c r="E137" i="18" s="1"/>
  <c r="F137" i="18" s="1"/>
  <c r="G137" i="18" s="1"/>
  <c r="E135" i="18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5" i="18"/>
  <c r="D135" i="18" s="1"/>
  <c r="D134" i="18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C134" i="18"/>
  <c r="C133" i="18"/>
  <c r="D133" i="18" s="1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C132" i="18"/>
  <c r="D132" i="18" s="1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E131" i="18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C131" i="18"/>
  <c r="D131" i="18" s="1"/>
  <c r="E130" i="18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C130" i="18"/>
  <c r="D130" i="18" s="1"/>
  <c r="F129" i="18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C129" i="18"/>
  <c r="D129" i="18" s="1"/>
  <c r="E129" i="18" s="1"/>
  <c r="AB128" i="18"/>
  <c r="AC128" i="18" s="1"/>
  <c r="AD128" i="18" s="1"/>
  <c r="AE128" i="18" s="1"/>
  <c r="AF128" i="18" s="1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C128" i="18"/>
  <c r="E126" i="18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6" i="18"/>
  <c r="D126" i="18" s="1"/>
  <c r="E125" i="18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C125" i="18"/>
  <c r="D125" i="18" s="1"/>
  <c r="O124" i="18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C124" i="18"/>
  <c r="D124" i="18" s="1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D123" i="18"/>
  <c r="C123" i="18"/>
  <c r="M122" i="18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E122" i="18"/>
  <c r="F122" i="18" s="1"/>
  <c r="G122" i="18" s="1"/>
  <c r="H122" i="18" s="1"/>
  <c r="I122" i="18" s="1"/>
  <c r="J122" i="18" s="1"/>
  <c r="K122" i="18" s="1"/>
  <c r="L122" i="18" s="1"/>
  <c r="C122" i="18"/>
  <c r="D122" i="18" s="1"/>
  <c r="C121" i="18"/>
  <c r="D121" i="18" s="1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0" i="18"/>
  <c r="D120" i="18" s="1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C119" i="18"/>
  <c r="C118" i="18"/>
  <c r="D118" i="18" s="1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U117" i="18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E117" i="18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C117" i="18"/>
  <c r="D117" i="18" s="1"/>
  <c r="C116" i="18"/>
  <c r="D116" i="18" s="1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C115" i="18"/>
  <c r="E114" i="18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4" i="18"/>
  <c r="D114" i="18" s="1"/>
  <c r="I113" i="18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E113" i="18"/>
  <c r="F113" i="18" s="1"/>
  <c r="G113" i="18" s="1"/>
  <c r="H113" i="18" s="1"/>
  <c r="C113" i="18"/>
  <c r="D113" i="18" s="1"/>
  <c r="G112" i="18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C112" i="18"/>
  <c r="D112" i="18" s="1"/>
  <c r="E112" i="18" s="1"/>
  <c r="F112" i="18" s="1"/>
  <c r="Q111" i="18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K111" i="18"/>
  <c r="L111" i="18" s="1"/>
  <c r="M111" i="18" s="1"/>
  <c r="N111" i="18" s="1"/>
  <c r="O111" i="18" s="1"/>
  <c r="P111" i="18" s="1"/>
  <c r="J111" i="18"/>
  <c r="D111" i="18"/>
  <c r="E111" i="18" s="1"/>
  <c r="F111" i="18" s="1"/>
  <c r="G111" i="18" s="1"/>
  <c r="H111" i="18" s="1"/>
  <c r="C111" i="18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E109" i="18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D109" i="18"/>
  <c r="C109" i="18"/>
  <c r="C107" i="18"/>
  <c r="D107" i="18" s="1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C106" i="18"/>
  <c r="D106" i="18" s="1"/>
  <c r="E106" i="18" s="1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C104" i="18"/>
  <c r="D104" i="18" s="1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E103" i="18"/>
  <c r="F103" i="18" s="1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D103" i="18"/>
  <c r="C103" i="18"/>
  <c r="G102" i="18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C102" i="18"/>
  <c r="D102" i="18" s="1"/>
  <c r="E102" i="18" s="1"/>
  <c r="F102" i="18" s="1"/>
  <c r="C101" i="18"/>
  <c r="D101" i="18" s="1"/>
  <c r="E101" i="18" s="1"/>
  <c r="F101" i="18" s="1"/>
  <c r="G101" i="18" s="1"/>
  <c r="H101" i="18" s="1"/>
  <c r="I101" i="18" s="1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C100" i="18"/>
  <c r="D100" i="18" s="1"/>
  <c r="E99" i="18"/>
  <c r="D99" i="18"/>
  <c r="C99" i="18"/>
  <c r="AH96" i="18"/>
  <c r="AI96" i="18" s="1"/>
  <c r="AH95" i="18"/>
  <c r="AI95" i="18" s="1"/>
  <c r="AH94" i="18"/>
  <c r="AI94" i="18" s="1"/>
  <c r="AH93" i="18"/>
  <c r="AI93" i="18" s="1"/>
  <c r="AH92" i="18"/>
  <c r="AI92" i="18" s="1"/>
  <c r="C91" i="18"/>
  <c r="B91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G80" i="18"/>
  <c r="AI79" i="18"/>
  <c r="AH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D80" i="18" s="1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AF74" i="18"/>
  <c r="AE74" i="18"/>
  <c r="AD74" i="18"/>
  <c r="AD80" i="18" s="1"/>
  <c r="AC74" i="18"/>
  <c r="AB74" i="18"/>
  <c r="AB80" i="18" s="1"/>
  <c r="AA74" i="18"/>
  <c r="Z74" i="18"/>
  <c r="Y74" i="18"/>
  <c r="X74" i="18"/>
  <c r="W74" i="18"/>
  <c r="V74" i="18"/>
  <c r="U74" i="18"/>
  <c r="U80" i="18" s="1"/>
  <c r="T74" i="18"/>
  <c r="S74" i="18"/>
  <c r="R74" i="18"/>
  <c r="Q74" i="18"/>
  <c r="P74" i="18"/>
  <c r="O74" i="18"/>
  <c r="N74" i="18"/>
  <c r="N80" i="18" s="1"/>
  <c r="M74" i="18"/>
  <c r="L74" i="18"/>
  <c r="K74" i="18"/>
  <c r="J74" i="18"/>
  <c r="I74" i="18"/>
  <c r="H74" i="18"/>
  <c r="G74" i="18"/>
  <c r="F74" i="18"/>
  <c r="E74" i="18"/>
  <c r="D74" i="18"/>
  <c r="C74" i="18"/>
  <c r="B74" i="18"/>
  <c r="AI72" i="18"/>
  <c r="AH72" i="18"/>
  <c r="AG71" i="18"/>
  <c r="AG70" i="18"/>
  <c r="AF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B70" i="18"/>
  <c r="AH70" i="18" s="1"/>
  <c r="AI69" i="18"/>
  <c r="AH69" i="18"/>
  <c r="AI68" i="18"/>
  <c r="AH68" i="18"/>
  <c r="AI67" i="18"/>
  <c r="AH67" i="18"/>
  <c r="AG66" i="18"/>
  <c r="AF66" i="18"/>
  <c r="AE66" i="18"/>
  <c r="AE5" i="18" s="1"/>
  <c r="AD66" i="18"/>
  <c r="AD5" i="18" s="1"/>
  <c r="AC66" i="18"/>
  <c r="AC5" i="18" s="1"/>
  <c r="AB66" i="18"/>
  <c r="AB5" i="18" s="1"/>
  <c r="AA66" i="18"/>
  <c r="AA5" i="18" s="1"/>
  <c r="Z66" i="18"/>
  <c r="Z5" i="18" s="1"/>
  <c r="Y66" i="18"/>
  <c r="X66" i="18"/>
  <c r="X5" i="18" s="1"/>
  <c r="W66" i="18"/>
  <c r="W5" i="18" s="1"/>
  <c r="V66" i="18"/>
  <c r="V5" i="18" s="1"/>
  <c r="U66" i="18"/>
  <c r="U5" i="18" s="1"/>
  <c r="T66" i="18"/>
  <c r="T5" i="18" s="1"/>
  <c r="S66" i="18"/>
  <c r="S5" i="18" s="1"/>
  <c r="R66" i="18"/>
  <c r="R5" i="18" s="1"/>
  <c r="Q66" i="18"/>
  <c r="Q5" i="18" s="1"/>
  <c r="P66" i="18"/>
  <c r="P5" i="18" s="1"/>
  <c r="O66" i="18"/>
  <c r="O5" i="18" s="1"/>
  <c r="N66" i="18"/>
  <c r="N5" i="18" s="1"/>
  <c r="M66" i="18"/>
  <c r="M5" i="18" s="1"/>
  <c r="L66" i="18"/>
  <c r="L5" i="18" s="1"/>
  <c r="K66" i="18"/>
  <c r="K5" i="18" s="1"/>
  <c r="J66" i="18"/>
  <c r="J5" i="18" s="1"/>
  <c r="I66" i="18"/>
  <c r="I5" i="18" s="1"/>
  <c r="H66" i="18"/>
  <c r="H5" i="18" s="1"/>
  <c r="G66" i="18"/>
  <c r="G5" i="18" s="1"/>
  <c r="F66" i="18"/>
  <c r="F5" i="18" s="1"/>
  <c r="E66" i="18"/>
  <c r="E5" i="18" s="1"/>
  <c r="D66" i="18"/>
  <c r="D5" i="18" s="1"/>
  <c r="C66" i="18"/>
  <c r="C5" i="18" s="1"/>
  <c r="B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AI53" i="18"/>
  <c r="AH53" i="18"/>
  <c r="AI52" i="18"/>
  <c r="AH52" i="18"/>
  <c r="AI51" i="18"/>
  <c r="AH51" i="18"/>
  <c r="AG50" i="18"/>
  <c r="Y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AG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G36" i="18"/>
  <c r="AG2" i="18" s="1"/>
  <c r="AG6" i="18" s="1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I71" i="18" s="1"/>
  <c r="H36" i="18"/>
  <c r="G36" i="18"/>
  <c r="F36" i="18"/>
  <c r="E36" i="18"/>
  <c r="D36" i="18"/>
  <c r="C36" i="18"/>
  <c r="B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F5" i="18"/>
  <c r="Y5" i="18"/>
  <c r="B5" i="18"/>
  <c r="AG4" i="18"/>
  <c r="K4" i="18"/>
  <c r="B4" i="18"/>
  <c r="AG3" i="18"/>
  <c r="AE35" i="17"/>
  <c r="E4" i="18"/>
  <c r="AE80" i="18" l="1"/>
  <c r="AC80" i="18"/>
  <c r="Z80" i="18"/>
  <c r="AA80" i="18"/>
  <c r="Y80" i="18"/>
  <c r="Y71" i="18"/>
  <c r="Y73" i="18"/>
  <c r="Y81" i="18" s="1"/>
  <c r="W80" i="18"/>
  <c r="V80" i="18"/>
  <c r="T80" i="18"/>
  <c r="S80" i="18"/>
  <c r="R80" i="18"/>
  <c r="R73" i="18"/>
  <c r="AJ211" i="18" s="1"/>
  <c r="R71" i="18"/>
  <c r="Q80" i="18"/>
  <c r="Q71" i="18"/>
  <c r="P71" i="18"/>
  <c r="O80" i="18"/>
  <c r="O71" i="18"/>
  <c r="O73" i="18"/>
  <c r="N71" i="18"/>
  <c r="N73" i="18"/>
  <c r="AF211" i="18" s="1"/>
  <c r="M80" i="18"/>
  <c r="M73" i="18"/>
  <c r="AE211" i="18" s="1"/>
  <c r="L80" i="18"/>
  <c r="K80" i="18"/>
  <c r="L73" i="18"/>
  <c r="AD211" i="18" s="1"/>
  <c r="J80" i="18"/>
  <c r="J73" i="18"/>
  <c r="AB211" i="18" s="1"/>
  <c r="J71" i="18"/>
  <c r="I80" i="18"/>
  <c r="AI78" i="18"/>
  <c r="H71" i="18"/>
  <c r="G80" i="18"/>
  <c r="G71" i="18"/>
  <c r="G73" i="18"/>
  <c r="G81" i="18" s="1"/>
  <c r="F80" i="18"/>
  <c r="AH75" i="18"/>
  <c r="F71" i="18"/>
  <c r="F73" i="18"/>
  <c r="F7" i="18" s="1"/>
  <c r="AI36" i="18"/>
  <c r="AI74" i="18"/>
  <c r="E80" i="18"/>
  <c r="AH78" i="18"/>
  <c r="E73" i="18"/>
  <c r="W211" i="18" s="1"/>
  <c r="AH54" i="18"/>
  <c r="D73" i="18"/>
  <c r="D7" i="18" s="1"/>
  <c r="AH76" i="18"/>
  <c r="AI76" i="18"/>
  <c r="AI77" i="18"/>
  <c r="C80" i="18"/>
  <c r="AH66" i="18"/>
  <c r="C73" i="18"/>
  <c r="C7" i="18" s="1"/>
  <c r="AH77" i="18"/>
  <c r="AI54" i="18"/>
  <c r="B71" i="18"/>
  <c r="B73" i="18" s="1"/>
  <c r="T211" i="18" s="1"/>
  <c r="H4" i="18"/>
  <c r="V211" i="18"/>
  <c r="R81" i="18"/>
  <c r="O81" i="18"/>
  <c r="C71" i="18"/>
  <c r="S71" i="18"/>
  <c r="L71" i="18"/>
  <c r="H73" i="18"/>
  <c r="P73" i="18"/>
  <c r="AI66" i="18"/>
  <c r="K71" i="18"/>
  <c r="D71" i="18"/>
  <c r="E71" i="18"/>
  <c r="E81" i="18" s="1"/>
  <c r="M71" i="18"/>
  <c r="I73" i="18"/>
  <c r="I81" i="18" s="1"/>
  <c r="Q73" i="18"/>
  <c r="AG73" i="18"/>
  <c r="AG81" i="18" s="1"/>
  <c r="H80" i="18"/>
  <c r="P80" i="18"/>
  <c r="X80" i="18"/>
  <c r="AF80" i="18"/>
  <c r="K73" i="18"/>
  <c r="S73" i="18"/>
  <c r="S81" i="18" s="1"/>
  <c r="AH74" i="18"/>
  <c r="B80" i="18"/>
  <c r="E100" i="18"/>
  <c r="D91" i="18"/>
  <c r="AI70" i="18"/>
  <c r="AI75" i="18"/>
  <c r="S208" i="18"/>
  <c r="D208" i="18"/>
  <c r="AH36" i="18"/>
  <c r="C189" i="18"/>
  <c r="D189" i="18"/>
  <c r="E189" i="18"/>
  <c r="F99" i="18"/>
  <c r="D197" i="18"/>
  <c r="E191" i="18"/>
  <c r="E232" i="18"/>
  <c r="F196" i="18"/>
  <c r="Q81" i="18" l="1"/>
  <c r="Y7" i="18"/>
  <c r="J7" i="18"/>
  <c r="AQ211" i="18"/>
  <c r="R7" i="18"/>
  <c r="M81" i="18"/>
  <c r="P81" i="18"/>
  <c r="AG211" i="18"/>
  <c r="O7" i="18"/>
  <c r="N81" i="18"/>
  <c r="N7" i="18"/>
  <c r="L7" i="18"/>
  <c r="L81" i="18"/>
  <c r="M7" i="18"/>
  <c r="K81" i="18"/>
  <c r="D81" i="18"/>
  <c r="C81" i="18"/>
  <c r="B7" i="18"/>
  <c r="J81" i="18"/>
  <c r="H81" i="18"/>
  <c r="X211" i="18"/>
  <c r="Y211" i="18"/>
  <c r="G7" i="18"/>
  <c r="F81" i="18"/>
  <c r="E7" i="18"/>
  <c r="U211" i="18"/>
  <c r="AC211" i="18"/>
  <c r="K7" i="18"/>
  <c r="F100" i="18"/>
  <c r="E91" i="18"/>
  <c r="AI211" i="18"/>
  <c r="Q7" i="18"/>
  <c r="AA211" i="18"/>
  <c r="I7" i="18"/>
  <c r="AH80" i="18"/>
  <c r="AI80" i="18"/>
  <c r="F191" i="18"/>
  <c r="E197" i="18"/>
  <c r="B206" i="18"/>
  <c r="AH211" i="18"/>
  <c r="P7" i="18"/>
  <c r="AK211" i="18"/>
  <c r="S7" i="18"/>
  <c r="F232" i="18"/>
  <c r="G196" i="18"/>
  <c r="G99" i="18"/>
  <c r="C206" i="18"/>
  <c r="Z211" i="18"/>
  <c r="H7" i="18"/>
  <c r="B81" i="18"/>
  <c r="G100" i="18" l="1"/>
  <c r="F91" i="18"/>
  <c r="G189" i="18"/>
  <c r="H99" i="18"/>
  <c r="F189" i="18"/>
  <c r="K6" i="18"/>
  <c r="G232" i="18"/>
  <c r="H196" i="18"/>
  <c r="F197" i="18"/>
  <c r="G191" i="18"/>
  <c r="G197" i="18" l="1"/>
  <c r="H191" i="18"/>
  <c r="I99" i="18"/>
  <c r="H100" i="18"/>
  <c r="G91" i="18"/>
  <c r="H232" i="18"/>
  <c r="I196" i="18"/>
  <c r="AD35" i="17"/>
  <c r="AC35" i="17"/>
  <c r="AB35" i="17"/>
  <c r="AA35" i="17"/>
  <c r="Z35" i="17"/>
  <c r="W36" i="17"/>
  <c r="V35" i="17"/>
  <c r="I232" i="18" l="1"/>
  <c r="J196" i="18"/>
  <c r="I100" i="18"/>
  <c r="H91" i="18"/>
  <c r="I191" i="18"/>
  <c r="H197" i="18"/>
  <c r="I189" i="18"/>
  <c r="J99" i="18"/>
  <c r="H189" i="18"/>
  <c r="I197" i="18" l="1"/>
  <c r="J191" i="18"/>
  <c r="J100" i="18"/>
  <c r="I91" i="18"/>
  <c r="K196" i="18"/>
  <c r="J232" i="18"/>
  <c r="J189" i="18"/>
  <c r="K99" i="18"/>
  <c r="L99" i="18" l="1"/>
  <c r="K232" i="18"/>
  <c r="L196" i="18"/>
  <c r="K100" i="18"/>
  <c r="J91" i="18"/>
  <c r="J197" i="18"/>
  <c r="K191" i="18"/>
  <c r="K197" i="18" l="1"/>
  <c r="L191" i="18"/>
  <c r="L100" i="18"/>
  <c r="K91" i="18"/>
  <c r="L232" i="18"/>
  <c r="M196" i="18"/>
  <c r="L189" i="18"/>
  <c r="M99" i="18"/>
  <c r="K189" i="18"/>
  <c r="U35" i="17"/>
  <c r="T35" i="17"/>
  <c r="M232" i="18" l="1"/>
  <c r="N196" i="18"/>
  <c r="N99" i="18"/>
  <c r="M100" i="18"/>
  <c r="L91" i="18"/>
  <c r="L197" i="18"/>
  <c r="M191" i="18"/>
  <c r="N191" i="18" l="1"/>
  <c r="M197" i="18"/>
  <c r="N100" i="18"/>
  <c r="M91" i="18"/>
  <c r="N189" i="18"/>
  <c r="O99" i="18"/>
  <c r="M189" i="18"/>
  <c r="N232" i="18"/>
  <c r="O196" i="18"/>
  <c r="P99" i="18" l="1"/>
  <c r="O100" i="18"/>
  <c r="N91" i="18"/>
  <c r="O232" i="18"/>
  <c r="P196" i="18"/>
  <c r="N197" i="18"/>
  <c r="O191" i="18"/>
  <c r="O197" i="18" l="1"/>
  <c r="P191" i="18"/>
  <c r="P232" i="18"/>
  <c r="Q196" i="18"/>
  <c r="P100" i="18"/>
  <c r="O91" i="18"/>
  <c r="P189" i="18"/>
  <c r="Q99" i="18"/>
  <c r="O189" i="18"/>
  <c r="R99" i="18" l="1"/>
  <c r="Q100" i="18"/>
  <c r="P91" i="18"/>
  <c r="Q232" i="18"/>
  <c r="R196" i="18"/>
  <c r="Q191" i="18"/>
  <c r="P197" i="18"/>
  <c r="Q197" i="18" l="1"/>
  <c r="R191" i="18"/>
  <c r="S196" i="18"/>
  <c r="R232" i="18"/>
  <c r="R100" i="18"/>
  <c r="Q91" i="18"/>
  <c r="R189" i="18"/>
  <c r="S99" i="18"/>
  <c r="Q189" i="18"/>
  <c r="T99" i="18" l="1"/>
  <c r="R91" i="18"/>
  <c r="S100" i="18"/>
  <c r="S232" i="18"/>
  <c r="T196" i="18"/>
  <c r="R197" i="18"/>
  <c r="S191" i="18"/>
  <c r="S197" i="18" l="1"/>
  <c r="T191" i="18"/>
  <c r="T232" i="18"/>
  <c r="U196" i="18"/>
  <c r="T100" i="18"/>
  <c r="S91" i="18"/>
  <c r="T189" i="18"/>
  <c r="U99" i="18"/>
  <c r="S189" i="18"/>
  <c r="U232" i="18" l="1"/>
  <c r="V196" i="18"/>
  <c r="V99" i="18"/>
  <c r="T197" i="18"/>
  <c r="T49" i="18" s="1"/>
  <c r="U191" i="18"/>
  <c r="U100" i="18"/>
  <c r="T91" i="18"/>
  <c r="V100" i="18" l="1"/>
  <c r="U91" i="18"/>
  <c r="T50" i="18"/>
  <c r="V189" i="18"/>
  <c r="W99" i="18"/>
  <c r="V232" i="18"/>
  <c r="W196" i="18"/>
  <c r="V191" i="18"/>
  <c r="U197" i="18"/>
  <c r="U49" i="18" s="1"/>
  <c r="U50" i="18" s="1"/>
  <c r="U189" i="18"/>
  <c r="X99" i="18" l="1"/>
  <c r="T71" i="18"/>
  <c r="T73" i="18"/>
  <c r="U73" i="18"/>
  <c r="U71" i="18"/>
  <c r="V197" i="18"/>
  <c r="V49" i="18" s="1"/>
  <c r="W191" i="18"/>
  <c r="W232" i="18"/>
  <c r="X196" i="18"/>
  <c r="W100" i="18"/>
  <c r="V91" i="18"/>
  <c r="U81" i="18" l="1"/>
  <c r="AM211" i="18"/>
  <c r="U7" i="18"/>
  <c r="X100" i="18"/>
  <c r="W91" i="18"/>
  <c r="X232" i="18"/>
  <c r="Y196" i="18"/>
  <c r="AL211" i="18"/>
  <c r="T7" i="18"/>
  <c r="W197" i="18"/>
  <c r="W50" i="18" s="1"/>
  <c r="X191" i="18"/>
  <c r="T81" i="18"/>
  <c r="V50" i="18"/>
  <c r="X189" i="18"/>
  <c r="Y99" i="18"/>
  <c r="W189" i="18"/>
  <c r="V73" i="18" l="1"/>
  <c r="V71" i="18"/>
  <c r="Y232" i="18"/>
  <c r="Z196" i="18"/>
  <c r="Y191" i="18"/>
  <c r="X197" i="18"/>
  <c r="X49" i="18" s="1"/>
  <c r="Z99" i="18"/>
  <c r="W71" i="18"/>
  <c r="W73" i="18"/>
  <c r="Y100" i="18"/>
  <c r="Y189" i="18" s="1"/>
  <c r="X91" i="18"/>
  <c r="AO211" i="18" l="1"/>
  <c r="W7" i="18"/>
  <c r="AA196" i="18"/>
  <c r="Z232" i="18"/>
  <c r="Z100" i="18"/>
  <c r="Y91" i="18"/>
  <c r="X50" i="18"/>
  <c r="Y197" i="18"/>
  <c r="Z191" i="18"/>
  <c r="V81" i="18"/>
  <c r="W81" i="18"/>
  <c r="Z189" i="18"/>
  <c r="AA99" i="18"/>
  <c r="AN211" i="18"/>
  <c r="V7" i="18"/>
  <c r="Z91" i="18" l="1"/>
  <c r="AA100" i="18"/>
  <c r="X73" i="18"/>
  <c r="X71" i="18"/>
  <c r="Z197" i="18"/>
  <c r="Z49" i="18" s="1"/>
  <c r="AA191" i="18"/>
  <c r="AA232" i="18"/>
  <c r="AB196" i="18"/>
  <c r="AA189" i="18"/>
  <c r="AB99" i="18"/>
  <c r="Z50" i="18" l="1"/>
  <c r="AB189" i="18"/>
  <c r="AC99" i="18"/>
  <c r="X81" i="18"/>
  <c r="AA197" i="18"/>
  <c r="AA49" i="18" s="1"/>
  <c r="AA50" i="18" s="1"/>
  <c r="AB191" i="18"/>
  <c r="AP211" i="18"/>
  <c r="X7" i="18"/>
  <c r="AB232" i="18"/>
  <c r="AC196" i="18"/>
  <c r="AB100" i="18"/>
  <c r="AA91" i="18"/>
  <c r="AD99" i="18" l="1"/>
  <c r="AC232" i="18"/>
  <c r="AD196" i="18"/>
  <c r="AB197" i="18"/>
  <c r="AB49" i="18" s="1"/>
  <c r="AB50" i="18" s="1"/>
  <c r="AC191" i="18"/>
  <c r="AC100" i="18"/>
  <c r="AB91" i="18"/>
  <c r="AA73" i="18"/>
  <c r="AA71" i="18"/>
  <c r="Z73" i="18"/>
  <c r="Z71" i="18"/>
  <c r="AA81" i="18" l="1"/>
  <c r="Z81" i="18"/>
  <c r="AB71" i="18"/>
  <c r="AB73" i="18"/>
  <c r="AR211" i="18"/>
  <c r="Z7" i="18"/>
  <c r="AD232" i="18"/>
  <c r="AE196" i="18"/>
  <c r="AS211" i="18"/>
  <c r="AA7" i="18"/>
  <c r="AD191" i="18"/>
  <c r="AC197" i="18"/>
  <c r="AC49" i="18" s="1"/>
  <c r="AC50" i="18" s="1"/>
  <c r="AE99" i="18"/>
  <c r="AD100" i="18"/>
  <c r="AC91" i="18"/>
  <c r="AC189" i="18"/>
  <c r="AE100" i="18" l="1"/>
  <c r="AD91" i="18"/>
  <c r="AE232" i="18"/>
  <c r="AF196" i="18"/>
  <c r="AF232" i="18" s="1"/>
  <c r="AE189" i="18"/>
  <c r="AF99" i="18"/>
  <c r="AD189" i="18"/>
  <c r="AC73" i="18"/>
  <c r="AC71" i="18"/>
  <c r="AT211" i="18"/>
  <c r="AB7" i="18"/>
  <c r="AD197" i="18"/>
  <c r="AD49" i="18" s="1"/>
  <c r="AD50" i="18" s="1"/>
  <c r="AE191" i="18"/>
  <c r="AB81" i="18"/>
  <c r="AU211" i="18" l="1"/>
  <c r="AC7" i="18"/>
  <c r="AF189" i="18"/>
  <c r="AE197" i="18"/>
  <c r="AE49" i="18" s="1"/>
  <c r="AE50" i="18" s="1"/>
  <c r="AF191" i="18"/>
  <c r="AF197" i="18" s="1"/>
  <c r="AF49" i="18" s="1"/>
  <c r="AD71" i="18"/>
  <c r="AD73" i="18"/>
  <c r="AC81" i="18"/>
  <c r="AF100" i="18"/>
  <c r="AE91" i="18"/>
  <c r="AD81" i="18" l="1"/>
  <c r="AV211" i="18"/>
  <c r="AD7" i="18"/>
  <c r="AF50" i="18"/>
  <c r="AH49" i="18"/>
  <c r="AI49" i="18"/>
  <c r="AE71" i="18"/>
  <c r="AE73" i="18"/>
  <c r="AF91" i="18"/>
  <c r="AE81" i="18" l="1"/>
  <c r="AI91" i="18"/>
  <c r="AH91" i="18"/>
  <c r="AW211" i="18"/>
  <c r="AE7" i="18"/>
  <c r="AF71" i="18"/>
  <c r="AF73" i="18"/>
  <c r="AH50" i="18"/>
  <c r="AI50" i="18"/>
  <c r="AX211" i="18" l="1"/>
  <c r="AF7" i="18"/>
  <c r="A7" i="18" s="1"/>
  <c r="AH73" i="18"/>
  <c r="AI73" i="18"/>
  <c r="AF81" i="18"/>
  <c r="AH71" i="18"/>
  <c r="AI71" i="18"/>
  <c r="AH81" i="18" l="1"/>
  <c r="AI81" i="18"/>
  <c r="P93" i="17" l="1"/>
  <c r="P35" i="17"/>
  <c r="O93" i="17"/>
  <c r="L35" i="17" l="1"/>
  <c r="K35" i="17"/>
  <c r="J35" i="17"/>
  <c r="AL50" i="16"/>
  <c r="AM9" i="16"/>
  <c r="AL9" i="16"/>
  <c r="AM8" i="16"/>
  <c r="AK50" i="16"/>
  <c r="AJ50" i="16"/>
  <c r="AJ11" i="16"/>
  <c r="AK50" i="5"/>
  <c r="AJ50" i="5"/>
  <c r="AM7" i="16"/>
  <c r="AL12" i="16"/>
  <c r="AL13" i="16"/>
  <c r="AL14" i="16"/>
  <c r="AL15" i="16"/>
  <c r="AL16" i="16"/>
  <c r="AL17" i="16"/>
  <c r="AL18" i="16"/>
  <c r="AL19" i="16"/>
  <c r="AL20" i="16"/>
  <c r="AL21" i="16"/>
  <c r="AL22" i="16"/>
  <c r="AL23" i="16"/>
  <c r="AL24" i="16"/>
  <c r="AL11" i="16"/>
  <c r="AL2" i="5"/>
  <c r="AK11" i="5"/>
  <c r="AL7" i="16"/>
  <c r="AK24" i="16"/>
  <c r="AK23" i="16"/>
  <c r="AK22" i="16"/>
  <c r="AK18" i="16"/>
  <c r="AK17" i="16"/>
  <c r="AK16" i="16"/>
  <c r="AK14" i="16"/>
  <c r="AK13" i="16"/>
  <c r="AK12" i="16"/>
  <c r="AJ13" i="16"/>
  <c r="AJ14" i="16"/>
  <c r="AJ16" i="16"/>
  <c r="AJ17" i="16"/>
  <c r="AJ18" i="16"/>
  <c r="AJ22" i="16"/>
  <c r="AJ23" i="16"/>
  <c r="AJ24" i="16"/>
  <c r="AJ12" i="16"/>
  <c r="AK11" i="16"/>
  <c r="AL7" i="5"/>
  <c r="AL6" i="5"/>
  <c r="AL4" i="5"/>
  <c r="AL3" i="5"/>
  <c r="AK14" i="5"/>
  <c r="AJ14" i="5"/>
  <c r="AJ12" i="5"/>
  <c r="AJ11" i="5"/>
  <c r="AH97" i="17"/>
  <c r="AI97" i="17" s="1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AF234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A234" i="17"/>
  <c r="AF233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A233" i="17"/>
  <c r="B232" i="17"/>
  <c r="S207" i="17"/>
  <c r="AG197" i="17"/>
  <c r="B197" i="17"/>
  <c r="C196" i="17"/>
  <c r="Q195" i="17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O195" i="17"/>
  <c r="P195" i="17" s="1"/>
  <c r="F195" i="17"/>
  <c r="G195" i="17" s="1"/>
  <c r="H195" i="17" s="1"/>
  <c r="I195" i="17" s="1"/>
  <c r="J195" i="17" s="1"/>
  <c r="K195" i="17" s="1"/>
  <c r="L195" i="17" s="1"/>
  <c r="M195" i="17" s="1"/>
  <c r="N195" i="17" s="1"/>
  <c r="C195" i="17"/>
  <c r="D195" i="17" s="1"/>
  <c r="E195" i="17" s="1"/>
  <c r="G194" i="17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X194" i="17" s="1"/>
  <c r="Y194" i="17" s="1"/>
  <c r="Z194" i="17" s="1"/>
  <c r="AA194" i="17" s="1"/>
  <c r="AB194" i="17" s="1"/>
  <c r="AC194" i="17" s="1"/>
  <c r="AD194" i="17" s="1"/>
  <c r="AE194" i="17" s="1"/>
  <c r="AF194" i="17" s="1"/>
  <c r="E194" i="17"/>
  <c r="F194" i="17" s="1"/>
  <c r="D194" i="17"/>
  <c r="C194" i="17"/>
  <c r="E193" i="17"/>
  <c r="F193" i="17" s="1"/>
  <c r="G193" i="17" s="1"/>
  <c r="H193" i="17" s="1"/>
  <c r="I193" i="17" s="1"/>
  <c r="J193" i="17" s="1"/>
  <c r="K193" i="17" s="1"/>
  <c r="L193" i="17" s="1"/>
  <c r="M193" i="17" s="1"/>
  <c r="N193" i="17" s="1"/>
  <c r="O193" i="17" s="1"/>
  <c r="P193" i="17" s="1"/>
  <c r="Q193" i="17" s="1"/>
  <c r="R193" i="17" s="1"/>
  <c r="S193" i="17" s="1"/>
  <c r="T193" i="17" s="1"/>
  <c r="U193" i="17" s="1"/>
  <c r="V193" i="17" s="1"/>
  <c r="W193" i="17" s="1"/>
  <c r="X193" i="17" s="1"/>
  <c r="Y193" i="17" s="1"/>
  <c r="Z193" i="17" s="1"/>
  <c r="AA193" i="17" s="1"/>
  <c r="AB193" i="17" s="1"/>
  <c r="AC193" i="17" s="1"/>
  <c r="AD193" i="17" s="1"/>
  <c r="AE193" i="17" s="1"/>
  <c r="AF193" i="17" s="1"/>
  <c r="C193" i="17"/>
  <c r="D193" i="17" s="1"/>
  <c r="AA192" i="17"/>
  <c r="AB192" i="17" s="1"/>
  <c r="AC192" i="17" s="1"/>
  <c r="AD192" i="17" s="1"/>
  <c r="AE192" i="17" s="1"/>
  <c r="AF192" i="17" s="1"/>
  <c r="H192" i="17"/>
  <c r="I192" i="17" s="1"/>
  <c r="J192" i="17" s="1"/>
  <c r="K192" i="17" s="1"/>
  <c r="L192" i="17" s="1"/>
  <c r="M192" i="17" s="1"/>
  <c r="N192" i="17" s="1"/>
  <c r="O192" i="17" s="1"/>
  <c r="P192" i="17" s="1"/>
  <c r="Q192" i="17" s="1"/>
  <c r="R192" i="17" s="1"/>
  <c r="S192" i="17" s="1"/>
  <c r="T192" i="17" s="1"/>
  <c r="U192" i="17" s="1"/>
  <c r="V192" i="17" s="1"/>
  <c r="W192" i="17" s="1"/>
  <c r="X192" i="17" s="1"/>
  <c r="Y192" i="17" s="1"/>
  <c r="Z192" i="17" s="1"/>
  <c r="C192" i="17"/>
  <c r="D192" i="17" s="1"/>
  <c r="E192" i="17" s="1"/>
  <c r="F192" i="17" s="1"/>
  <c r="G192" i="17" s="1"/>
  <c r="C191" i="17"/>
  <c r="AG189" i="17"/>
  <c r="B189" i="17"/>
  <c r="E188" i="17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D188" i="17"/>
  <c r="C188" i="17"/>
  <c r="E187" i="17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C187" i="17"/>
  <c r="D187" i="17" s="1"/>
  <c r="E186" i="17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C186" i="17"/>
  <c r="D186" i="17" s="1"/>
  <c r="C185" i="17"/>
  <c r="D185" i="17" s="1"/>
  <c r="E185" i="17" s="1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D184" i="17"/>
  <c r="E184" i="17" s="1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C184" i="17"/>
  <c r="F183" i="17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C183" i="17"/>
  <c r="D183" i="17" s="1"/>
  <c r="E183" i="17" s="1"/>
  <c r="F182" i="17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C182" i="17"/>
  <c r="D182" i="17" s="1"/>
  <c r="E182" i="17" s="1"/>
  <c r="V181" i="17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J181" i="17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D181" i="17"/>
  <c r="E181" i="17" s="1"/>
  <c r="F181" i="17" s="1"/>
  <c r="G181" i="17" s="1"/>
  <c r="H181" i="17" s="1"/>
  <c r="I181" i="17" s="1"/>
  <c r="C181" i="17"/>
  <c r="H180" i="17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D180" i="17"/>
  <c r="E180" i="17" s="1"/>
  <c r="F180" i="17" s="1"/>
  <c r="G180" i="17" s="1"/>
  <c r="C180" i="17"/>
  <c r="M179" i="17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G179" i="17"/>
  <c r="H179" i="17" s="1"/>
  <c r="I179" i="17" s="1"/>
  <c r="J179" i="17" s="1"/>
  <c r="K179" i="17" s="1"/>
  <c r="L179" i="17" s="1"/>
  <c r="C179" i="17"/>
  <c r="D179" i="17" s="1"/>
  <c r="E179" i="17" s="1"/>
  <c r="F179" i="17" s="1"/>
  <c r="K178" i="17"/>
  <c r="L178" i="17" s="1"/>
  <c r="M178" i="17" s="1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F178" i="17"/>
  <c r="G178" i="17" s="1"/>
  <c r="H178" i="17" s="1"/>
  <c r="I178" i="17" s="1"/>
  <c r="J178" i="17" s="1"/>
  <c r="E178" i="17"/>
  <c r="C178" i="17"/>
  <c r="D178" i="17" s="1"/>
  <c r="C177" i="17"/>
  <c r="D177" i="17" s="1"/>
  <c r="E177" i="17" s="1"/>
  <c r="F177" i="17" s="1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D176" i="17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C176" i="17"/>
  <c r="F174" i="17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C174" i="17"/>
  <c r="D174" i="17" s="1"/>
  <c r="E174" i="17" s="1"/>
  <c r="Q173" i="17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D173" i="17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C173" i="17"/>
  <c r="F172" i="17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C172" i="17"/>
  <c r="D172" i="17" s="1"/>
  <c r="E172" i="17" s="1"/>
  <c r="E171" i="17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D171" i="17"/>
  <c r="C171" i="17"/>
  <c r="J170" i="17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C170" i="17"/>
  <c r="D170" i="17" s="1"/>
  <c r="E170" i="17" s="1"/>
  <c r="F170" i="17" s="1"/>
  <c r="G170" i="17" s="1"/>
  <c r="H170" i="17" s="1"/>
  <c r="I170" i="17" s="1"/>
  <c r="C169" i="17"/>
  <c r="D169" i="17" s="1"/>
  <c r="E169" i="17" s="1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D168" i="17"/>
  <c r="E168" i="17" s="1"/>
  <c r="F168" i="17" s="1"/>
  <c r="G168" i="17" s="1"/>
  <c r="H168" i="17" s="1"/>
  <c r="I168" i="17" s="1"/>
  <c r="J168" i="17" s="1"/>
  <c r="K168" i="17" s="1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C168" i="17"/>
  <c r="E167" i="17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D167" i="17"/>
  <c r="C167" i="17"/>
  <c r="T165" i="17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C165" i="17"/>
  <c r="D165" i="17" s="1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M164" i="17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J164" i="17"/>
  <c r="K164" i="17" s="1"/>
  <c r="L164" i="17" s="1"/>
  <c r="D164" i="17"/>
  <c r="E164" i="17" s="1"/>
  <c r="F164" i="17" s="1"/>
  <c r="G164" i="17" s="1"/>
  <c r="H164" i="17" s="1"/>
  <c r="I164" i="17" s="1"/>
  <c r="C164" i="17"/>
  <c r="AE163" i="17"/>
  <c r="AF163" i="17" s="1"/>
  <c r="P163" i="17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L163" i="17"/>
  <c r="M163" i="17" s="1"/>
  <c r="N163" i="17" s="1"/>
  <c r="O163" i="17" s="1"/>
  <c r="C163" i="17"/>
  <c r="D163" i="17" s="1"/>
  <c r="E163" i="17" s="1"/>
  <c r="F163" i="17" s="1"/>
  <c r="G163" i="17" s="1"/>
  <c r="H163" i="17" s="1"/>
  <c r="I163" i="17" s="1"/>
  <c r="J163" i="17" s="1"/>
  <c r="K163" i="17" s="1"/>
  <c r="R162" i="17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G162" i="17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F162" i="17"/>
  <c r="E162" i="17"/>
  <c r="D162" i="17"/>
  <c r="C162" i="17"/>
  <c r="C161" i="17"/>
  <c r="D161" i="17" s="1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E160" i="17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D160" i="17"/>
  <c r="C160" i="17"/>
  <c r="C159" i="17"/>
  <c r="D159" i="17" s="1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H158" i="17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E158" i="17"/>
  <c r="F158" i="17" s="1"/>
  <c r="G158" i="17" s="1"/>
  <c r="D158" i="17"/>
  <c r="C158" i="17"/>
  <c r="C157" i="17"/>
  <c r="D157" i="17" s="1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F156" i="17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D156" i="17"/>
  <c r="E156" i="17" s="1"/>
  <c r="C156" i="17"/>
  <c r="D155" i="17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C155" i="17"/>
  <c r="F154" i="17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E154" i="17"/>
  <c r="D154" i="17"/>
  <c r="C154" i="17"/>
  <c r="D153" i="17"/>
  <c r="E153" i="17" s="1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C153" i="17"/>
  <c r="D151" i="17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C151" i="17"/>
  <c r="C150" i="17"/>
  <c r="D150" i="17" s="1"/>
  <c r="E150" i="17" s="1"/>
  <c r="F150" i="17" s="1"/>
  <c r="G150" i="17" s="1"/>
  <c r="H150" i="17" s="1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D149" i="17"/>
  <c r="E149" i="17" s="1"/>
  <c r="F149" i="17" s="1"/>
  <c r="G149" i="17" s="1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C149" i="17"/>
  <c r="J148" i="17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G148" i="17"/>
  <c r="H148" i="17" s="1"/>
  <c r="I148" i="17" s="1"/>
  <c r="C148" i="17"/>
  <c r="D148" i="17" s="1"/>
  <c r="E148" i="17" s="1"/>
  <c r="F148" i="17" s="1"/>
  <c r="S146" i="17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C146" i="17"/>
  <c r="D146" i="17" s="1"/>
  <c r="E146" i="17" s="1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N145" i="17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F145" i="17"/>
  <c r="G145" i="17" s="1"/>
  <c r="H145" i="17" s="1"/>
  <c r="I145" i="17" s="1"/>
  <c r="J145" i="17" s="1"/>
  <c r="K145" i="17" s="1"/>
  <c r="L145" i="17" s="1"/>
  <c r="M145" i="17" s="1"/>
  <c r="D145" i="17"/>
  <c r="E145" i="17" s="1"/>
  <c r="C145" i="17"/>
  <c r="C143" i="17"/>
  <c r="D143" i="17" s="1"/>
  <c r="E143" i="17" s="1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S142" i="17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E142" i="17"/>
  <c r="F142" i="17" s="1"/>
  <c r="G142" i="17" s="1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D142" i="17"/>
  <c r="C142" i="17"/>
  <c r="J141" i="17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D141" i="17"/>
  <c r="E141" i="17" s="1"/>
  <c r="F141" i="17" s="1"/>
  <c r="G141" i="17" s="1"/>
  <c r="H141" i="17" s="1"/>
  <c r="I141" i="17" s="1"/>
  <c r="C141" i="17"/>
  <c r="Z140" i="17"/>
  <c r="AA140" i="17" s="1"/>
  <c r="AB140" i="17" s="1"/>
  <c r="AC140" i="17" s="1"/>
  <c r="AD140" i="17" s="1"/>
  <c r="AE140" i="17" s="1"/>
  <c r="AF140" i="17" s="1"/>
  <c r="O140" i="17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D140" i="17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C140" i="17"/>
  <c r="C139" i="17"/>
  <c r="D139" i="17" s="1"/>
  <c r="E139" i="17" s="1"/>
  <c r="F139" i="17" s="1"/>
  <c r="G139" i="17" s="1"/>
  <c r="H139" i="17" s="1"/>
  <c r="I139" i="17" s="1"/>
  <c r="J139" i="17" s="1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D138" i="17"/>
  <c r="E138" i="17" s="1"/>
  <c r="F138" i="17" s="1"/>
  <c r="G138" i="17" s="1"/>
  <c r="H138" i="17" s="1"/>
  <c r="I138" i="17" s="1"/>
  <c r="J138" i="17" s="1"/>
  <c r="K138" i="17" s="1"/>
  <c r="L138" i="17" s="1"/>
  <c r="M138" i="17" s="1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C138" i="17"/>
  <c r="D137" i="17"/>
  <c r="E137" i="17" s="1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C137" i="17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C135" i="17"/>
  <c r="D134" i="17"/>
  <c r="E134" i="17" s="1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C134" i="17"/>
  <c r="L133" i="17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I133" i="17"/>
  <c r="J133" i="17" s="1"/>
  <c r="K133" i="17" s="1"/>
  <c r="C133" i="17"/>
  <c r="D133" i="17" s="1"/>
  <c r="E133" i="17" s="1"/>
  <c r="F133" i="17" s="1"/>
  <c r="G133" i="17" s="1"/>
  <c r="H133" i="17" s="1"/>
  <c r="G132" i="17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E132" i="17"/>
  <c r="F132" i="17" s="1"/>
  <c r="D132" i="17"/>
  <c r="C132" i="17"/>
  <c r="H131" i="17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E131" i="17"/>
  <c r="F131" i="17" s="1"/>
  <c r="G131" i="17" s="1"/>
  <c r="C131" i="17"/>
  <c r="D131" i="17" s="1"/>
  <c r="D130" i="17"/>
  <c r="E130" i="17" s="1"/>
  <c r="F130" i="17" s="1"/>
  <c r="G130" i="17" s="1"/>
  <c r="H130" i="17" s="1"/>
  <c r="I130" i="17" s="1"/>
  <c r="J130" i="17" s="1"/>
  <c r="K130" i="17" s="1"/>
  <c r="L130" i="17" s="1"/>
  <c r="M130" i="17" s="1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C130" i="17"/>
  <c r="I129" i="17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C129" i="17"/>
  <c r="D129" i="17" s="1"/>
  <c r="E129" i="17" s="1"/>
  <c r="F129" i="17" s="1"/>
  <c r="G129" i="17" s="1"/>
  <c r="H129" i="17" s="1"/>
  <c r="J128" i="17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G128" i="17"/>
  <c r="H128" i="17" s="1"/>
  <c r="I128" i="17" s="1"/>
  <c r="E128" i="17"/>
  <c r="F128" i="17" s="1"/>
  <c r="D128" i="17"/>
  <c r="C128" i="17"/>
  <c r="E126" i="17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C126" i="17"/>
  <c r="D126" i="17" s="1"/>
  <c r="K125" i="17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D125" i="17"/>
  <c r="E125" i="17" s="1"/>
  <c r="F125" i="17" s="1"/>
  <c r="G125" i="17" s="1"/>
  <c r="H125" i="17" s="1"/>
  <c r="I125" i="17" s="1"/>
  <c r="J125" i="17" s="1"/>
  <c r="C125" i="17"/>
  <c r="I124" i="17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D124" i="17"/>
  <c r="E124" i="17" s="1"/>
  <c r="F124" i="17" s="1"/>
  <c r="G124" i="17" s="1"/>
  <c r="H124" i="17" s="1"/>
  <c r="C124" i="17"/>
  <c r="H123" i="17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G123" i="17"/>
  <c r="C123" i="17"/>
  <c r="D123" i="17" s="1"/>
  <c r="E123" i="17" s="1"/>
  <c r="F123" i="17" s="1"/>
  <c r="G122" i="17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C122" i="17"/>
  <c r="D122" i="17" s="1"/>
  <c r="E122" i="17" s="1"/>
  <c r="F122" i="17" s="1"/>
  <c r="D121" i="17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C121" i="17"/>
  <c r="C120" i="17"/>
  <c r="D120" i="17" s="1"/>
  <c r="E120" i="17" s="1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C119" i="17"/>
  <c r="E118" i="17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C118" i="17"/>
  <c r="D118" i="17" s="1"/>
  <c r="F117" i="17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D117" i="17"/>
  <c r="E117" i="17" s="1"/>
  <c r="C117" i="17"/>
  <c r="D116" i="17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C116" i="17"/>
  <c r="D115" i="17"/>
  <c r="E115" i="17" s="1"/>
  <c r="F115" i="17" s="1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C115" i="17"/>
  <c r="C114" i="17"/>
  <c r="D114" i="17" s="1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D113" i="17"/>
  <c r="E113" i="17" s="1"/>
  <c r="F113" i="17" s="1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C113" i="17"/>
  <c r="D112" i="17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C112" i="17"/>
  <c r="L111" i="17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J111" i="17"/>
  <c r="K111" i="17" s="1"/>
  <c r="C111" i="17"/>
  <c r="D111" i="17" s="1"/>
  <c r="E111" i="17" s="1"/>
  <c r="F111" i="17" s="1"/>
  <c r="G111" i="17" s="1"/>
  <c r="H111" i="17" s="1"/>
  <c r="E110" i="17"/>
  <c r="F110" i="17" s="1"/>
  <c r="G110" i="17" s="1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D110" i="17"/>
  <c r="C110" i="17"/>
  <c r="C109" i="17"/>
  <c r="D109" i="17" s="1"/>
  <c r="E109" i="17" s="1"/>
  <c r="F109" i="17" s="1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E107" i="17"/>
  <c r="F107" i="17" s="1"/>
  <c r="G107" i="17" s="1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C107" i="17"/>
  <c r="D107" i="17" s="1"/>
  <c r="C106" i="17"/>
  <c r="D106" i="17" s="1"/>
  <c r="D104" i="17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C104" i="17"/>
  <c r="C103" i="17"/>
  <c r="D103" i="17" s="1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D102" i="17"/>
  <c r="E102" i="17" s="1"/>
  <c r="F102" i="17" s="1"/>
  <c r="G102" i="17" s="1"/>
  <c r="H102" i="17" s="1"/>
  <c r="I102" i="17" s="1"/>
  <c r="J102" i="17" s="1"/>
  <c r="K102" i="17" s="1"/>
  <c r="L102" i="17" s="1"/>
  <c r="M102" i="17" s="1"/>
  <c r="N102" i="17" s="1"/>
  <c r="O102" i="17" s="1"/>
  <c r="P102" i="17" s="1"/>
  <c r="Q102" i="17" s="1"/>
  <c r="R102" i="17" s="1"/>
  <c r="S102" i="17" s="1"/>
  <c r="T102" i="17" s="1"/>
  <c r="U102" i="17" s="1"/>
  <c r="V102" i="17" s="1"/>
  <c r="W102" i="17" s="1"/>
  <c r="X102" i="17" s="1"/>
  <c r="Y102" i="17" s="1"/>
  <c r="Z102" i="17" s="1"/>
  <c r="AA102" i="17" s="1"/>
  <c r="AB102" i="17" s="1"/>
  <c r="AC102" i="17" s="1"/>
  <c r="AD102" i="17" s="1"/>
  <c r="AE102" i="17" s="1"/>
  <c r="AF102" i="17" s="1"/>
  <c r="C102" i="17"/>
  <c r="D101" i="17"/>
  <c r="E101" i="17" s="1"/>
  <c r="F101" i="17" s="1"/>
  <c r="G101" i="17" s="1"/>
  <c r="H101" i="17" s="1"/>
  <c r="I101" i="17" s="1"/>
  <c r="J101" i="17" s="1"/>
  <c r="K101" i="17" s="1"/>
  <c r="L101" i="17" s="1"/>
  <c r="M101" i="17" s="1"/>
  <c r="N101" i="17" s="1"/>
  <c r="O101" i="17" s="1"/>
  <c r="P101" i="17" s="1"/>
  <c r="Q101" i="17" s="1"/>
  <c r="R101" i="17" s="1"/>
  <c r="S101" i="17" s="1"/>
  <c r="T101" i="17" s="1"/>
  <c r="U101" i="17" s="1"/>
  <c r="V101" i="17" s="1"/>
  <c r="W101" i="17" s="1"/>
  <c r="X101" i="17" s="1"/>
  <c r="Y101" i="17" s="1"/>
  <c r="Z101" i="17" s="1"/>
  <c r="AA101" i="17" s="1"/>
  <c r="AB101" i="17" s="1"/>
  <c r="AC101" i="17" s="1"/>
  <c r="AD101" i="17" s="1"/>
  <c r="AE101" i="17" s="1"/>
  <c r="AF101" i="17" s="1"/>
  <c r="C101" i="17"/>
  <c r="D100" i="17"/>
  <c r="E100" i="17" s="1"/>
  <c r="C100" i="17"/>
  <c r="C99" i="17"/>
  <c r="AH96" i="17"/>
  <c r="AI96" i="17" s="1"/>
  <c r="AH95" i="17"/>
  <c r="AI95" i="17" s="1"/>
  <c r="AH94" i="17"/>
  <c r="AI94" i="17" s="1"/>
  <c r="AH93" i="17"/>
  <c r="AI93" i="17" s="1"/>
  <c r="AH92" i="17"/>
  <c r="AI92" i="17" s="1"/>
  <c r="B91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G80" i="17"/>
  <c r="AI79" i="17"/>
  <c r="AH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F75" i="17"/>
  <c r="AE75" i="17"/>
  <c r="AD75" i="17"/>
  <c r="AC75" i="17"/>
  <c r="AB75" i="17"/>
  <c r="AA75" i="17"/>
  <c r="Z75" i="17"/>
  <c r="Y75" i="17"/>
  <c r="X75" i="17"/>
  <c r="W75" i="17"/>
  <c r="V75" i="17"/>
  <c r="V80" i="17" s="1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E80" i="17" s="1"/>
  <c r="D74" i="17"/>
  <c r="C74" i="17"/>
  <c r="B74" i="17"/>
  <c r="AI72" i="17"/>
  <c r="AH72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I69" i="17"/>
  <c r="AH69" i="17"/>
  <c r="AI68" i="17"/>
  <c r="AH68" i="17"/>
  <c r="AI67" i="17"/>
  <c r="AH67" i="17"/>
  <c r="AG66" i="17"/>
  <c r="AF66" i="17"/>
  <c r="AF5" i="17" s="1"/>
  <c r="AE66" i="17"/>
  <c r="AE5" i="17" s="1"/>
  <c r="AD66" i="17"/>
  <c r="AD5" i="17" s="1"/>
  <c r="AC66" i="17"/>
  <c r="AC5" i="17" s="1"/>
  <c r="AB66" i="17"/>
  <c r="AB5" i="17" s="1"/>
  <c r="AA66" i="17"/>
  <c r="Z66" i="17"/>
  <c r="Y66" i="17"/>
  <c r="X66" i="17"/>
  <c r="X5" i="17" s="1"/>
  <c r="W66" i="17"/>
  <c r="V66" i="17"/>
  <c r="V5" i="17" s="1"/>
  <c r="U66" i="17"/>
  <c r="U5" i="17" s="1"/>
  <c r="T66" i="17"/>
  <c r="T5" i="17" s="1"/>
  <c r="S66" i="17"/>
  <c r="R66" i="17"/>
  <c r="R5" i="17" s="1"/>
  <c r="Q66" i="17"/>
  <c r="P66" i="17"/>
  <c r="O66" i="17"/>
  <c r="N66" i="17"/>
  <c r="N5" i="17" s="1"/>
  <c r="M66" i="17"/>
  <c r="M5" i="17" s="1"/>
  <c r="L66" i="17"/>
  <c r="L5" i="17" s="1"/>
  <c r="K66" i="17"/>
  <c r="K5" i="17" s="1"/>
  <c r="J66" i="17"/>
  <c r="J5" i="17" s="1"/>
  <c r="I66" i="17"/>
  <c r="I5" i="17" s="1"/>
  <c r="H66" i="17"/>
  <c r="H5" i="17" s="1"/>
  <c r="G66" i="17"/>
  <c r="G5" i="17" s="1"/>
  <c r="F66" i="17"/>
  <c r="F5" i="17" s="1"/>
  <c r="E66" i="17"/>
  <c r="E5" i="17" s="1"/>
  <c r="D66" i="17"/>
  <c r="D5" i="17" s="1"/>
  <c r="C66" i="17"/>
  <c r="B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G54" i="17"/>
  <c r="AF54" i="17"/>
  <c r="AE54" i="17"/>
  <c r="AD54" i="17"/>
  <c r="AC54" i="17"/>
  <c r="AB54" i="17"/>
  <c r="AA54" i="17"/>
  <c r="Z54" i="17"/>
  <c r="Y54" i="17"/>
  <c r="X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I53" i="17"/>
  <c r="AH53" i="17"/>
  <c r="AI52" i="17"/>
  <c r="AH52" i="17"/>
  <c r="AI51" i="17"/>
  <c r="AH51" i="17"/>
  <c r="Y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G49" i="17"/>
  <c r="AG50" i="17" s="1"/>
  <c r="AG73" i="17" s="1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G36" i="17"/>
  <c r="AF36" i="17"/>
  <c r="AE36" i="17"/>
  <c r="AD36" i="17"/>
  <c r="AC36" i="17"/>
  <c r="AB36" i="17"/>
  <c r="AA36" i="17"/>
  <c r="Z36" i="17"/>
  <c r="Y36" i="17"/>
  <c r="X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A5" i="17"/>
  <c r="Z5" i="17"/>
  <c r="Y5" i="17"/>
  <c r="W5" i="17"/>
  <c r="S5" i="17"/>
  <c r="Q5" i="17"/>
  <c r="P5" i="17"/>
  <c r="O5" i="17"/>
  <c r="C5" i="17"/>
  <c r="AG4" i="17"/>
  <c r="K4" i="17"/>
  <c r="B4" i="17"/>
  <c r="AG2" i="17"/>
  <c r="AJ7" i="16"/>
  <c r="AA35" i="16"/>
  <c r="Z35" i="16"/>
  <c r="Y93" i="16"/>
  <c r="Y35" i="16"/>
  <c r="X93" i="16"/>
  <c r="X35" i="16"/>
  <c r="W50" i="16"/>
  <c r="W71" i="16" s="1"/>
  <c r="W54" i="16"/>
  <c r="W66" i="16"/>
  <c r="W70" i="16"/>
  <c r="W36" i="16"/>
  <c r="W35" i="16"/>
  <c r="E4" i="17"/>
  <c r="AF80" i="17" l="1"/>
  <c r="AE80" i="17"/>
  <c r="AD80" i="17"/>
  <c r="AC80" i="17"/>
  <c r="AB80" i="17"/>
  <c r="AA80" i="17"/>
  <c r="Z80" i="17"/>
  <c r="Y80" i="17"/>
  <c r="Y73" i="17"/>
  <c r="AQ211" i="17" s="1"/>
  <c r="Y71" i="17"/>
  <c r="Y81" i="17" s="1"/>
  <c r="Y7" i="17"/>
  <c r="X80" i="17"/>
  <c r="W80" i="17"/>
  <c r="U80" i="17"/>
  <c r="S71" i="17"/>
  <c r="S73" i="17"/>
  <c r="AK211" i="17" s="1"/>
  <c r="R80" i="17"/>
  <c r="R71" i="17"/>
  <c r="R73" i="17"/>
  <c r="Q80" i="17"/>
  <c r="N80" i="17"/>
  <c r="Q71" i="17"/>
  <c r="Q73" i="17"/>
  <c r="AI211" i="17" s="1"/>
  <c r="P80" i="17"/>
  <c r="AI78" i="17"/>
  <c r="O80" i="17"/>
  <c r="O73" i="17"/>
  <c r="O71" i="17"/>
  <c r="M80" i="17"/>
  <c r="M71" i="17"/>
  <c r="L73" i="17"/>
  <c r="AD211" i="17" s="1"/>
  <c r="K71" i="17"/>
  <c r="K73" i="17"/>
  <c r="K7" i="17" s="1"/>
  <c r="J80" i="17"/>
  <c r="J73" i="17"/>
  <c r="AB211" i="17" s="1"/>
  <c r="J71" i="17"/>
  <c r="I80" i="17"/>
  <c r="I73" i="17"/>
  <c r="AA211" i="17" s="1"/>
  <c r="H80" i="17"/>
  <c r="I71" i="17"/>
  <c r="I81" i="17" s="1"/>
  <c r="AH76" i="17"/>
  <c r="G71" i="17"/>
  <c r="G80" i="17"/>
  <c r="F80" i="17"/>
  <c r="AH75" i="17"/>
  <c r="E71" i="17"/>
  <c r="AH66" i="17"/>
  <c r="D73" i="17"/>
  <c r="V211" i="17" s="1"/>
  <c r="C71" i="17"/>
  <c r="C73" i="17"/>
  <c r="B71" i="17"/>
  <c r="B73" i="17" s="1"/>
  <c r="T211" i="17" s="1"/>
  <c r="B5" i="17"/>
  <c r="AH78" i="17"/>
  <c r="H4" i="17"/>
  <c r="AG211" i="17"/>
  <c r="O7" i="17"/>
  <c r="I7" i="17"/>
  <c r="AH54" i="17"/>
  <c r="F73" i="17"/>
  <c r="N73" i="17"/>
  <c r="C80" i="17"/>
  <c r="C81" i="17" s="1"/>
  <c r="K80" i="17"/>
  <c r="K81" i="17" s="1"/>
  <c r="S80" i="17"/>
  <c r="AI36" i="17"/>
  <c r="H73" i="17"/>
  <c r="P73" i="17"/>
  <c r="AI54" i="17"/>
  <c r="O81" i="17"/>
  <c r="D80" i="17"/>
  <c r="L80" i="17"/>
  <c r="T80" i="17"/>
  <c r="AG3" i="17"/>
  <c r="AG6" i="17" s="1"/>
  <c r="AG71" i="17"/>
  <c r="AG81" i="17"/>
  <c r="H71" i="17"/>
  <c r="AH70" i="17"/>
  <c r="AI77" i="17"/>
  <c r="P71" i="17"/>
  <c r="U211" i="17"/>
  <c r="C7" i="17"/>
  <c r="G73" i="17"/>
  <c r="AI76" i="17"/>
  <c r="F100" i="17"/>
  <c r="E106" i="17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AI66" i="17"/>
  <c r="E73" i="17"/>
  <c r="M73" i="17"/>
  <c r="AI74" i="17"/>
  <c r="AI70" i="17"/>
  <c r="AI75" i="17"/>
  <c r="AH77" i="17"/>
  <c r="D71" i="17"/>
  <c r="L71" i="17"/>
  <c r="C91" i="17"/>
  <c r="F71" i="17"/>
  <c r="N71" i="17"/>
  <c r="C189" i="17"/>
  <c r="S208" i="17"/>
  <c r="D208" i="17"/>
  <c r="AH36" i="17"/>
  <c r="AH74" i="17"/>
  <c r="B80" i="17"/>
  <c r="D99" i="17"/>
  <c r="C197" i="17"/>
  <c r="C232" i="17"/>
  <c r="D196" i="17"/>
  <c r="D191" i="17"/>
  <c r="D91" i="17" s="1"/>
  <c r="S81" i="17" l="1"/>
  <c r="S7" i="17"/>
  <c r="AJ211" i="17"/>
  <c r="R7" i="17"/>
  <c r="R81" i="17"/>
  <c r="Q7" i="17"/>
  <c r="N81" i="17"/>
  <c r="Q81" i="17"/>
  <c r="M81" i="17"/>
  <c r="L7" i="17"/>
  <c r="L81" i="17"/>
  <c r="AC211" i="17"/>
  <c r="J81" i="17"/>
  <c r="J7" i="17"/>
  <c r="H81" i="17"/>
  <c r="D7" i="17"/>
  <c r="B81" i="17"/>
  <c r="B7" i="17"/>
  <c r="Y211" i="17"/>
  <c r="G7" i="17"/>
  <c r="G81" i="17"/>
  <c r="AH211" i="17"/>
  <c r="P7" i="17"/>
  <c r="Z211" i="17"/>
  <c r="H7" i="17"/>
  <c r="D81" i="17"/>
  <c r="AE211" i="17"/>
  <c r="M7" i="17"/>
  <c r="AI80" i="17"/>
  <c r="AH80" i="17"/>
  <c r="W211" i="17"/>
  <c r="E7" i="17"/>
  <c r="E91" i="17"/>
  <c r="P81" i="17"/>
  <c r="F81" i="17"/>
  <c r="E81" i="17"/>
  <c r="G100" i="17"/>
  <c r="E191" i="17"/>
  <c r="D197" i="17"/>
  <c r="D232" i="17"/>
  <c r="E196" i="17"/>
  <c r="D189" i="17"/>
  <c r="E99" i="17"/>
  <c r="AF211" i="17"/>
  <c r="N7" i="17"/>
  <c r="X211" i="17"/>
  <c r="C206" i="17"/>
  <c r="B206" i="17"/>
  <c r="F7" i="17"/>
  <c r="K6" i="17" l="1"/>
  <c r="F196" i="17"/>
  <c r="E232" i="17"/>
  <c r="E197" i="17"/>
  <c r="F191" i="17"/>
  <c r="E189" i="17"/>
  <c r="F99" i="17"/>
  <c r="H100" i="17"/>
  <c r="I100" i="17" l="1"/>
  <c r="F232" i="17"/>
  <c r="G196" i="17"/>
  <c r="F189" i="17"/>
  <c r="G99" i="17"/>
  <c r="F197" i="17"/>
  <c r="G191" i="17"/>
  <c r="F91" i="17"/>
  <c r="H191" i="17" l="1"/>
  <c r="G197" i="17"/>
  <c r="G91" i="17"/>
  <c r="G189" i="17"/>
  <c r="H99" i="17"/>
  <c r="G232" i="17"/>
  <c r="H196" i="17"/>
  <c r="J100" i="17"/>
  <c r="H232" i="17" l="1"/>
  <c r="I196" i="17"/>
  <c r="H189" i="17"/>
  <c r="I99" i="17"/>
  <c r="K100" i="17"/>
  <c r="H197" i="17"/>
  <c r="I191" i="17"/>
  <c r="H91" i="17"/>
  <c r="L100" i="17" l="1"/>
  <c r="J191" i="17"/>
  <c r="I197" i="17"/>
  <c r="I91" i="17"/>
  <c r="J196" i="17"/>
  <c r="I232" i="17"/>
  <c r="I189" i="17"/>
  <c r="J99" i="17"/>
  <c r="J232" i="17" l="1"/>
  <c r="K196" i="17"/>
  <c r="K191" i="17"/>
  <c r="J197" i="17"/>
  <c r="J91" i="17"/>
  <c r="J189" i="17"/>
  <c r="K99" i="17"/>
  <c r="M100" i="17"/>
  <c r="K189" i="17" l="1"/>
  <c r="L99" i="17"/>
  <c r="K232" i="17"/>
  <c r="L196" i="17"/>
  <c r="K197" i="17"/>
  <c r="L191" i="17"/>
  <c r="K91" i="17"/>
  <c r="N100" i="17"/>
  <c r="M191" i="17" l="1"/>
  <c r="L197" i="17"/>
  <c r="L91" i="17"/>
  <c r="L232" i="17"/>
  <c r="M196" i="17"/>
  <c r="L189" i="17"/>
  <c r="M99" i="17"/>
  <c r="O100" i="17"/>
  <c r="N196" i="17" l="1"/>
  <c r="M232" i="17"/>
  <c r="P100" i="17"/>
  <c r="M189" i="17"/>
  <c r="N99" i="17"/>
  <c r="M197" i="17"/>
  <c r="N191" i="17"/>
  <c r="M91" i="17"/>
  <c r="N189" i="17" l="1"/>
  <c r="O99" i="17"/>
  <c r="N197" i="17"/>
  <c r="O191" i="17"/>
  <c r="N91" i="17"/>
  <c r="Q100" i="17"/>
  <c r="N232" i="17"/>
  <c r="O196" i="17"/>
  <c r="R100" i="17" l="1"/>
  <c r="P191" i="17"/>
  <c r="O197" i="17"/>
  <c r="O91" i="17"/>
  <c r="O189" i="17"/>
  <c r="P99" i="17"/>
  <c r="O232" i="17"/>
  <c r="P196" i="17"/>
  <c r="P189" i="17" l="1"/>
  <c r="Q99" i="17"/>
  <c r="P197" i="17"/>
  <c r="Q191" i="17"/>
  <c r="P91" i="17"/>
  <c r="P232" i="17"/>
  <c r="Q196" i="17"/>
  <c r="S100" i="17"/>
  <c r="R196" i="17" l="1"/>
  <c r="Q232" i="17"/>
  <c r="T100" i="17"/>
  <c r="R191" i="17"/>
  <c r="Q197" i="17"/>
  <c r="Q91" i="17"/>
  <c r="Q189" i="17"/>
  <c r="R99" i="17"/>
  <c r="U100" i="17" l="1"/>
  <c r="S191" i="17"/>
  <c r="R197" i="17"/>
  <c r="R91" i="17"/>
  <c r="R189" i="17"/>
  <c r="S99" i="17"/>
  <c r="R232" i="17"/>
  <c r="S196" i="17"/>
  <c r="S197" i="17" l="1"/>
  <c r="T191" i="17"/>
  <c r="S91" i="17"/>
  <c r="S189" i="17"/>
  <c r="T99" i="17"/>
  <c r="S232" i="17"/>
  <c r="T196" i="17"/>
  <c r="V100" i="17"/>
  <c r="T232" i="17" l="1"/>
  <c r="U196" i="17"/>
  <c r="U191" i="17"/>
  <c r="T197" i="17"/>
  <c r="T49" i="17" s="1"/>
  <c r="T91" i="17"/>
  <c r="W100" i="17"/>
  <c r="T189" i="17"/>
  <c r="U99" i="17"/>
  <c r="X100" i="17" l="1"/>
  <c r="T50" i="17"/>
  <c r="U197" i="17"/>
  <c r="U49" i="17" s="1"/>
  <c r="U50" i="17" s="1"/>
  <c r="V191" i="17"/>
  <c r="U91" i="17"/>
  <c r="V196" i="17"/>
  <c r="U232" i="17"/>
  <c r="U189" i="17"/>
  <c r="V99" i="17"/>
  <c r="V197" i="17" l="1"/>
  <c r="V49" i="17" s="1"/>
  <c r="V50" i="17" s="1"/>
  <c r="W191" i="17"/>
  <c r="V91" i="17"/>
  <c r="U71" i="17"/>
  <c r="U73" i="17"/>
  <c r="V189" i="17"/>
  <c r="W99" i="17"/>
  <c r="T71" i="17"/>
  <c r="T73" i="17"/>
  <c r="Y100" i="17"/>
  <c r="V232" i="17"/>
  <c r="W196" i="17"/>
  <c r="U81" i="17" l="1"/>
  <c r="W189" i="17"/>
  <c r="X99" i="17"/>
  <c r="Z100" i="17"/>
  <c r="AM211" i="17"/>
  <c r="U7" i="17"/>
  <c r="AL211" i="17"/>
  <c r="T7" i="17"/>
  <c r="T81" i="17"/>
  <c r="X191" i="17"/>
  <c r="W197" i="17"/>
  <c r="W91" i="17"/>
  <c r="W232" i="17"/>
  <c r="X196" i="17"/>
  <c r="V71" i="17"/>
  <c r="V73" i="17"/>
  <c r="V81" i="17" l="1"/>
  <c r="AA100" i="17"/>
  <c r="X232" i="17"/>
  <c r="Y196" i="17"/>
  <c r="X189" i="17"/>
  <c r="Y99" i="17"/>
  <c r="X197" i="17"/>
  <c r="X49" i="17" s="1"/>
  <c r="X50" i="17" s="1"/>
  <c r="Y191" i="17"/>
  <c r="X91" i="17"/>
  <c r="AN211" i="17"/>
  <c r="V7" i="17"/>
  <c r="X71" i="17" l="1"/>
  <c r="X73" i="17"/>
  <c r="Y189" i="17"/>
  <c r="Z99" i="17"/>
  <c r="Z196" i="17"/>
  <c r="Y232" i="17"/>
  <c r="W73" i="17"/>
  <c r="W71" i="17"/>
  <c r="Z191" i="17"/>
  <c r="Y197" i="17"/>
  <c r="Y91" i="17"/>
  <c r="AB100" i="17"/>
  <c r="AC100" i="17" l="1"/>
  <c r="Z232" i="17"/>
  <c r="AA196" i="17"/>
  <c r="AA191" i="17"/>
  <c r="Z197" i="17"/>
  <c r="Z49" i="17" s="1"/>
  <c r="Z91" i="17"/>
  <c r="Z189" i="17"/>
  <c r="AA99" i="17"/>
  <c r="W81" i="17"/>
  <c r="AP211" i="17"/>
  <c r="X7" i="17"/>
  <c r="AO211" i="17"/>
  <c r="W7" i="17"/>
  <c r="X81" i="17"/>
  <c r="AA197" i="17" l="1"/>
  <c r="AA49" i="17" s="1"/>
  <c r="AA50" i="17" s="1"/>
  <c r="AB191" i="17"/>
  <c r="AA91" i="17"/>
  <c r="AA232" i="17"/>
  <c r="AB196" i="17"/>
  <c r="AD100" i="17"/>
  <c r="Z50" i="17"/>
  <c r="AA189" i="17"/>
  <c r="AB99" i="17"/>
  <c r="AB232" i="17" l="1"/>
  <c r="AC196" i="17"/>
  <c r="AB189" i="17"/>
  <c r="AC99" i="17"/>
  <c r="AE100" i="17"/>
  <c r="Z73" i="17"/>
  <c r="Z71" i="17"/>
  <c r="AC191" i="17"/>
  <c r="AB197" i="17"/>
  <c r="AB49" i="17" s="1"/>
  <c r="AB50" i="17" s="1"/>
  <c r="AB91" i="17"/>
  <c r="AA71" i="17"/>
  <c r="AA73" i="17"/>
  <c r="AR211" i="17" l="1"/>
  <c r="Z7" i="17"/>
  <c r="AF100" i="17"/>
  <c r="AA81" i="17"/>
  <c r="AB73" i="17"/>
  <c r="AB71" i="17"/>
  <c r="AC189" i="17"/>
  <c r="AD99" i="17"/>
  <c r="Z81" i="17"/>
  <c r="AC197" i="17"/>
  <c r="AC49" i="17" s="1"/>
  <c r="AC50" i="17" s="1"/>
  <c r="AD191" i="17"/>
  <c r="AC91" i="17"/>
  <c r="AD196" i="17"/>
  <c r="AC232" i="17"/>
  <c r="AS211" i="17"/>
  <c r="AA7" i="17"/>
  <c r="AB81" i="17" l="1"/>
  <c r="AD232" i="17"/>
  <c r="AE196" i="17"/>
  <c r="AD197" i="17"/>
  <c r="AD49" i="17" s="1"/>
  <c r="AD50" i="17" s="1"/>
  <c r="AE191" i="17"/>
  <c r="AD91" i="17"/>
  <c r="AT211" i="17"/>
  <c r="AB7" i="17"/>
  <c r="AC73" i="17"/>
  <c r="AC71" i="17"/>
  <c r="AD189" i="17"/>
  <c r="AE99" i="17"/>
  <c r="AC81" i="17" l="1"/>
  <c r="AF191" i="17"/>
  <c r="AE197" i="17"/>
  <c r="AE49" i="17" s="1"/>
  <c r="AE50" i="17" s="1"/>
  <c r="AE91" i="17"/>
  <c r="AD71" i="17"/>
  <c r="AD73" i="17"/>
  <c r="AE189" i="17"/>
  <c r="AF99" i="17"/>
  <c r="AF189" i="17" s="1"/>
  <c r="AE232" i="17"/>
  <c r="AF196" i="17"/>
  <c r="AF232" i="17" s="1"/>
  <c r="AU211" i="17"/>
  <c r="AC7" i="17"/>
  <c r="AV211" i="17" l="1"/>
  <c r="AD7" i="17"/>
  <c r="AD81" i="17"/>
  <c r="AE73" i="17"/>
  <c r="AE71" i="17"/>
  <c r="AF197" i="17"/>
  <c r="AF49" i="17" s="1"/>
  <c r="AF91" i="17"/>
  <c r="AE81" i="17" l="1"/>
  <c r="AI91" i="17"/>
  <c r="AH91" i="17"/>
  <c r="AF50" i="17"/>
  <c r="AI49" i="17"/>
  <c r="AH49" i="17"/>
  <c r="AW211" i="17"/>
  <c r="AE7" i="17"/>
  <c r="AF73" i="17" l="1"/>
  <c r="AF71" i="17"/>
  <c r="AI50" i="17"/>
  <c r="AH50" i="17"/>
  <c r="AF81" i="17" l="1"/>
  <c r="AH71" i="17"/>
  <c r="AI71" i="17"/>
  <c r="AX211" i="17"/>
  <c r="AF7" i="17"/>
  <c r="A7" i="17" s="1"/>
  <c r="AH73" i="17"/>
  <c r="AI73" i="17"/>
  <c r="AH81" i="17" l="1"/>
  <c r="AI81" i="17"/>
  <c r="AP2" i="16" l="1"/>
  <c r="AN2" i="16"/>
  <c r="AG36" i="16"/>
  <c r="AH7" i="16"/>
  <c r="AK53" i="16"/>
  <c r="O35" i="16" l="1"/>
  <c r="AH97" i="16"/>
  <c r="AI97" i="16" s="1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AF234" i="16"/>
  <c r="AE234" i="16"/>
  <c r="AD234" i="16"/>
  <c r="AC234" i="16"/>
  <c r="AB234" i="16"/>
  <c r="AA234" i="16"/>
  <c r="Z234" i="16"/>
  <c r="Y234" i="16"/>
  <c r="X234" i="16"/>
  <c r="W234" i="16"/>
  <c r="V234" i="16"/>
  <c r="U234" i="16"/>
  <c r="T234" i="16"/>
  <c r="S234" i="16"/>
  <c r="R234" i="16"/>
  <c r="Q234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B234" i="16"/>
  <c r="A234" i="16"/>
  <c r="AF233" i="16"/>
  <c r="AE233" i="16"/>
  <c r="AD233" i="16"/>
  <c r="AC233" i="16"/>
  <c r="AB233" i="16"/>
  <c r="AA233" i="16"/>
  <c r="Z233" i="16"/>
  <c r="Y233" i="16"/>
  <c r="X233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B233" i="16"/>
  <c r="A233" i="16"/>
  <c r="B232" i="16"/>
  <c r="S207" i="16"/>
  <c r="AG197" i="16"/>
  <c r="B197" i="16"/>
  <c r="D196" i="16"/>
  <c r="C196" i="16"/>
  <c r="C232" i="16" s="1"/>
  <c r="J195" i="16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C195" i="16"/>
  <c r="D195" i="16" s="1"/>
  <c r="E195" i="16" s="1"/>
  <c r="F195" i="16" s="1"/>
  <c r="G195" i="16" s="1"/>
  <c r="H195" i="16" s="1"/>
  <c r="I195" i="16" s="1"/>
  <c r="L194" i="16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E194" i="16"/>
  <c r="F194" i="16" s="1"/>
  <c r="G194" i="16" s="1"/>
  <c r="H194" i="16" s="1"/>
  <c r="I194" i="16" s="1"/>
  <c r="J194" i="16" s="1"/>
  <c r="K194" i="16" s="1"/>
  <c r="D194" i="16"/>
  <c r="C194" i="16"/>
  <c r="W193" i="16"/>
  <c r="X193" i="16" s="1"/>
  <c r="Y193" i="16" s="1"/>
  <c r="Z193" i="16" s="1"/>
  <c r="AA193" i="16" s="1"/>
  <c r="AB193" i="16" s="1"/>
  <c r="AC193" i="16" s="1"/>
  <c r="AD193" i="16" s="1"/>
  <c r="AE193" i="16" s="1"/>
  <c r="AF193" i="16" s="1"/>
  <c r="E193" i="16"/>
  <c r="F193" i="16" s="1"/>
  <c r="G193" i="16" s="1"/>
  <c r="H193" i="16" s="1"/>
  <c r="I193" i="16" s="1"/>
  <c r="J193" i="16" s="1"/>
  <c r="K193" i="16" s="1"/>
  <c r="L193" i="16" s="1"/>
  <c r="M193" i="16" s="1"/>
  <c r="N193" i="16" s="1"/>
  <c r="O193" i="16" s="1"/>
  <c r="P193" i="16" s="1"/>
  <c r="Q193" i="16" s="1"/>
  <c r="R193" i="16" s="1"/>
  <c r="S193" i="16" s="1"/>
  <c r="T193" i="16" s="1"/>
  <c r="U193" i="16" s="1"/>
  <c r="V193" i="16" s="1"/>
  <c r="C193" i="16"/>
  <c r="D193" i="16" s="1"/>
  <c r="I192" i="16"/>
  <c r="J192" i="16" s="1"/>
  <c r="K192" i="16" s="1"/>
  <c r="L192" i="16" s="1"/>
  <c r="M192" i="16" s="1"/>
  <c r="N192" i="16" s="1"/>
  <c r="O192" i="16" s="1"/>
  <c r="P192" i="16" s="1"/>
  <c r="Q192" i="16" s="1"/>
  <c r="R192" i="16" s="1"/>
  <c r="S192" i="16" s="1"/>
  <c r="T192" i="16" s="1"/>
  <c r="U192" i="16" s="1"/>
  <c r="V192" i="16" s="1"/>
  <c r="W192" i="16" s="1"/>
  <c r="X192" i="16" s="1"/>
  <c r="Y192" i="16" s="1"/>
  <c r="Z192" i="16" s="1"/>
  <c r="AA192" i="16" s="1"/>
  <c r="AB192" i="16" s="1"/>
  <c r="AC192" i="16" s="1"/>
  <c r="AD192" i="16" s="1"/>
  <c r="AE192" i="16" s="1"/>
  <c r="AF192" i="16" s="1"/>
  <c r="C192" i="16"/>
  <c r="D192" i="16" s="1"/>
  <c r="E192" i="16" s="1"/>
  <c r="F192" i="16" s="1"/>
  <c r="G192" i="16" s="1"/>
  <c r="H192" i="16" s="1"/>
  <c r="C191" i="16"/>
  <c r="AG189" i="16"/>
  <c r="B189" i="16"/>
  <c r="AB188" i="16"/>
  <c r="AC188" i="16" s="1"/>
  <c r="AD188" i="16" s="1"/>
  <c r="AE188" i="16" s="1"/>
  <c r="AF188" i="16" s="1"/>
  <c r="G188" i="16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C188" i="16"/>
  <c r="D188" i="16" s="1"/>
  <c r="E188" i="16" s="1"/>
  <c r="F188" i="16" s="1"/>
  <c r="E187" i="16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C187" i="16"/>
  <c r="D187" i="16" s="1"/>
  <c r="C186" i="16"/>
  <c r="D186" i="16" s="1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C185" i="16"/>
  <c r="D185" i="16" s="1"/>
  <c r="E185" i="16" s="1"/>
  <c r="F185" i="16" s="1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D184" i="16"/>
  <c r="E184" i="16" s="1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C184" i="16"/>
  <c r="C183" i="16"/>
  <c r="D183" i="16" s="1"/>
  <c r="E183" i="16" s="1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E182" i="16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C182" i="16"/>
  <c r="D182" i="16" s="1"/>
  <c r="C181" i="16"/>
  <c r="D181" i="16" s="1"/>
  <c r="E181" i="16" s="1"/>
  <c r="F181" i="16" s="1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C180" i="16"/>
  <c r="D180" i="16" s="1"/>
  <c r="E180" i="16" s="1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E179" i="16"/>
  <c r="F179" i="16" s="1"/>
  <c r="G179" i="16" s="1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C179" i="16"/>
  <c r="D179" i="16" s="1"/>
  <c r="U178" i="16"/>
  <c r="V178" i="16" s="1"/>
  <c r="W178" i="16" s="1"/>
  <c r="X178" i="16" s="1"/>
  <c r="Y178" i="16" s="1"/>
  <c r="Z178" i="16" s="1"/>
  <c r="AA178" i="16" s="1"/>
  <c r="AB178" i="16" s="1"/>
  <c r="AC178" i="16" s="1"/>
  <c r="AD178" i="16" s="1"/>
  <c r="AE178" i="16" s="1"/>
  <c r="AF178" i="16" s="1"/>
  <c r="C178" i="16"/>
  <c r="D178" i="16" s="1"/>
  <c r="E178" i="16" s="1"/>
  <c r="F178" i="16" s="1"/>
  <c r="G178" i="16" s="1"/>
  <c r="H178" i="16" s="1"/>
  <c r="I178" i="16" s="1"/>
  <c r="J178" i="16" s="1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F177" i="16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C177" i="16"/>
  <c r="D177" i="16" s="1"/>
  <c r="E177" i="16" s="1"/>
  <c r="U176" i="16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E176" i="16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C176" i="16"/>
  <c r="D176" i="16" s="1"/>
  <c r="C174" i="16"/>
  <c r="D174" i="16" s="1"/>
  <c r="E174" i="16" s="1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E173" i="16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C173" i="16"/>
  <c r="D173" i="16" s="1"/>
  <c r="C172" i="16"/>
  <c r="D172" i="16" s="1"/>
  <c r="E172" i="16" s="1"/>
  <c r="F172" i="16" s="1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AA171" i="16"/>
  <c r="AB171" i="16" s="1"/>
  <c r="AC171" i="16" s="1"/>
  <c r="AD171" i="16" s="1"/>
  <c r="AE171" i="16" s="1"/>
  <c r="AF171" i="16" s="1"/>
  <c r="Q171" i="16"/>
  <c r="R171" i="16" s="1"/>
  <c r="S171" i="16" s="1"/>
  <c r="T171" i="16" s="1"/>
  <c r="U171" i="16" s="1"/>
  <c r="V171" i="16" s="1"/>
  <c r="W171" i="16" s="1"/>
  <c r="X171" i="16" s="1"/>
  <c r="Y171" i="16" s="1"/>
  <c r="Z171" i="16" s="1"/>
  <c r="E171" i="16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C171" i="16"/>
  <c r="D171" i="16" s="1"/>
  <c r="O170" i="16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I170" i="16"/>
  <c r="J170" i="16" s="1"/>
  <c r="K170" i="16" s="1"/>
  <c r="L170" i="16" s="1"/>
  <c r="M170" i="16" s="1"/>
  <c r="N170" i="16" s="1"/>
  <c r="C170" i="16"/>
  <c r="D170" i="16" s="1"/>
  <c r="E170" i="16" s="1"/>
  <c r="F170" i="16" s="1"/>
  <c r="G170" i="16" s="1"/>
  <c r="H170" i="16" s="1"/>
  <c r="N169" i="16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F169" i="16"/>
  <c r="G169" i="16" s="1"/>
  <c r="H169" i="16" s="1"/>
  <c r="I169" i="16" s="1"/>
  <c r="J169" i="16" s="1"/>
  <c r="K169" i="16" s="1"/>
  <c r="L169" i="16" s="1"/>
  <c r="M169" i="16" s="1"/>
  <c r="E169" i="16"/>
  <c r="C169" i="16"/>
  <c r="D169" i="16" s="1"/>
  <c r="C168" i="16"/>
  <c r="D168" i="16" s="1"/>
  <c r="E168" i="16" s="1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G167" i="16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D167" i="16"/>
  <c r="E167" i="16" s="1"/>
  <c r="F167" i="16" s="1"/>
  <c r="C167" i="16"/>
  <c r="E165" i="16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C165" i="16"/>
  <c r="D165" i="16" s="1"/>
  <c r="E164" i="16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C164" i="16"/>
  <c r="D164" i="16" s="1"/>
  <c r="C163" i="16"/>
  <c r="D163" i="16" s="1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D162" i="16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C162" i="16"/>
  <c r="M161" i="16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J161" i="16"/>
  <c r="K161" i="16" s="1"/>
  <c r="L161" i="16" s="1"/>
  <c r="H161" i="16"/>
  <c r="I161" i="16" s="1"/>
  <c r="E161" i="16"/>
  <c r="F161" i="16" s="1"/>
  <c r="G161" i="16" s="1"/>
  <c r="C161" i="16"/>
  <c r="D161" i="16" s="1"/>
  <c r="H160" i="16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E160" i="16"/>
  <c r="F160" i="16" s="1"/>
  <c r="G160" i="16" s="1"/>
  <c r="C160" i="16"/>
  <c r="D160" i="16" s="1"/>
  <c r="AB159" i="16"/>
  <c r="AC159" i="16" s="1"/>
  <c r="AD159" i="16" s="1"/>
  <c r="AE159" i="16" s="1"/>
  <c r="AF159" i="16" s="1"/>
  <c r="I159" i="16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F159" i="16"/>
  <c r="G159" i="16" s="1"/>
  <c r="H159" i="16" s="1"/>
  <c r="D159" i="16"/>
  <c r="E159" i="16" s="1"/>
  <c r="C159" i="16"/>
  <c r="D158" i="16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C158" i="16"/>
  <c r="L157" i="16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E157" i="16"/>
  <c r="F157" i="16" s="1"/>
  <c r="G157" i="16" s="1"/>
  <c r="H157" i="16" s="1"/>
  <c r="I157" i="16" s="1"/>
  <c r="J157" i="16" s="1"/>
  <c r="K157" i="16" s="1"/>
  <c r="D157" i="16"/>
  <c r="C157" i="16"/>
  <c r="C156" i="16"/>
  <c r="D156" i="16" s="1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H155" i="16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G155" i="16"/>
  <c r="F155" i="16"/>
  <c r="D155" i="16"/>
  <c r="E155" i="16" s="1"/>
  <c r="C155" i="16"/>
  <c r="J154" i="16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D154" i="16"/>
  <c r="E154" i="16" s="1"/>
  <c r="F154" i="16" s="1"/>
  <c r="G154" i="16" s="1"/>
  <c r="H154" i="16" s="1"/>
  <c r="I154" i="16" s="1"/>
  <c r="C154" i="16"/>
  <c r="C153" i="16"/>
  <c r="D153" i="16" s="1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C151" i="16"/>
  <c r="D151" i="16" s="1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F150" i="16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C150" i="16"/>
  <c r="D150" i="16" s="1"/>
  <c r="E150" i="16" s="1"/>
  <c r="S149" i="16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C149" i="16"/>
  <c r="D149" i="16" s="1"/>
  <c r="E149" i="16" s="1"/>
  <c r="F149" i="16" s="1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E148" i="16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D148" i="16"/>
  <c r="C148" i="16"/>
  <c r="C146" i="16"/>
  <c r="D146" i="16" s="1"/>
  <c r="E146" i="16" s="1"/>
  <c r="F146" i="16" s="1"/>
  <c r="G146" i="16" s="1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C145" i="16"/>
  <c r="D145" i="16" s="1"/>
  <c r="E145" i="16" s="1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G143" i="16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D143" i="16"/>
  <c r="E143" i="16" s="1"/>
  <c r="F143" i="16" s="1"/>
  <c r="C143" i="16"/>
  <c r="E142" i="16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D142" i="16"/>
  <c r="C142" i="16"/>
  <c r="L141" i="16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G141" i="16"/>
  <c r="H141" i="16" s="1"/>
  <c r="I141" i="16" s="1"/>
  <c r="J141" i="16" s="1"/>
  <c r="K141" i="16" s="1"/>
  <c r="C141" i="16"/>
  <c r="D141" i="16" s="1"/>
  <c r="E141" i="16" s="1"/>
  <c r="F141" i="16" s="1"/>
  <c r="E140" i="16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C140" i="16"/>
  <c r="D140" i="16" s="1"/>
  <c r="C139" i="16"/>
  <c r="D139" i="16" s="1"/>
  <c r="E139" i="16" s="1"/>
  <c r="F139" i="16" s="1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M138" i="16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F138" i="16"/>
  <c r="G138" i="16" s="1"/>
  <c r="H138" i="16" s="1"/>
  <c r="I138" i="16" s="1"/>
  <c r="J138" i="16" s="1"/>
  <c r="K138" i="16" s="1"/>
  <c r="L138" i="16" s="1"/>
  <c r="E138" i="16"/>
  <c r="D138" i="16"/>
  <c r="C138" i="16"/>
  <c r="M137" i="16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E137" i="16"/>
  <c r="F137" i="16" s="1"/>
  <c r="G137" i="16" s="1"/>
  <c r="H137" i="16" s="1"/>
  <c r="I137" i="16" s="1"/>
  <c r="J137" i="16" s="1"/>
  <c r="K137" i="16" s="1"/>
  <c r="L137" i="16" s="1"/>
  <c r="C137" i="16"/>
  <c r="D137" i="16" s="1"/>
  <c r="C135" i="16"/>
  <c r="D135" i="16" s="1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I134" i="16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C134" i="16"/>
  <c r="D134" i="16" s="1"/>
  <c r="E134" i="16" s="1"/>
  <c r="F134" i="16" s="1"/>
  <c r="G134" i="16" s="1"/>
  <c r="H134" i="16" s="1"/>
  <c r="E133" i="16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C133" i="16"/>
  <c r="D133" i="16" s="1"/>
  <c r="F132" i="16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E132" i="16"/>
  <c r="D132" i="16"/>
  <c r="C132" i="16"/>
  <c r="F131" i="16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D131" i="16"/>
  <c r="E131" i="16" s="1"/>
  <c r="C131" i="16"/>
  <c r="D130" i="16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C130" i="16"/>
  <c r="C129" i="16"/>
  <c r="D129" i="16" s="1"/>
  <c r="E129" i="16" s="1"/>
  <c r="F129" i="16" s="1"/>
  <c r="G129" i="16" s="1"/>
  <c r="H129" i="16" s="1"/>
  <c r="I129" i="16" s="1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D128" i="16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C128" i="16"/>
  <c r="L126" i="16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C126" i="16"/>
  <c r="D126" i="16" s="1"/>
  <c r="E126" i="16" s="1"/>
  <c r="F126" i="16" s="1"/>
  <c r="G126" i="16" s="1"/>
  <c r="H126" i="16" s="1"/>
  <c r="I126" i="16" s="1"/>
  <c r="J126" i="16" s="1"/>
  <c r="K126" i="16" s="1"/>
  <c r="G125" i="16"/>
  <c r="H125" i="16" s="1"/>
  <c r="I125" i="16" s="1"/>
  <c r="J125" i="16" s="1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D125" i="16"/>
  <c r="E125" i="16" s="1"/>
  <c r="F125" i="16" s="1"/>
  <c r="C125" i="16"/>
  <c r="C124" i="16"/>
  <c r="D124" i="16" s="1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F123" i="16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C123" i="16"/>
  <c r="D123" i="16" s="1"/>
  <c r="E123" i="16" s="1"/>
  <c r="D122" i="16"/>
  <c r="E122" i="16" s="1"/>
  <c r="F122" i="16" s="1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C122" i="16"/>
  <c r="J121" i="16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D121" i="16"/>
  <c r="E121" i="16" s="1"/>
  <c r="F121" i="16" s="1"/>
  <c r="G121" i="16" s="1"/>
  <c r="H121" i="16" s="1"/>
  <c r="I121" i="16" s="1"/>
  <c r="C121" i="16"/>
  <c r="C120" i="16"/>
  <c r="D120" i="16" s="1"/>
  <c r="E120" i="16" s="1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F119" i="16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E119" i="16"/>
  <c r="C119" i="16"/>
  <c r="D119" i="16" s="1"/>
  <c r="C118" i="16"/>
  <c r="D118" i="16" s="1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C117" i="16"/>
  <c r="D117" i="16" s="1"/>
  <c r="E117" i="16" s="1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F116" i="16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E116" i="16"/>
  <c r="C116" i="16"/>
  <c r="D116" i="16" s="1"/>
  <c r="D115" i="16"/>
  <c r="E115" i="16" s="1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C115" i="16"/>
  <c r="D114" i="16"/>
  <c r="E114" i="16" s="1"/>
  <c r="F114" i="16" s="1"/>
  <c r="G114" i="16" s="1"/>
  <c r="H114" i="16" s="1"/>
  <c r="I114" i="16" s="1"/>
  <c r="J114" i="16" s="1"/>
  <c r="K114" i="16" s="1"/>
  <c r="L114" i="16" s="1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C114" i="16"/>
  <c r="G113" i="16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D113" i="16"/>
  <c r="E113" i="16" s="1"/>
  <c r="F113" i="16" s="1"/>
  <c r="C113" i="16"/>
  <c r="I112" i="16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E112" i="16"/>
  <c r="F112" i="16" s="1"/>
  <c r="G112" i="16" s="1"/>
  <c r="H112" i="16" s="1"/>
  <c r="C112" i="16"/>
  <c r="D112" i="16" s="1"/>
  <c r="N111" i="16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M111" i="16"/>
  <c r="K111" i="16"/>
  <c r="L111" i="16" s="1"/>
  <c r="J111" i="16"/>
  <c r="C111" i="16"/>
  <c r="D111" i="16" s="1"/>
  <c r="E111" i="16" s="1"/>
  <c r="F111" i="16" s="1"/>
  <c r="G111" i="16" s="1"/>
  <c r="H111" i="16" s="1"/>
  <c r="E110" i="16"/>
  <c r="F110" i="16" s="1"/>
  <c r="G110" i="16" s="1"/>
  <c r="H110" i="16" s="1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C110" i="16"/>
  <c r="D110" i="16" s="1"/>
  <c r="C109" i="16"/>
  <c r="D109" i="16" s="1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E107" i="16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C107" i="16"/>
  <c r="D107" i="16" s="1"/>
  <c r="C106" i="16"/>
  <c r="D106" i="16" s="1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C104" i="16"/>
  <c r="D104" i="16" s="1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E103" i="16"/>
  <c r="F103" i="16" s="1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D103" i="16"/>
  <c r="C103" i="16"/>
  <c r="C102" i="16"/>
  <c r="D102" i="16" s="1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G101" i="16"/>
  <c r="H101" i="16" s="1"/>
  <c r="I101" i="16" s="1"/>
  <c r="J101" i="16" s="1"/>
  <c r="K101" i="16" s="1"/>
  <c r="L101" i="16" s="1"/>
  <c r="M101" i="16" s="1"/>
  <c r="N101" i="16" s="1"/>
  <c r="O101" i="16" s="1"/>
  <c r="P101" i="16" s="1"/>
  <c r="Q101" i="16" s="1"/>
  <c r="R101" i="16" s="1"/>
  <c r="S101" i="16" s="1"/>
  <c r="T101" i="16" s="1"/>
  <c r="U101" i="16" s="1"/>
  <c r="V101" i="16" s="1"/>
  <c r="W101" i="16" s="1"/>
  <c r="X101" i="16" s="1"/>
  <c r="Y101" i="16" s="1"/>
  <c r="Z101" i="16" s="1"/>
  <c r="AA101" i="16" s="1"/>
  <c r="AB101" i="16" s="1"/>
  <c r="AC101" i="16" s="1"/>
  <c r="AD101" i="16" s="1"/>
  <c r="AE101" i="16" s="1"/>
  <c r="AF101" i="16" s="1"/>
  <c r="E101" i="16"/>
  <c r="F101" i="16" s="1"/>
  <c r="D101" i="16"/>
  <c r="C101" i="16"/>
  <c r="C100" i="16"/>
  <c r="C99" i="16"/>
  <c r="AH96" i="16"/>
  <c r="AI96" i="16" s="1"/>
  <c r="AH95" i="16"/>
  <c r="AI95" i="16" s="1"/>
  <c r="AH94" i="16"/>
  <c r="AI94" i="16" s="1"/>
  <c r="AH93" i="16"/>
  <c r="AI93" i="16" s="1"/>
  <c r="AH92" i="16"/>
  <c r="AI92" i="16" s="1"/>
  <c r="B91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G80" i="16"/>
  <c r="AI79" i="16"/>
  <c r="AH79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D80" i="16" s="1"/>
  <c r="C76" i="16"/>
  <c r="B76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AF74" i="16"/>
  <c r="AE74" i="16"/>
  <c r="AD74" i="16"/>
  <c r="AC74" i="16"/>
  <c r="AB74" i="16"/>
  <c r="AA74" i="16"/>
  <c r="Z74" i="16"/>
  <c r="Y74" i="16"/>
  <c r="X74" i="16"/>
  <c r="X80" i="16" s="1"/>
  <c r="W74" i="16"/>
  <c r="V74" i="16"/>
  <c r="U74" i="16"/>
  <c r="T74" i="16"/>
  <c r="T80" i="16" s="1"/>
  <c r="S74" i="16"/>
  <c r="R74" i="16"/>
  <c r="Q74" i="16"/>
  <c r="P74" i="16"/>
  <c r="P80" i="16" s="1"/>
  <c r="O74" i="16"/>
  <c r="N74" i="16"/>
  <c r="M74" i="16"/>
  <c r="L74" i="16"/>
  <c r="K74" i="16"/>
  <c r="K80" i="16" s="1"/>
  <c r="J74" i="16"/>
  <c r="I74" i="16"/>
  <c r="I80" i="16" s="1"/>
  <c r="H74" i="16"/>
  <c r="G74" i="16"/>
  <c r="F74" i="16"/>
  <c r="F80" i="16" s="1"/>
  <c r="E74" i="16"/>
  <c r="D74" i="16"/>
  <c r="C74" i="16"/>
  <c r="B74" i="16"/>
  <c r="AI72" i="16"/>
  <c r="AH72" i="16"/>
  <c r="AG71" i="16"/>
  <c r="AG70" i="16"/>
  <c r="AG73" i="16" s="1"/>
  <c r="AF70" i="16"/>
  <c r="AE70" i="16"/>
  <c r="AD70" i="16"/>
  <c r="AC70" i="16"/>
  <c r="AB70" i="16"/>
  <c r="AA70" i="16"/>
  <c r="Z70" i="16"/>
  <c r="Y70" i="16"/>
  <c r="X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H70" i="16" s="1"/>
  <c r="AI69" i="16"/>
  <c r="AH69" i="16"/>
  <c r="AI68" i="16"/>
  <c r="AH68" i="16"/>
  <c r="AI67" i="16"/>
  <c r="AH67" i="16"/>
  <c r="AG66" i="16"/>
  <c r="AF66" i="16"/>
  <c r="AF5" i="16" s="1"/>
  <c r="AE66" i="16"/>
  <c r="AE5" i="16" s="1"/>
  <c r="AD66" i="16"/>
  <c r="AD5" i="16" s="1"/>
  <c r="AC66" i="16"/>
  <c r="AB66" i="16"/>
  <c r="AB5" i="16" s="1"/>
  <c r="AA66" i="16"/>
  <c r="AA5" i="16" s="1"/>
  <c r="Z66" i="16"/>
  <c r="Z5" i="16" s="1"/>
  <c r="Y66" i="16"/>
  <c r="Y5" i="16" s="1"/>
  <c r="X66" i="16"/>
  <c r="X5" i="16" s="1"/>
  <c r="V66" i="16"/>
  <c r="U66" i="16"/>
  <c r="U5" i="16" s="1"/>
  <c r="T66" i="16"/>
  <c r="T5" i="16" s="1"/>
  <c r="S66" i="16"/>
  <c r="S5" i="16" s="1"/>
  <c r="R66" i="16"/>
  <c r="R5" i="16" s="1"/>
  <c r="Q66" i="16"/>
  <c r="Q5" i="16" s="1"/>
  <c r="P66" i="16"/>
  <c r="P5" i="16" s="1"/>
  <c r="O66" i="16"/>
  <c r="O5" i="16" s="1"/>
  <c r="N66" i="16"/>
  <c r="N5" i="16" s="1"/>
  <c r="M66" i="16"/>
  <c r="M5" i="16" s="1"/>
  <c r="L66" i="16"/>
  <c r="L5" i="16" s="1"/>
  <c r="K66" i="16"/>
  <c r="K5" i="16" s="1"/>
  <c r="J66" i="16"/>
  <c r="J5" i="16" s="1"/>
  <c r="I66" i="16"/>
  <c r="I5" i="16" s="1"/>
  <c r="H66" i="16"/>
  <c r="G66" i="16"/>
  <c r="G5" i="16" s="1"/>
  <c r="F66" i="16"/>
  <c r="F5" i="16" s="1"/>
  <c r="E66" i="16"/>
  <c r="D66" i="16"/>
  <c r="D5" i="16" s="1"/>
  <c r="C66" i="16"/>
  <c r="C5" i="16" s="1"/>
  <c r="B66" i="16"/>
  <c r="B5" i="16" s="1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G54" i="16"/>
  <c r="AG4" i="16" s="1"/>
  <c r="AF54" i="16"/>
  <c r="AE54" i="16"/>
  <c r="AD54" i="16"/>
  <c r="AC54" i="16"/>
  <c r="AB54" i="16"/>
  <c r="AA54" i="16"/>
  <c r="Z54" i="16"/>
  <c r="Y54" i="16"/>
  <c r="X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I53" i="16"/>
  <c r="AH53" i="16"/>
  <c r="AI52" i="16"/>
  <c r="AH52" i="16"/>
  <c r="AI51" i="16"/>
  <c r="AH51" i="16"/>
  <c r="AG50" i="16"/>
  <c r="AG3" i="16" s="1"/>
  <c r="Y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G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F36" i="16"/>
  <c r="AE36" i="16"/>
  <c r="AD36" i="16"/>
  <c r="AC36" i="16"/>
  <c r="AB36" i="16"/>
  <c r="AA36" i="16"/>
  <c r="Z36" i="16"/>
  <c r="Y36" i="16"/>
  <c r="X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C5" i="16"/>
  <c r="W5" i="16"/>
  <c r="V5" i="16"/>
  <c r="H5" i="16"/>
  <c r="E5" i="16"/>
  <c r="K4" i="16"/>
  <c r="B4" i="16"/>
  <c r="AG2" i="16"/>
  <c r="AB91" i="15"/>
  <c r="E4" i="16"/>
  <c r="AF80" i="16" l="1"/>
  <c r="AE80" i="16"/>
  <c r="AD80" i="16"/>
  <c r="AC80" i="16"/>
  <c r="AB80" i="16"/>
  <c r="AA80" i="16"/>
  <c r="W80" i="16"/>
  <c r="Y80" i="16"/>
  <c r="Z80" i="16"/>
  <c r="Y73" i="16"/>
  <c r="Y7" i="16" s="1"/>
  <c r="Y71" i="16"/>
  <c r="Y81" i="16" s="1"/>
  <c r="V80" i="16"/>
  <c r="U80" i="16"/>
  <c r="S80" i="16"/>
  <c r="R80" i="16"/>
  <c r="Q80" i="16"/>
  <c r="Q71" i="16"/>
  <c r="Q73" i="16"/>
  <c r="R71" i="16"/>
  <c r="P71" i="16"/>
  <c r="O80" i="16"/>
  <c r="R73" i="16"/>
  <c r="O73" i="16"/>
  <c r="O71" i="16"/>
  <c r="P73" i="16"/>
  <c r="P81" i="16" s="1"/>
  <c r="N80" i="16"/>
  <c r="N73" i="16"/>
  <c r="AF211" i="16" s="1"/>
  <c r="N71" i="16"/>
  <c r="M80" i="16"/>
  <c r="M73" i="16"/>
  <c r="AE211" i="16" s="1"/>
  <c r="M71" i="16"/>
  <c r="M81" i="16" s="1"/>
  <c r="L80" i="16"/>
  <c r="J80" i="16"/>
  <c r="J71" i="16"/>
  <c r="J73" i="16"/>
  <c r="I71" i="16"/>
  <c r="I73" i="16"/>
  <c r="H80" i="16"/>
  <c r="H73" i="16"/>
  <c r="Z211" i="16" s="1"/>
  <c r="H71" i="16"/>
  <c r="G80" i="16"/>
  <c r="G73" i="16"/>
  <c r="Y211" i="16" s="1"/>
  <c r="G71" i="16"/>
  <c r="AI74" i="16"/>
  <c r="F73" i="16"/>
  <c r="F7" i="16" s="1"/>
  <c r="F71" i="16"/>
  <c r="E80" i="16"/>
  <c r="AH77" i="16"/>
  <c r="AI77" i="16"/>
  <c r="E73" i="16"/>
  <c r="W211" i="16" s="1"/>
  <c r="E71" i="16"/>
  <c r="AH76" i="16"/>
  <c r="AI76" i="16"/>
  <c r="AI78" i="16"/>
  <c r="C80" i="16"/>
  <c r="AI75" i="16"/>
  <c r="AI36" i="16"/>
  <c r="AI54" i="16"/>
  <c r="B71" i="16"/>
  <c r="B73" i="16" s="1"/>
  <c r="H4" i="16"/>
  <c r="AG211" i="16"/>
  <c r="O7" i="16"/>
  <c r="AB211" i="16"/>
  <c r="J7" i="16"/>
  <c r="AJ211" i="16"/>
  <c r="R7" i="16"/>
  <c r="R81" i="16"/>
  <c r="F81" i="16"/>
  <c r="N81" i="16"/>
  <c r="AG6" i="16"/>
  <c r="O81" i="16"/>
  <c r="H81" i="16"/>
  <c r="I7" i="16"/>
  <c r="AI211" i="16"/>
  <c r="Q7" i="16"/>
  <c r="AQ211" i="16"/>
  <c r="S208" i="16"/>
  <c r="D208" i="16"/>
  <c r="AH36" i="16"/>
  <c r="C73" i="16"/>
  <c r="K73" i="16"/>
  <c r="S73" i="16"/>
  <c r="AH74" i="16"/>
  <c r="B80" i="16"/>
  <c r="AH54" i="16"/>
  <c r="AH66" i="16"/>
  <c r="D73" i="16"/>
  <c r="L73" i="16"/>
  <c r="AH75" i="16"/>
  <c r="Q81" i="16"/>
  <c r="AG81" i="16"/>
  <c r="D100" i="16"/>
  <c r="C91" i="16"/>
  <c r="X211" i="16"/>
  <c r="C71" i="16"/>
  <c r="K71" i="16"/>
  <c r="K81" i="16" s="1"/>
  <c r="S71" i="16"/>
  <c r="S81" i="16" s="1"/>
  <c r="AH78" i="16"/>
  <c r="AI66" i="16"/>
  <c r="AI70" i="16"/>
  <c r="L71" i="16"/>
  <c r="C189" i="16"/>
  <c r="D71" i="16"/>
  <c r="D99" i="16"/>
  <c r="D232" i="16"/>
  <c r="E196" i="16"/>
  <c r="C197" i="16"/>
  <c r="D191" i="16"/>
  <c r="I81" i="16" l="1"/>
  <c r="AH211" i="16"/>
  <c r="P7" i="16"/>
  <c r="N7" i="16"/>
  <c r="M7" i="16"/>
  <c r="L81" i="16"/>
  <c r="J81" i="16"/>
  <c r="AA211" i="16"/>
  <c r="H7" i="16"/>
  <c r="G7" i="16"/>
  <c r="G81" i="16"/>
  <c r="E81" i="16"/>
  <c r="E7" i="16"/>
  <c r="D81" i="16"/>
  <c r="B81" i="16"/>
  <c r="D189" i="16"/>
  <c r="E99" i="16"/>
  <c r="AK211" i="16"/>
  <c r="S7" i="16"/>
  <c r="C81" i="16"/>
  <c r="E100" i="16"/>
  <c r="D91" i="16"/>
  <c r="AD211" i="16"/>
  <c r="L7" i="16"/>
  <c r="AC211" i="16"/>
  <c r="K7" i="16"/>
  <c r="T211" i="16"/>
  <c r="B7" i="16"/>
  <c r="V211" i="16"/>
  <c r="D7" i="16"/>
  <c r="U211" i="16"/>
  <c r="C7" i="16"/>
  <c r="E191" i="16"/>
  <c r="D197" i="16"/>
  <c r="B206" i="16"/>
  <c r="AI80" i="16"/>
  <c r="AH80" i="16"/>
  <c r="F196" i="16"/>
  <c r="E232" i="16"/>
  <c r="C206" i="16"/>
  <c r="G196" i="16" l="1"/>
  <c r="F232" i="16"/>
  <c r="E189" i="16"/>
  <c r="F99" i="16"/>
  <c r="E197" i="16"/>
  <c r="F191" i="16"/>
  <c r="K6" i="16"/>
  <c r="E91" i="16"/>
  <c r="F100" i="16"/>
  <c r="G100" i="16" l="1"/>
  <c r="F91" i="16"/>
  <c r="F189" i="16"/>
  <c r="G99" i="16"/>
  <c r="G232" i="16"/>
  <c r="H196" i="16"/>
  <c r="F197" i="16"/>
  <c r="G191" i="16"/>
  <c r="H232" i="16" l="1"/>
  <c r="I196" i="16"/>
  <c r="G189" i="16"/>
  <c r="H99" i="16"/>
  <c r="H191" i="16"/>
  <c r="G197" i="16"/>
  <c r="H100" i="16"/>
  <c r="G91" i="16"/>
  <c r="I100" i="16" l="1"/>
  <c r="H91" i="16"/>
  <c r="H197" i="16"/>
  <c r="I191" i="16"/>
  <c r="H189" i="16"/>
  <c r="I99" i="16"/>
  <c r="J196" i="16"/>
  <c r="I232" i="16"/>
  <c r="J232" i="16" l="1"/>
  <c r="K196" i="16"/>
  <c r="I189" i="16"/>
  <c r="J99" i="16"/>
  <c r="I197" i="16"/>
  <c r="J191" i="16"/>
  <c r="J100" i="16"/>
  <c r="I91" i="16"/>
  <c r="K191" i="16" l="1"/>
  <c r="J197" i="16"/>
  <c r="K100" i="16"/>
  <c r="J91" i="16"/>
  <c r="J189" i="16"/>
  <c r="K99" i="16"/>
  <c r="K232" i="16"/>
  <c r="L196" i="16"/>
  <c r="L232" i="16" l="1"/>
  <c r="M196" i="16"/>
  <c r="K189" i="16"/>
  <c r="L99" i="16"/>
  <c r="L100" i="16"/>
  <c r="K91" i="16"/>
  <c r="K197" i="16"/>
  <c r="L191" i="16"/>
  <c r="T211" i="15"/>
  <c r="M191" i="16" l="1"/>
  <c r="L197" i="16"/>
  <c r="M100" i="16"/>
  <c r="L91" i="16"/>
  <c r="L189" i="16"/>
  <c r="M99" i="16"/>
  <c r="N196" i="16"/>
  <c r="M232" i="16"/>
  <c r="M91" i="16" l="1"/>
  <c r="N100" i="16"/>
  <c r="O196" i="16"/>
  <c r="N232" i="16"/>
  <c r="M189" i="16"/>
  <c r="N99" i="16"/>
  <c r="M197" i="16"/>
  <c r="N191" i="16"/>
  <c r="N189" i="16" l="1"/>
  <c r="O99" i="16"/>
  <c r="O232" i="16"/>
  <c r="P196" i="16"/>
  <c r="N197" i="16"/>
  <c r="O191" i="16"/>
  <c r="O100" i="16"/>
  <c r="N91" i="16"/>
  <c r="P191" i="16" l="1"/>
  <c r="O197" i="16"/>
  <c r="P100" i="16"/>
  <c r="O91" i="16"/>
  <c r="P232" i="16"/>
  <c r="Q196" i="16"/>
  <c r="O189" i="16"/>
  <c r="P99" i="16"/>
  <c r="P189" i="16" l="1"/>
  <c r="Q99" i="16"/>
  <c r="R196" i="16"/>
  <c r="Q232" i="16"/>
  <c r="Q100" i="16"/>
  <c r="P91" i="16"/>
  <c r="P197" i="16"/>
  <c r="Q191" i="16"/>
  <c r="R100" i="16" l="1"/>
  <c r="Q91" i="16"/>
  <c r="R191" i="16"/>
  <c r="Q197" i="16"/>
  <c r="R232" i="16"/>
  <c r="S196" i="16"/>
  <c r="Q189" i="16"/>
  <c r="R99" i="16"/>
  <c r="S232" i="16" l="1"/>
  <c r="T196" i="16"/>
  <c r="R197" i="16"/>
  <c r="S191" i="16"/>
  <c r="R189" i="16"/>
  <c r="S99" i="16"/>
  <c r="S100" i="16"/>
  <c r="R91" i="16"/>
  <c r="T100" i="16" l="1"/>
  <c r="S91" i="16"/>
  <c r="S189" i="16"/>
  <c r="T99" i="16"/>
  <c r="S197" i="16"/>
  <c r="T191" i="16"/>
  <c r="T232" i="16"/>
  <c r="U196" i="16"/>
  <c r="T189" i="16" l="1"/>
  <c r="U99" i="16"/>
  <c r="U191" i="16"/>
  <c r="T197" i="16"/>
  <c r="T49" i="16" s="1"/>
  <c r="V196" i="16"/>
  <c r="U232" i="16"/>
  <c r="T91" i="16"/>
  <c r="U100" i="16"/>
  <c r="V100" i="16" l="1"/>
  <c r="U91" i="16"/>
  <c r="W196" i="16"/>
  <c r="V232" i="16"/>
  <c r="T50" i="16"/>
  <c r="U197" i="16"/>
  <c r="U49" i="16" s="1"/>
  <c r="U50" i="16" s="1"/>
  <c r="V191" i="16"/>
  <c r="U189" i="16"/>
  <c r="V99" i="16"/>
  <c r="V189" i="16" l="1"/>
  <c r="W99" i="16"/>
  <c r="W232" i="16"/>
  <c r="X196" i="16"/>
  <c r="U73" i="16"/>
  <c r="U71" i="16"/>
  <c r="U81" i="16" s="1"/>
  <c r="T71" i="16"/>
  <c r="T73" i="16"/>
  <c r="W191" i="16"/>
  <c r="V197" i="16"/>
  <c r="V49" i="16" s="1"/>
  <c r="V50" i="16" s="1"/>
  <c r="W100" i="16"/>
  <c r="V91" i="16"/>
  <c r="X100" i="16" l="1"/>
  <c r="W91" i="16"/>
  <c r="AM211" i="16"/>
  <c r="U7" i="16"/>
  <c r="X232" i="16"/>
  <c r="Y196" i="16"/>
  <c r="V73" i="16"/>
  <c r="V71" i="16"/>
  <c r="X191" i="16"/>
  <c r="W197" i="16"/>
  <c r="AL211" i="16"/>
  <c r="T7" i="16"/>
  <c r="W189" i="16"/>
  <c r="X99" i="16"/>
  <c r="T81" i="16"/>
  <c r="Z196" i="16" l="1"/>
  <c r="Y232" i="16"/>
  <c r="W73" i="16"/>
  <c r="AN211" i="16"/>
  <c r="V7" i="16"/>
  <c r="X197" i="16"/>
  <c r="X49" i="16" s="1"/>
  <c r="Y191" i="16"/>
  <c r="X91" i="16"/>
  <c r="Y100" i="16"/>
  <c r="X189" i="16"/>
  <c r="Y99" i="16"/>
  <c r="V81" i="16"/>
  <c r="AO211" i="16" l="1"/>
  <c r="W7" i="16"/>
  <c r="W81" i="16"/>
  <c r="Z191" i="16"/>
  <c r="Y197" i="16"/>
  <c r="Y189" i="16"/>
  <c r="Z99" i="16"/>
  <c r="X50" i="16"/>
  <c r="AA196" i="16"/>
  <c r="Z232" i="16"/>
  <c r="Z100" i="16"/>
  <c r="Y91" i="16"/>
  <c r="Z91" i="16" l="1"/>
  <c r="AA100" i="16"/>
  <c r="AA191" i="16"/>
  <c r="Z197" i="16"/>
  <c r="Z49" i="16" s="1"/>
  <c r="X73" i="16"/>
  <c r="X71" i="16"/>
  <c r="Z189" i="16"/>
  <c r="AA99" i="16"/>
  <c r="AA232" i="16"/>
  <c r="AB196" i="16"/>
  <c r="X81" i="16" l="1"/>
  <c r="Z50" i="16"/>
  <c r="AA197" i="16"/>
  <c r="AA49" i="16" s="1"/>
  <c r="AA50" i="16" s="1"/>
  <c r="AB191" i="16"/>
  <c r="AP211" i="16"/>
  <c r="X7" i="16"/>
  <c r="AB232" i="16"/>
  <c r="AC196" i="16"/>
  <c r="AA189" i="16"/>
  <c r="AB99" i="16"/>
  <c r="AB100" i="16"/>
  <c r="AA91" i="16"/>
  <c r="AA73" i="16" l="1"/>
  <c r="AA71" i="16"/>
  <c r="AA81" i="16" s="1"/>
  <c r="AD196" i="16"/>
  <c r="AC232" i="16"/>
  <c r="Z73" i="16"/>
  <c r="Z71" i="16"/>
  <c r="Z81" i="16" s="1"/>
  <c r="AB91" i="16"/>
  <c r="AC100" i="16"/>
  <c r="AC191" i="16"/>
  <c r="AB197" i="16"/>
  <c r="AB49" i="16" s="1"/>
  <c r="AB50" i="16" s="1"/>
  <c r="AB189" i="16"/>
  <c r="AC99" i="16"/>
  <c r="AR211" i="16" l="1"/>
  <c r="Z7" i="16"/>
  <c r="AD232" i="16"/>
  <c r="AE196" i="16"/>
  <c r="AD100" i="16"/>
  <c r="AC91" i="16"/>
  <c r="AC189" i="16"/>
  <c r="AD99" i="16"/>
  <c r="AB73" i="16"/>
  <c r="AB71" i="16"/>
  <c r="AC197" i="16"/>
  <c r="AC49" i="16" s="1"/>
  <c r="AC50" i="16" s="1"/>
  <c r="AD191" i="16"/>
  <c r="AS211" i="16"/>
  <c r="AA7" i="16"/>
  <c r="AB81" i="16" l="1"/>
  <c r="AD91" i="16"/>
  <c r="AE100" i="16"/>
  <c r="AD197" i="16"/>
  <c r="AD49" i="16" s="1"/>
  <c r="AD50" i="16" s="1"/>
  <c r="AE191" i="16"/>
  <c r="AC73" i="16"/>
  <c r="AC71" i="16"/>
  <c r="AT211" i="16"/>
  <c r="AB7" i="16"/>
  <c r="AE232" i="16"/>
  <c r="AF196" i="16"/>
  <c r="AF232" i="16" s="1"/>
  <c r="AD189" i="16"/>
  <c r="AE99" i="16"/>
  <c r="AC81" i="16" l="1"/>
  <c r="AD73" i="16"/>
  <c r="AD71" i="16"/>
  <c r="AF100" i="16"/>
  <c r="AF91" i="16" s="1"/>
  <c r="AE91" i="16"/>
  <c r="AU211" i="16"/>
  <c r="AC7" i="16"/>
  <c r="AE189" i="16"/>
  <c r="AF99" i="16"/>
  <c r="AF189" i="16" s="1"/>
  <c r="AF191" i="16"/>
  <c r="AF197" i="16" s="1"/>
  <c r="AF49" i="16" s="1"/>
  <c r="AE197" i="16"/>
  <c r="AE49" i="16" s="1"/>
  <c r="AE50" i="16" s="1"/>
  <c r="AD81" i="16" l="1"/>
  <c r="AH91" i="16"/>
  <c r="AI91" i="16"/>
  <c r="AE73" i="16"/>
  <c r="AE71" i="16"/>
  <c r="AF50" i="16"/>
  <c r="AI49" i="16"/>
  <c r="AH49" i="16"/>
  <c r="AV211" i="16"/>
  <c r="AD7" i="16"/>
  <c r="AE81" i="16" l="1"/>
  <c r="AF73" i="16"/>
  <c r="AF71" i="16"/>
  <c r="AI50" i="16"/>
  <c r="AH50" i="16"/>
  <c r="AW211" i="16"/>
  <c r="AE7" i="16"/>
  <c r="AF81" i="16" l="1"/>
  <c r="AI71" i="16"/>
  <c r="AH71" i="16"/>
  <c r="AX211" i="16"/>
  <c r="AF7" i="16"/>
  <c r="A7" i="16" s="1"/>
  <c r="AH73" i="16"/>
  <c r="AI73" i="16"/>
  <c r="AH81" i="16" l="1"/>
  <c r="AI81" i="16"/>
  <c r="H35" i="15" l="1"/>
  <c r="G35" i="15"/>
  <c r="F35" i="15"/>
  <c r="E35" i="15"/>
  <c r="D35" i="15"/>
  <c r="AH97" i="15"/>
  <c r="AI97" i="15" s="1"/>
  <c r="C93" i="15"/>
  <c r="C35" i="15"/>
  <c r="B93" i="15"/>
  <c r="B91" i="15"/>
  <c r="B78" i="15"/>
  <c r="B77" i="15"/>
  <c r="B76" i="15"/>
  <c r="B75" i="15"/>
  <c r="B74" i="15"/>
  <c r="B80" i="15" s="1"/>
  <c r="B70" i="15"/>
  <c r="B66" i="15"/>
  <c r="B54" i="15"/>
  <c r="B49" i="15"/>
  <c r="B50" i="15" s="1"/>
  <c r="B36" i="15"/>
  <c r="B35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AF234" i="15"/>
  <c r="AE234" i="15"/>
  <c r="AD234" i="15"/>
  <c r="AC234" i="15"/>
  <c r="AB234" i="15"/>
  <c r="AA234" i="15"/>
  <c r="Z234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AF233" i="15"/>
  <c r="AE233" i="15"/>
  <c r="AD233" i="15"/>
  <c r="AC233" i="15"/>
  <c r="AB233" i="15"/>
  <c r="AA233" i="15"/>
  <c r="Z233" i="15"/>
  <c r="Y233" i="15"/>
  <c r="X233" i="15"/>
  <c r="W233" i="15"/>
  <c r="V233" i="15"/>
  <c r="U233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B232" i="15"/>
  <c r="S207" i="15"/>
  <c r="AG197" i="15"/>
  <c r="C197" i="15"/>
  <c r="B197" i="15"/>
  <c r="D196" i="15"/>
  <c r="D232" i="15" s="1"/>
  <c r="C196" i="15"/>
  <c r="C232" i="15" s="1"/>
  <c r="C195" i="15"/>
  <c r="D195" i="15" s="1"/>
  <c r="E195" i="15" s="1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C194" i="15"/>
  <c r="D194" i="15" s="1"/>
  <c r="E194" i="15" s="1"/>
  <c r="F194" i="15" s="1"/>
  <c r="G194" i="15" s="1"/>
  <c r="H194" i="15" s="1"/>
  <c r="I194" i="15" s="1"/>
  <c r="J194" i="15" s="1"/>
  <c r="K194" i="15" s="1"/>
  <c r="L194" i="15" s="1"/>
  <c r="M194" i="15" s="1"/>
  <c r="N194" i="15" s="1"/>
  <c r="O194" i="15" s="1"/>
  <c r="P194" i="15" s="1"/>
  <c r="Q194" i="15" s="1"/>
  <c r="R194" i="15" s="1"/>
  <c r="S194" i="15" s="1"/>
  <c r="T194" i="15" s="1"/>
  <c r="U194" i="15" s="1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F193" i="15"/>
  <c r="G193" i="15" s="1"/>
  <c r="H193" i="15" s="1"/>
  <c r="I193" i="15" s="1"/>
  <c r="J193" i="15" s="1"/>
  <c r="K193" i="15" s="1"/>
  <c r="L193" i="15" s="1"/>
  <c r="M193" i="15" s="1"/>
  <c r="N193" i="15" s="1"/>
  <c r="O193" i="15" s="1"/>
  <c r="P193" i="15" s="1"/>
  <c r="Q193" i="15" s="1"/>
  <c r="R193" i="15" s="1"/>
  <c r="S193" i="15" s="1"/>
  <c r="T193" i="15" s="1"/>
  <c r="U193" i="15" s="1"/>
  <c r="V193" i="15" s="1"/>
  <c r="W193" i="15" s="1"/>
  <c r="X193" i="15" s="1"/>
  <c r="Y193" i="15" s="1"/>
  <c r="Z193" i="15" s="1"/>
  <c r="AA193" i="15" s="1"/>
  <c r="AB193" i="15" s="1"/>
  <c r="AC193" i="15" s="1"/>
  <c r="AD193" i="15" s="1"/>
  <c r="AE193" i="15" s="1"/>
  <c r="AF193" i="15" s="1"/>
  <c r="D193" i="15"/>
  <c r="E193" i="15" s="1"/>
  <c r="C193" i="15"/>
  <c r="J192" i="15"/>
  <c r="K192" i="15" s="1"/>
  <c r="L192" i="15" s="1"/>
  <c r="M192" i="15" s="1"/>
  <c r="N192" i="15" s="1"/>
  <c r="O192" i="15" s="1"/>
  <c r="P192" i="15" s="1"/>
  <c r="Q192" i="15" s="1"/>
  <c r="R192" i="15" s="1"/>
  <c r="S192" i="15" s="1"/>
  <c r="T192" i="15" s="1"/>
  <c r="U192" i="15" s="1"/>
  <c r="V192" i="15" s="1"/>
  <c r="W192" i="15" s="1"/>
  <c r="X192" i="15" s="1"/>
  <c r="Y192" i="15" s="1"/>
  <c r="Z192" i="15" s="1"/>
  <c r="AA192" i="15" s="1"/>
  <c r="AB192" i="15" s="1"/>
  <c r="AC192" i="15" s="1"/>
  <c r="AD192" i="15" s="1"/>
  <c r="AE192" i="15" s="1"/>
  <c r="AF192" i="15" s="1"/>
  <c r="C192" i="15"/>
  <c r="D192" i="15" s="1"/>
  <c r="E192" i="15" s="1"/>
  <c r="F192" i="15" s="1"/>
  <c r="G192" i="15" s="1"/>
  <c r="H192" i="15" s="1"/>
  <c r="I192" i="15" s="1"/>
  <c r="C191" i="15"/>
  <c r="D191" i="15" s="1"/>
  <c r="AG189" i="15"/>
  <c r="B189" i="15"/>
  <c r="C188" i="15"/>
  <c r="D188" i="15" s="1"/>
  <c r="E188" i="15" s="1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E187" i="15"/>
  <c r="F187" i="15" s="1"/>
  <c r="G187" i="15" s="1"/>
  <c r="H187" i="15" s="1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D187" i="15"/>
  <c r="C187" i="15"/>
  <c r="F186" i="15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D186" i="15"/>
  <c r="E186" i="15" s="1"/>
  <c r="C186" i="15"/>
  <c r="S185" i="15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C185" i="15"/>
  <c r="D185" i="15" s="1"/>
  <c r="E185" i="15" s="1"/>
  <c r="F185" i="15" s="1"/>
  <c r="G185" i="15" s="1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T184" i="15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D184" i="15"/>
  <c r="E184" i="15" s="1"/>
  <c r="F184" i="15" s="1"/>
  <c r="G184" i="15" s="1"/>
  <c r="H184" i="15" s="1"/>
  <c r="I184" i="15" s="1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C184" i="15"/>
  <c r="F183" i="15"/>
  <c r="G183" i="15" s="1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E183" i="15"/>
  <c r="D183" i="15"/>
  <c r="C183" i="15"/>
  <c r="C182" i="15"/>
  <c r="D182" i="15" s="1"/>
  <c r="E182" i="15" s="1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C181" i="15"/>
  <c r="D181" i="15" s="1"/>
  <c r="E181" i="15" s="1"/>
  <c r="F181" i="15" s="1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L180" i="15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C180" i="15"/>
  <c r="D180" i="15" s="1"/>
  <c r="E180" i="15" s="1"/>
  <c r="F180" i="15" s="1"/>
  <c r="G180" i="15" s="1"/>
  <c r="H180" i="15" s="1"/>
  <c r="I180" i="15" s="1"/>
  <c r="J180" i="15" s="1"/>
  <c r="K180" i="15" s="1"/>
  <c r="F179" i="15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E179" i="15"/>
  <c r="D179" i="15"/>
  <c r="C179" i="15"/>
  <c r="C178" i="15"/>
  <c r="D178" i="15" s="1"/>
  <c r="E178" i="15" s="1"/>
  <c r="F178" i="15" s="1"/>
  <c r="G178" i="15" s="1"/>
  <c r="H178" i="15" s="1"/>
  <c r="I178" i="15" s="1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H177" i="15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C177" i="15"/>
  <c r="D177" i="15" s="1"/>
  <c r="E177" i="15" s="1"/>
  <c r="F177" i="15" s="1"/>
  <c r="G177" i="15" s="1"/>
  <c r="F176" i="15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D176" i="15"/>
  <c r="E176" i="15" s="1"/>
  <c r="C176" i="15"/>
  <c r="J174" i="15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C174" i="15"/>
  <c r="D174" i="15" s="1"/>
  <c r="E174" i="15" s="1"/>
  <c r="F174" i="15" s="1"/>
  <c r="G174" i="15" s="1"/>
  <c r="H174" i="15" s="1"/>
  <c r="I174" i="15" s="1"/>
  <c r="AD173" i="15"/>
  <c r="AE173" i="15" s="1"/>
  <c r="AF173" i="15" s="1"/>
  <c r="H173" i="15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C173" i="15"/>
  <c r="D173" i="15" s="1"/>
  <c r="E173" i="15" s="1"/>
  <c r="F173" i="15" s="1"/>
  <c r="G173" i="15" s="1"/>
  <c r="F172" i="15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D172" i="15"/>
  <c r="E172" i="15" s="1"/>
  <c r="C172" i="15"/>
  <c r="C171" i="15"/>
  <c r="D171" i="15" s="1"/>
  <c r="E171" i="15" s="1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R170" i="15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C170" i="15"/>
  <c r="D170" i="15" s="1"/>
  <c r="E170" i="15" s="1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E169" i="15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C169" i="15"/>
  <c r="D169" i="15" s="1"/>
  <c r="AF168" i="15"/>
  <c r="N168" i="15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E168" i="15"/>
  <c r="F168" i="15" s="1"/>
  <c r="G168" i="15" s="1"/>
  <c r="H168" i="15" s="1"/>
  <c r="I168" i="15" s="1"/>
  <c r="J168" i="15" s="1"/>
  <c r="K168" i="15" s="1"/>
  <c r="L168" i="15" s="1"/>
  <c r="M168" i="15" s="1"/>
  <c r="D168" i="15"/>
  <c r="C168" i="15"/>
  <c r="G167" i="15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D167" i="15"/>
  <c r="E167" i="15" s="1"/>
  <c r="F167" i="15" s="1"/>
  <c r="C167" i="15"/>
  <c r="C165" i="15"/>
  <c r="D165" i="15" s="1"/>
  <c r="E165" i="15" s="1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M164" i="15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C164" i="15"/>
  <c r="D164" i="15" s="1"/>
  <c r="E164" i="15" s="1"/>
  <c r="F164" i="15" s="1"/>
  <c r="G164" i="15" s="1"/>
  <c r="H164" i="15" s="1"/>
  <c r="I164" i="15" s="1"/>
  <c r="J164" i="15" s="1"/>
  <c r="K164" i="15" s="1"/>
  <c r="L164" i="15" s="1"/>
  <c r="O163" i="15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F163" i="15"/>
  <c r="G163" i="15" s="1"/>
  <c r="H163" i="15" s="1"/>
  <c r="I163" i="15" s="1"/>
  <c r="J163" i="15" s="1"/>
  <c r="K163" i="15" s="1"/>
  <c r="L163" i="15" s="1"/>
  <c r="M163" i="15" s="1"/>
  <c r="N163" i="15" s="1"/>
  <c r="C163" i="15"/>
  <c r="D163" i="15" s="1"/>
  <c r="E163" i="15" s="1"/>
  <c r="R162" i="15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C162" i="15"/>
  <c r="D162" i="15" s="1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L161" i="15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C161" i="15"/>
  <c r="D161" i="15" s="1"/>
  <c r="E161" i="15" s="1"/>
  <c r="F161" i="15" s="1"/>
  <c r="G161" i="15" s="1"/>
  <c r="H161" i="15" s="1"/>
  <c r="I161" i="15" s="1"/>
  <c r="J161" i="15" s="1"/>
  <c r="K161" i="15" s="1"/>
  <c r="E160" i="15"/>
  <c r="F160" i="15" s="1"/>
  <c r="G160" i="15" s="1"/>
  <c r="H160" i="15" s="1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C160" i="15"/>
  <c r="D160" i="15" s="1"/>
  <c r="D159" i="15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C159" i="15"/>
  <c r="C158" i="15"/>
  <c r="D158" i="15" s="1"/>
  <c r="E158" i="15" s="1"/>
  <c r="F158" i="15" s="1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C157" i="15"/>
  <c r="D157" i="15" s="1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AD156" i="15"/>
  <c r="AE156" i="15" s="1"/>
  <c r="AF156" i="15" s="1"/>
  <c r="H156" i="15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F156" i="15"/>
  <c r="G156" i="15" s="1"/>
  <c r="D156" i="15"/>
  <c r="E156" i="15" s="1"/>
  <c r="C156" i="15"/>
  <c r="D155" i="15"/>
  <c r="E155" i="15" s="1"/>
  <c r="F155" i="15" s="1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C155" i="15"/>
  <c r="AF154" i="15"/>
  <c r="K154" i="15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J154" i="15"/>
  <c r="H154" i="15"/>
  <c r="I154" i="15" s="1"/>
  <c r="D154" i="15"/>
  <c r="E154" i="15" s="1"/>
  <c r="F154" i="15" s="1"/>
  <c r="G154" i="15" s="1"/>
  <c r="C154" i="15"/>
  <c r="C153" i="15"/>
  <c r="D153" i="15" s="1"/>
  <c r="E153" i="15" s="1"/>
  <c r="F153" i="15" s="1"/>
  <c r="G153" i="15" s="1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E151" i="15"/>
  <c r="F151" i="15" s="1"/>
  <c r="G151" i="15" s="1"/>
  <c r="H151" i="15" s="1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D151" i="15"/>
  <c r="C151" i="15"/>
  <c r="C150" i="15"/>
  <c r="D150" i="15" s="1"/>
  <c r="E150" i="15" s="1"/>
  <c r="F150" i="15" s="1"/>
  <c r="G150" i="15" s="1"/>
  <c r="H150" i="15" s="1"/>
  <c r="I150" i="15" s="1"/>
  <c r="J150" i="15" s="1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D149" i="15"/>
  <c r="E149" i="15" s="1"/>
  <c r="F149" i="15" s="1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C149" i="15"/>
  <c r="G148" i="15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F148" i="15"/>
  <c r="C148" i="15"/>
  <c r="D148" i="15" s="1"/>
  <c r="E148" i="15" s="1"/>
  <c r="O146" i="15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E146" i="15"/>
  <c r="F146" i="15" s="1"/>
  <c r="G146" i="15" s="1"/>
  <c r="H146" i="15" s="1"/>
  <c r="I146" i="15" s="1"/>
  <c r="J146" i="15" s="1"/>
  <c r="K146" i="15" s="1"/>
  <c r="L146" i="15" s="1"/>
  <c r="M146" i="15" s="1"/>
  <c r="N146" i="15" s="1"/>
  <c r="D146" i="15"/>
  <c r="C146" i="15"/>
  <c r="N145" i="15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D145" i="15"/>
  <c r="E145" i="15" s="1"/>
  <c r="F145" i="15" s="1"/>
  <c r="G145" i="15" s="1"/>
  <c r="H145" i="15" s="1"/>
  <c r="I145" i="15" s="1"/>
  <c r="J145" i="15" s="1"/>
  <c r="K145" i="15" s="1"/>
  <c r="L145" i="15" s="1"/>
  <c r="M145" i="15" s="1"/>
  <c r="C145" i="15"/>
  <c r="D143" i="15"/>
  <c r="E143" i="15" s="1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C143" i="15"/>
  <c r="V142" i="15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J142" i="15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C142" i="15"/>
  <c r="D142" i="15" s="1"/>
  <c r="E142" i="15" s="1"/>
  <c r="F142" i="15" s="1"/>
  <c r="G142" i="15" s="1"/>
  <c r="H142" i="15" s="1"/>
  <c r="I142" i="15" s="1"/>
  <c r="H141" i="15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D141" i="15"/>
  <c r="E141" i="15" s="1"/>
  <c r="F141" i="15" s="1"/>
  <c r="G141" i="15" s="1"/>
  <c r="C141" i="15"/>
  <c r="AC140" i="15"/>
  <c r="AD140" i="15" s="1"/>
  <c r="AE140" i="15" s="1"/>
  <c r="AF140" i="15" s="1"/>
  <c r="C140" i="15"/>
  <c r="D140" i="15" s="1"/>
  <c r="E140" i="15" s="1"/>
  <c r="F140" i="15" s="1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Q139" i="15"/>
  <c r="R139" i="15" s="1"/>
  <c r="S139" i="15" s="1"/>
  <c r="T139" i="15" s="1"/>
  <c r="U139" i="15" s="1"/>
  <c r="V139" i="15" s="1"/>
  <c r="W139" i="15" s="1"/>
  <c r="X139" i="15" s="1"/>
  <c r="Y139" i="15" s="1"/>
  <c r="Z139" i="15" s="1"/>
  <c r="AA139" i="15" s="1"/>
  <c r="AB139" i="15" s="1"/>
  <c r="AC139" i="15" s="1"/>
  <c r="AD139" i="15" s="1"/>
  <c r="AE139" i="15" s="1"/>
  <c r="AF139" i="15" s="1"/>
  <c r="E139" i="15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D139" i="15"/>
  <c r="C139" i="15"/>
  <c r="C138" i="15"/>
  <c r="D138" i="15" s="1"/>
  <c r="E138" i="15" s="1"/>
  <c r="F138" i="15" s="1"/>
  <c r="G138" i="15" s="1"/>
  <c r="H138" i="15" s="1"/>
  <c r="I138" i="15" s="1"/>
  <c r="J138" i="15" s="1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O137" i="15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M137" i="15"/>
  <c r="N137" i="15" s="1"/>
  <c r="E137" i="15"/>
  <c r="F137" i="15" s="1"/>
  <c r="G137" i="15" s="1"/>
  <c r="H137" i="15" s="1"/>
  <c r="I137" i="15" s="1"/>
  <c r="J137" i="15" s="1"/>
  <c r="K137" i="15" s="1"/>
  <c r="L137" i="15" s="1"/>
  <c r="D137" i="15"/>
  <c r="C137" i="15"/>
  <c r="L135" i="15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D135" i="15"/>
  <c r="E135" i="15" s="1"/>
  <c r="F135" i="15" s="1"/>
  <c r="G135" i="15" s="1"/>
  <c r="H135" i="15" s="1"/>
  <c r="I135" i="15" s="1"/>
  <c r="J135" i="15" s="1"/>
  <c r="K135" i="15" s="1"/>
  <c r="C135" i="15"/>
  <c r="J134" i="15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H134" i="15"/>
  <c r="I134" i="15" s="1"/>
  <c r="C134" i="15"/>
  <c r="D134" i="15" s="1"/>
  <c r="E134" i="15" s="1"/>
  <c r="F134" i="15" s="1"/>
  <c r="G134" i="15" s="1"/>
  <c r="N133" i="15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H133" i="15"/>
  <c r="I133" i="15" s="1"/>
  <c r="J133" i="15" s="1"/>
  <c r="K133" i="15" s="1"/>
  <c r="L133" i="15" s="1"/>
  <c r="M133" i="15" s="1"/>
  <c r="F133" i="15"/>
  <c r="G133" i="15" s="1"/>
  <c r="E133" i="15"/>
  <c r="D133" i="15"/>
  <c r="C133" i="15"/>
  <c r="D132" i="15"/>
  <c r="E132" i="15" s="1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C132" i="15"/>
  <c r="D131" i="15"/>
  <c r="E131" i="15" s="1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C131" i="15"/>
  <c r="H130" i="15"/>
  <c r="I130" i="15" s="1"/>
  <c r="J130" i="15" s="1"/>
  <c r="K130" i="15" s="1"/>
  <c r="L130" i="15" s="1"/>
  <c r="M130" i="15" s="1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D130" i="15"/>
  <c r="E130" i="15" s="1"/>
  <c r="F130" i="15" s="1"/>
  <c r="G130" i="15" s="1"/>
  <c r="C130" i="15"/>
  <c r="F129" i="15"/>
  <c r="G129" i="15" s="1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E129" i="15"/>
  <c r="D129" i="15"/>
  <c r="C129" i="15"/>
  <c r="N128" i="15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L128" i="15"/>
  <c r="M128" i="15" s="1"/>
  <c r="F128" i="15"/>
  <c r="G128" i="15" s="1"/>
  <c r="H128" i="15" s="1"/>
  <c r="I128" i="15" s="1"/>
  <c r="J128" i="15" s="1"/>
  <c r="K128" i="15" s="1"/>
  <c r="D128" i="15"/>
  <c r="E128" i="15" s="1"/>
  <c r="C128" i="15"/>
  <c r="R126" i="15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D126" i="15"/>
  <c r="E126" i="15" s="1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C126" i="15"/>
  <c r="H125" i="15"/>
  <c r="I125" i="15" s="1"/>
  <c r="J125" i="15" s="1"/>
  <c r="K125" i="15" s="1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G125" i="15"/>
  <c r="C125" i="15"/>
  <c r="D125" i="15" s="1"/>
  <c r="E125" i="15" s="1"/>
  <c r="F125" i="15" s="1"/>
  <c r="U124" i="15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E124" i="15"/>
  <c r="F124" i="15" s="1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D124" i="15"/>
  <c r="C124" i="15"/>
  <c r="V123" i="15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G123" i="15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F123" i="15"/>
  <c r="D123" i="15"/>
  <c r="E123" i="15" s="1"/>
  <c r="C123" i="15"/>
  <c r="N122" i="15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E122" i="15"/>
  <c r="F122" i="15" s="1"/>
  <c r="G122" i="15" s="1"/>
  <c r="H122" i="15" s="1"/>
  <c r="I122" i="15" s="1"/>
  <c r="J122" i="15" s="1"/>
  <c r="K122" i="15" s="1"/>
  <c r="L122" i="15" s="1"/>
  <c r="M122" i="15" s="1"/>
  <c r="D122" i="15"/>
  <c r="C122" i="15"/>
  <c r="J121" i="15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C121" i="15"/>
  <c r="D121" i="15" s="1"/>
  <c r="E121" i="15" s="1"/>
  <c r="F121" i="15" s="1"/>
  <c r="G121" i="15" s="1"/>
  <c r="H121" i="15" s="1"/>
  <c r="I121" i="15" s="1"/>
  <c r="H120" i="15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C120" i="15"/>
  <c r="D120" i="15" s="1"/>
  <c r="E120" i="15" s="1"/>
  <c r="F120" i="15" s="1"/>
  <c r="G120" i="15" s="1"/>
  <c r="N119" i="15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C119" i="15"/>
  <c r="D119" i="15" s="1"/>
  <c r="E119" i="15" s="1"/>
  <c r="F119" i="15" s="1"/>
  <c r="G119" i="15" s="1"/>
  <c r="H119" i="15" s="1"/>
  <c r="I119" i="15" s="1"/>
  <c r="J119" i="15" s="1"/>
  <c r="K119" i="15" s="1"/>
  <c r="L119" i="15" s="1"/>
  <c r="M119" i="15" s="1"/>
  <c r="D118" i="15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C118" i="15"/>
  <c r="R117" i="15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E117" i="15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C117" i="15"/>
  <c r="D117" i="15" s="1"/>
  <c r="P116" i="15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C116" i="15"/>
  <c r="D116" i="15" s="1"/>
  <c r="E116" i="15" s="1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C115" i="15"/>
  <c r="D115" i="15" s="1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M114" i="15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C114" i="15"/>
  <c r="D114" i="15" s="1"/>
  <c r="E114" i="15" s="1"/>
  <c r="F114" i="15" s="1"/>
  <c r="G114" i="15" s="1"/>
  <c r="H114" i="15" s="1"/>
  <c r="I114" i="15" s="1"/>
  <c r="J114" i="15" s="1"/>
  <c r="K114" i="15" s="1"/>
  <c r="L114" i="15" s="1"/>
  <c r="C113" i="15"/>
  <c r="D113" i="15" s="1"/>
  <c r="E113" i="15" s="1"/>
  <c r="F113" i="15" s="1"/>
  <c r="G113" i="15" s="1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E112" i="15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C112" i="15"/>
  <c r="D112" i="15" s="1"/>
  <c r="V111" i="15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S111" i="15"/>
  <c r="T111" i="15" s="1"/>
  <c r="U111" i="15" s="1"/>
  <c r="M111" i="15"/>
  <c r="N111" i="15" s="1"/>
  <c r="O111" i="15" s="1"/>
  <c r="P111" i="15" s="1"/>
  <c r="Q111" i="15" s="1"/>
  <c r="R111" i="15" s="1"/>
  <c r="K111" i="15"/>
  <c r="L111" i="15" s="1"/>
  <c r="J111" i="15"/>
  <c r="D111" i="15"/>
  <c r="E111" i="15" s="1"/>
  <c r="F111" i="15" s="1"/>
  <c r="G111" i="15" s="1"/>
  <c r="H111" i="15" s="1"/>
  <c r="C111" i="15"/>
  <c r="C110" i="15"/>
  <c r="D110" i="15" s="1"/>
  <c r="E110" i="15" s="1"/>
  <c r="F110" i="15" s="1"/>
  <c r="G110" i="15" s="1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D109" i="15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C109" i="15"/>
  <c r="C107" i="15"/>
  <c r="D107" i="15" s="1"/>
  <c r="E107" i="15" s="1"/>
  <c r="F107" i="15" s="1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D106" i="15"/>
  <c r="C106" i="15"/>
  <c r="G104" i="15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D104" i="15"/>
  <c r="E104" i="15" s="1"/>
  <c r="F104" i="15" s="1"/>
  <c r="C104" i="15"/>
  <c r="I103" i="15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E103" i="15"/>
  <c r="F103" i="15" s="1"/>
  <c r="G103" i="15" s="1"/>
  <c r="H103" i="15" s="1"/>
  <c r="D103" i="15"/>
  <c r="C103" i="15"/>
  <c r="M102" i="15"/>
  <c r="N102" i="15" s="1"/>
  <c r="O102" i="15" s="1"/>
  <c r="P102" i="15" s="1"/>
  <c r="Q102" i="15" s="1"/>
  <c r="R102" i="15" s="1"/>
  <c r="S102" i="15" s="1"/>
  <c r="T102" i="15" s="1"/>
  <c r="U102" i="15" s="1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F102" i="15"/>
  <c r="G102" i="15" s="1"/>
  <c r="H102" i="15" s="1"/>
  <c r="I102" i="15" s="1"/>
  <c r="J102" i="15" s="1"/>
  <c r="K102" i="15" s="1"/>
  <c r="L102" i="15" s="1"/>
  <c r="D102" i="15"/>
  <c r="E102" i="15" s="1"/>
  <c r="C102" i="15"/>
  <c r="L101" i="15"/>
  <c r="M101" i="15" s="1"/>
  <c r="N101" i="15" s="1"/>
  <c r="O101" i="15" s="1"/>
  <c r="P101" i="15" s="1"/>
  <c r="Q101" i="15" s="1"/>
  <c r="R101" i="15" s="1"/>
  <c r="S101" i="15" s="1"/>
  <c r="T101" i="15" s="1"/>
  <c r="U101" i="15" s="1"/>
  <c r="V101" i="15" s="1"/>
  <c r="W101" i="15" s="1"/>
  <c r="X101" i="15" s="1"/>
  <c r="Y101" i="15" s="1"/>
  <c r="Z101" i="15" s="1"/>
  <c r="AA101" i="15" s="1"/>
  <c r="AB101" i="15" s="1"/>
  <c r="AC101" i="15" s="1"/>
  <c r="AD101" i="15" s="1"/>
  <c r="AE101" i="15" s="1"/>
  <c r="AF101" i="15" s="1"/>
  <c r="J101" i="15"/>
  <c r="K101" i="15" s="1"/>
  <c r="D101" i="15"/>
  <c r="E101" i="15" s="1"/>
  <c r="F101" i="15" s="1"/>
  <c r="G101" i="15" s="1"/>
  <c r="H101" i="15" s="1"/>
  <c r="I101" i="15" s="1"/>
  <c r="C101" i="15"/>
  <c r="D100" i="15"/>
  <c r="E100" i="15" s="1"/>
  <c r="C100" i="15"/>
  <c r="D99" i="15"/>
  <c r="C99" i="15"/>
  <c r="AH96" i="15"/>
  <c r="AI96" i="15" s="1"/>
  <c r="AH95" i="15"/>
  <c r="AI95" i="15" s="1"/>
  <c r="AH94" i="15"/>
  <c r="AI94" i="15" s="1"/>
  <c r="AH93" i="15"/>
  <c r="AI93" i="15" s="1"/>
  <c r="AH92" i="15"/>
  <c r="AI92" i="15" s="1"/>
  <c r="C91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G80" i="15"/>
  <c r="AI79" i="15"/>
  <c r="AH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T80" i="15" s="1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F80" i="15" s="1"/>
  <c r="E75" i="15"/>
  <c r="D75" i="15"/>
  <c r="C75" i="15"/>
  <c r="AF74" i="15"/>
  <c r="AE74" i="15"/>
  <c r="AE80" i="15" s="1"/>
  <c r="AD74" i="15"/>
  <c r="AC74" i="15"/>
  <c r="AC80" i="15" s="1"/>
  <c r="AB74" i="15"/>
  <c r="AB80" i="15" s="1"/>
  <c r="AA74" i="15"/>
  <c r="Z74" i="15"/>
  <c r="Y74" i="15"/>
  <c r="Y80" i="15" s="1"/>
  <c r="X74" i="15"/>
  <c r="W74" i="15"/>
  <c r="V74" i="15"/>
  <c r="U74" i="15"/>
  <c r="U80" i="15" s="1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AI72" i="15"/>
  <c r="AH72" i="15"/>
  <c r="AG71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AH70" i="15"/>
  <c r="AI69" i="15"/>
  <c r="AH69" i="15"/>
  <c r="AI68" i="15"/>
  <c r="AH68" i="15"/>
  <c r="AI67" i="15"/>
  <c r="AH67" i="15"/>
  <c r="AG66" i="15"/>
  <c r="AF66" i="15"/>
  <c r="AE66" i="15"/>
  <c r="AE5" i="15" s="1"/>
  <c r="AD66" i="15"/>
  <c r="AC66" i="15"/>
  <c r="AB66" i="15"/>
  <c r="AA66" i="15"/>
  <c r="AA5" i="15" s="1"/>
  <c r="Z66" i="15"/>
  <c r="Z5" i="15" s="1"/>
  <c r="Y66" i="15"/>
  <c r="Y5" i="15" s="1"/>
  <c r="X66" i="15"/>
  <c r="W66" i="15"/>
  <c r="V66" i="15"/>
  <c r="U66" i="15"/>
  <c r="U5" i="15" s="1"/>
  <c r="T66" i="15"/>
  <c r="S66" i="15"/>
  <c r="S5" i="15" s="1"/>
  <c r="R66" i="15"/>
  <c r="Q66" i="15"/>
  <c r="P66" i="15"/>
  <c r="P5" i="15" s="1"/>
  <c r="O66" i="15"/>
  <c r="N66" i="15"/>
  <c r="M66" i="15"/>
  <c r="L66" i="15"/>
  <c r="K66" i="15"/>
  <c r="K5" i="15" s="1"/>
  <c r="J66" i="15"/>
  <c r="J5" i="15" s="1"/>
  <c r="I66" i="15"/>
  <c r="I5" i="15" s="1"/>
  <c r="H66" i="15"/>
  <c r="H5" i="15" s="1"/>
  <c r="G66" i="15"/>
  <c r="G5" i="15" s="1"/>
  <c r="F66" i="15"/>
  <c r="E66" i="15"/>
  <c r="D66" i="15"/>
  <c r="C66" i="15"/>
  <c r="C5" i="15" s="1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AI53" i="15"/>
  <c r="AH53" i="15"/>
  <c r="AI52" i="15"/>
  <c r="AH52" i="15"/>
  <c r="AI51" i="15"/>
  <c r="AH51" i="15"/>
  <c r="AG50" i="15"/>
  <c r="Y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AG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O73" i="15" s="1"/>
  <c r="N36" i="15"/>
  <c r="N73" i="15" s="1"/>
  <c r="M36" i="15"/>
  <c r="L36" i="15"/>
  <c r="K36" i="15"/>
  <c r="J36" i="15"/>
  <c r="I36" i="15"/>
  <c r="H36" i="15"/>
  <c r="G36" i="15"/>
  <c r="F36" i="15"/>
  <c r="E36" i="15"/>
  <c r="D36" i="15"/>
  <c r="C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D5" i="15"/>
  <c r="X5" i="15"/>
  <c r="W5" i="15"/>
  <c r="V5" i="15"/>
  <c r="R5" i="15"/>
  <c r="Q5" i="15"/>
  <c r="O5" i="15"/>
  <c r="N5" i="15"/>
  <c r="F5" i="15"/>
  <c r="B5" i="15"/>
  <c r="AG4" i="15"/>
  <c r="AG6" i="15" s="1"/>
  <c r="K4" i="15"/>
  <c r="B4" i="15"/>
  <c r="AG3" i="15"/>
  <c r="AG2" i="15"/>
  <c r="AF93" i="14"/>
  <c r="AF35" i="14"/>
  <c r="AE93" i="14"/>
  <c r="AE35" i="14"/>
  <c r="E4" i="15"/>
  <c r="AF80" i="15" l="1"/>
  <c r="AD80" i="15"/>
  <c r="Y71" i="15"/>
  <c r="AI74" i="15"/>
  <c r="X80" i="15"/>
  <c r="W80" i="15"/>
  <c r="V80" i="15"/>
  <c r="S71" i="15"/>
  <c r="R71" i="15"/>
  <c r="Q71" i="15"/>
  <c r="Q80" i="15"/>
  <c r="AI76" i="15"/>
  <c r="P80" i="15"/>
  <c r="O80" i="15"/>
  <c r="P73" i="15"/>
  <c r="AH211" i="15" s="1"/>
  <c r="P71" i="15"/>
  <c r="P81" i="15" s="1"/>
  <c r="O71" i="15"/>
  <c r="O81" i="15" s="1"/>
  <c r="N80" i="15"/>
  <c r="M80" i="15"/>
  <c r="L80" i="15"/>
  <c r="AI78" i="15"/>
  <c r="L73" i="15"/>
  <c r="L7" i="15" s="1"/>
  <c r="H80" i="15"/>
  <c r="I71" i="15"/>
  <c r="H71" i="15"/>
  <c r="G80" i="15"/>
  <c r="J71" i="15"/>
  <c r="I80" i="15"/>
  <c r="H73" i="15"/>
  <c r="AI54" i="15"/>
  <c r="G73" i="15"/>
  <c r="Y211" i="15" s="1"/>
  <c r="G71" i="15"/>
  <c r="F73" i="15"/>
  <c r="F7" i="15" s="1"/>
  <c r="E80" i="15"/>
  <c r="E73" i="15"/>
  <c r="E7" i="15" s="1"/>
  <c r="D73" i="15"/>
  <c r="V211" i="15" s="1"/>
  <c r="AH77" i="15"/>
  <c r="D80" i="15"/>
  <c r="AI36" i="15"/>
  <c r="AH75" i="15"/>
  <c r="AH66" i="15"/>
  <c r="AH78" i="15"/>
  <c r="AH54" i="15"/>
  <c r="AH36" i="15"/>
  <c r="C71" i="15"/>
  <c r="B73" i="15"/>
  <c r="B71" i="15"/>
  <c r="H4" i="15"/>
  <c r="X211" i="15"/>
  <c r="AG211" i="15"/>
  <c r="O7" i="15"/>
  <c r="AF211" i="15"/>
  <c r="N7" i="15"/>
  <c r="M71" i="15"/>
  <c r="AI66" i="15"/>
  <c r="C73" i="15"/>
  <c r="C81" i="15" s="1"/>
  <c r="K73" i="15"/>
  <c r="S73" i="15"/>
  <c r="AI70" i="15"/>
  <c r="D5" i="15"/>
  <c r="D71" i="15"/>
  <c r="L5" i="15"/>
  <c r="L71" i="15"/>
  <c r="T5" i="15"/>
  <c r="AB5" i="15"/>
  <c r="AI75" i="15"/>
  <c r="AH76" i="15"/>
  <c r="AI77" i="15"/>
  <c r="E71" i="15"/>
  <c r="N71" i="15"/>
  <c r="N81" i="15" s="1"/>
  <c r="R80" i="15"/>
  <c r="C80" i="15"/>
  <c r="K80" i="15"/>
  <c r="S80" i="15"/>
  <c r="AA80" i="15"/>
  <c r="M5" i="15"/>
  <c r="F71" i="15"/>
  <c r="F81" i="15" s="1"/>
  <c r="J80" i="15"/>
  <c r="Z80" i="15"/>
  <c r="E5" i="15"/>
  <c r="F100" i="15"/>
  <c r="K71" i="15"/>
  <c r="K81" i="15" s="1"/>
  <c r="M73" i="15"/>
  <c r="S208" i="15"/>
  <c r="D208" i="15"/>
  <c r="AC5" i="15"/>
  <c r="J73" i="15"/>
  <c r="R73" i="15"/>
  <c r="E106" i="15"/>
  <c r="F106" i="15" s="1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D91" i="15"/>
  <c r="I73" i="15"/>
  <c r="Q73" i="15"/>
  <c r="Y73" i="15"/>
  <c r="Y81" i="15" s="1"/>
  <c r="AG73" i="15"/>
  <c r="AG81" i="15" s="1"/>
  <c r="C189" i="15"/>
  <c r="AH74" i="15"/>
  <c r="D189" i="15"/>
  <c r="E99" i="15"/>
  <c r="E191" i="15"/>
  <c r="D197" i="15"/>
  <c r="E196" i="15"/>
  <c r="AD93" i="14"/>
  <c r="AD35" i="14"/>
  <c r="AC35" i="14"/>
  <c r="I81" i="15" l="1"/>
  <c r="S81" i="15"/>
  <c r="Q81" i="15"/>
  <c r="P7" i="15"/>
  <c r="E81" i="15"/>
  <c r="D81" i="15"/>
  <c r="D7" i="15"/>
  <c r="W211" i="15"/>
  <c r="H81" i="15"/>
  <c r="B81" i="15"/>
  <c r="L81" i="15"/>
  <c r="AD211" i="15"/>
  <c r="J81" i="15"/>
  <c r="G81" i="15"/>
  <c r="G7" i="15"/>
  <c r="B206" i="15"/>
  <c r="Z211" i="15"/>
  <c r="H7" i="15"/>
  <c r="AE211" i="15"/>
  <c r="M7" i="15"/>
  <c r="AJ211" i="15"/>
  <c r="R7" i="15"/>
  <c r="E91" i="15"/>
  <c r="M81" i="15"/>
  <c r="AQ211" i="15"/>
  <c r="Y7" i="15"/>
  <c r="AB211" i="15"/>
  <c r="J7" i="15"/>
  <c r="G100" i="15"/>
  <c r="F91" i="15"/>
  <c r="AK211" i="15"/>
  <c r="S7" i="15"/>
  <c r="R81" i="15"/>
  <c r="U211" i="15"/>
  <c r="C7" i="15"/>
  <c r="AI211" i="15"/>
  <c r="Q7" i="15"/>
  <c r="F196" i="15"/>
  <c r="E232" i="15"/>
  <c r="F191" i="15"/>
  <c r="E197" i="15"/>
  <c r="E189" i="15"/>
  <c r="F99" i="15"/>
  <c r="AA211" i="15"/>
  <c r="I7" i="15"/>
  <c r="AC211" i="15"/>
  <c r="K7" i="15"/>
  <c r="AI80" i="15"/>
  <c r="AH80" i="15"/>
  <c r="C206" i="15"/>
  <c r="AB35" i="14"/>
  <c r="K6" i="15" l="1"/>
  <c r="B7" i="15"/>
  <c r="F189" i="15"/>
  <c r="G99" i="15"/>
  <c r="H100" i="15"/>
  <c r="G191" i="15"/>
  <c r="F197" i="15"/>
  <c r="F232" i="15"/>
  <c r="G196" i="15"/>
  <c r="G91" i="15" s="1"/>
  <c r="H196" i="15" l="1"/>
  <c r="G232" i="15"/>
  <c r="G197" i="15"/>
  <c r="H191" i="15"/>
  <c r="I100" i="15"/>
  <c r="H91" i="15"/>
  <c r="G189" i="15"/>
  <c r="H99" i="15"/>
  <c r="J100" i="15" l="1"/>
  <c r="H197" i="15"/>
  <c r="I191" i="15"/>
  <c r="H189" i="15"/>
  <c r="I99" i="15"/>
  <c r="I196" i="15"/>
  <c r="H232" i="15"/>
  <c r="AA93" i="14"/>
  <c r="AA35" i="14"/>
  <c r="J196" i="15" l="1"/>
  <c r="I232" i="15"/>
  <c r="I189" i="15"/>
  <c r="J99" i="15"/>
  <c r="I197" i="15"/>
  <c r="J191" i="15"/>
  <c r="K100" i="15"/>
  <c r="J91" i="15"/>
  <c r="I91" i="15"/>
  <c r="L100" i="15" l="1"/>
  <c r="J197" i="15"/>
  <c r="K191" i="15"/>
  <c r="J189" i="15"/>
  <c r="K99" i="15"/>
  <c r="K196" i="15"/>
  <c r="J232" i="15"/>
  <c r="S35" i="14"/>
  <c r="L196" i="15" l="1"/>
  <c r="K232" i="15"/>
  <c r="K189" i="15"/>
  <c r="L99" i="15"/>
  <c r="K197" i="15"/>
  <c r="L191" i="15"/>
  <c r="K91" i="15"/>
  <c r="M100" i="15"/>
  <c r="R35" i="14"/>
  <c r="N100" i="15" l="1"/>
  <c r="L189" i="15"/>
  <c r="M99" i="15"/>
  <c r="L197" i="15"/>
  <c r="M191" i="15"/>
  <c r="L91" i="15"/>
  <c r="M196" i="15"/>
  <c r="L232" i="15"/>
  <c r="Q35" i="14"/>
  <c r="M232" i="15" l="1"/>
  <c r="N196" i="15"/>
  <c r="M91" i="15"/>
  <c r="N191" i="15"/>
  <c r="M197" i="15"/>
  <c r="M189" i="15"/>
  <c r="N99" i="15"/>
  <c r="O100" i="15"/>
  <c r="N91" i="15"/>
  <c r="O93" i="14"/>
  <c r="N35" i="14"/>
  <c r="M93" i="14"/>
  <c r="O191" i="15" l="1"/>
  <c r="N197" i="15"/>
  <c r="N232" i="15"/>
  <c r="O196" i="15"/>
  <c r="O91" i="15"/>
  <c r="P100" i="15"/>
  <c r="N189" i="15"/>
  <c r="O99" i="15"/>
  <c r="J35" i="14"/>
  <c r="H54" i="14"/>
  <c r="AH97" i="14"/>
  <c r="AI97" i="14" s="1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AF234" i="14"/>
  <c r="AE234" i="14"/>
  <c r="AD234" i="14"/>
  <c r="AC234" i="14"/>
  <c r="AB234" i="14"/>
  <c r="AA234" i="14"/>
  <c r="Z234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A234" i="14"/>
  <c r="AF233" i="14"/>
  <c r="AE233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A233" i="14"/>
  <c r="B232" i="14"/>
  <c r="S207" i="14"/>
  <c r="AG197" i="14"/>
  <c r="B197" i="14"/>
  <c r="D196" i="14"/>
  <c r="C196" i="14"/>
  <c r="C232" i="14" s="1"/>
  <c r="C195" i="14"/>
  <c r="D195" i="14" s="1"/>
  <c r="E195" i="14" s="1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G194" i="14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U194" i="14" s="1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C194" i="14"/>
  <c r="D194" i="14" s="1"/>
  <c r="E194" i="14" s="1"/>
  <c r="F194" i="14" s="1"/>
  <c r="F193" i="14"/>
  <c r="G193" i="14" s="1"/>
  <c r="H193" i="14" s="1"/>
  <c r="I193" i="14" s="1"/>
  <c r="J193" i="14" s="1"/>
  <c r="K193" i="14" s="1"/>
  <c r="L193" i="14" s="1"/>
  <c r="M193" i="14" s="1"/>
  <c r="N193" i="14" s="1"/>
  <c r="O193" i="14" s="1"/>
  <c r="P193" i="14" s="1"/>
  <c r="Q193" i="14" s="1"/>
  <c r="R193" i="14" s="1"/>
  <c r="S193" i="14" s="1"/>
  <c r="T193" i="14" s="1"/>
  <c r="U193" i="14" s="1"/>
  <c r="V193" i="14" s="1"/>
  <c r="W193" i="14" s="1"/>
  <c r="X193" i="14" s="1"/>
  <c r="Y193" i="14" s="1"/>
  <c r="Z193" i="14" s="1"/>
  <c r="AA193" i="14" s="1"/>
  <c r="AB193" i="14" s="1"/>
  <c r="AC193" i="14" s="1"/>
  <c r="AD193" i="14" s="1"/>
  <c r="AE193" i="14" s="1"/>
  <c r="AF193" i="14" s="1"/>
  <c r="C193" i="14"/>
  <c r="D193" i="14" s="1"/>
  <c r="E193" i="14" s="1"/>
  <c r="K192" i="14"/>
  <c r="L192" i="14" s="1"/>
  <c r="M192" i="14" s="1"/>
  <c r="N192" i="14" s="1"/>
  <c r="O192" i="14" s="1"/>
  <c r="P192" i="14" s="1"/>
  <c r="Q192" i="14" s="1"/>
  <c r="R192" i="14" s="1"/>
  <c r="S192" i="14" s="1"/>
  <c r="T192" i="14" s="1"/>
  <c r="U192" i="14" s="1"/>
  <c r="V192" i="14" s="1"/>
  <c r="W192" i="14" s="1"/>
  <c r="X192" i="14" s="1"/>
  <c r="Y192" i="14" s="1"/>
  <c r="Z192" i="14" s="1"/>
  <c r="AA192" i="14" s="1"/>
  <c r="AB192" i="14" s="1"/>
  <c r="AC192" i="14" s="1"/>
  <c r="AD192" i="14" s="1"/>
  <c r="AE192" i="14" s="1"/>
  <c r="AF192" i="14" s="1"/>
  <c r="C192" i="14"/>
  <c r="D192" i="14" s="1"/>
  <c r="E192" i="14" s="1"/>
  <c r="F192" i="14" s="1"/>
  <c r="G192" i="14" s="1"/>
  <c r="H192" i="14" s="1"/>
  <c r="I192" i="14" s="1"/>
  <c r="J192" i="14" s="1"/>
  <c r="C191" i="14"/>
  <c r="C197" i="14" s="1"/>
  <c r="AG189" i="14"/>
  <c r="B189" i="14"/>
  <c r="C188" i="14"/>
  <c r="D188" i="14" s="1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F187" i="14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C187" i="14"/>
  <c r="D187" i="14" s="1"/>
  <c r="E187" i="14" s="1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C186" i="14"/>
  <c r="C185" i="14"/>
  <c r="D185" i="14" s="1"/>
  <c r="E185" i="14" s="1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C184" i="14"/>
  <c r="D184" i="14" s="1"/>
  <c r="E184" i="14" s="1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R183" i="14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E183" i="14"/>
  <c r="F183" i="14" s="1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C183" i="14"/>
  <c r="D183" i="14" s="1"/>
  <c r="C182" i="14"/>
  <c r="D182" i="14" s="1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K181" i="14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C181" i="14"/>
  <c r="D181" i="14" s="1"/>
  <c r="E181" i="14" s="1"/>
  <c r="F181" i="14" s="1"/>
  <c r="G181" i="14" s="1"/>
  <c r="H181" i="14" s="1"/>
  <c r="I181" i="14" s="1"/>
  <c r="J181" i="14" s="1"/>
  <c r="AE180" i="14"/>
  <c r="AF180" i="14" s="1"/>
  <c r="D180" i="14"/>
  <c r="E180" i="14" s="1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C180" i="14"/>
  <c r="C179" i="14"/>
  <c r="D179" i="14" s="1"/>
  <c r="E179" i="14" s="1"/>
  <c r="F179" i="14" s="1"/>
  <c r="G179" i="14" s="1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S178" i="14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E178" i="14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C178" i="14"/>
  <c r="D178" i="14" s="1"/>
  <c r="N177" i="14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C177" i="14"/>
  <c r="D177" i="14" s="1"/>
  <c r="E177" i="14" s="1"/>
  <c r="F177" i="14" s="1"/>
  <c r="G177" i="14" s="1"/>
  <c r="H177" i="14" s="1"/>
  <c r="I177" i="14" s="1"/>
  <c r="J177" i="14" s="1"/>
  <c r="K177" i="14" s="1"/>
  <c r="L177" i="14" s="1"/>
  <c r="M177" i="14" s="1"/>
  <c r="G176" i="14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C176" i="14"/>
  <c r="D176" i="14" s="1"/>
  <c r="E176" i="14" s="1"/>
  <c r="F176" i="14" s="1"/>
  <c r="G174" i="14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C174" i="14"/>
  <c r="D174" i="14" s="1"/>
  <c r="E174" i="14" s="1"/>
  <c r="F174" i="14" s="1"/>
  <c r="C173" i="14"/>
  <c r="D173" i="14" s="1"/>
  <c r="E173" i="14" s="1"/>
  <c r="F173" i="14" s="1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M172" i="14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E172" i="14"/>
  <c r="F172" i="14" s="1"/>
  <c r="G172" i="14" s="1"/>
  <c r="H172" i="14" s="1"/>
  <c r="I172" i="14" s="1"/>
  <c r="J172" i="14" s="1"/>
  <c r="K172" i="14" s="1"/>
  <c r="L172" i="14" s="1"/>
  <c r="C172" i="14"/>
  <c r="D172" i="14" s="1"/>
  <c r="W171" i="14"/>
  <c r="X171" i="14" s="1"/>
  <c r="Y171" i="14" s="1"/>
  <c r="Z171" i="14" s="1"/>
  <c r="AA171" i="14" s="1"/>
  <c r="AB171" i="14" s="1"/>
  <c r="AC171" i="14" s="1"/>
  <c r="AD171" i="14" s="1"/>
  <c r="AE171" i="14" s="1"/>
  <c r="AF171" i="14" s="1"/>
  <c r="G171" i="14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C171" i="14"/>
  <c r="D171" i="14" s="1"/>
  <c r="E171" i="14" s="1"/>
  <c r="F171" i="14" s="1"/>
  <c r="E170" i="14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D170" i="14"/>
  <c r="C170" i="14"/>
  <c r="C169" i="14"/>
  <c r="D169" i="14" s="1"/>
  <c r="E169" i="14" s="1"/>
  <c r="F169" i="14" s="1"/>
  <c r="G169" i="14" s="1"/>
  <c r="H169" i="14" s="1"/>
  <c r="I169" i="14" s="1"/>
  <c r="J169" i="14" s="1"/>
  <c r="K169" i="14" s="1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K168" i="14"/>
  <c r="L168" i="14" s="1"/>
  <c r="M168" i="14" s="1"/>
  <c r="N168" i="14" s="1"/>
  <c r="O168" i="14" s="1"/>
  <c r="P168" i="14" s="1"/>
  <c r="Q168" i="14" s="1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C168" i="14"/>
  <c r="D168" i="14" s="1"/>
  <c r="E168" i="14" s="1"/>
  <c r="F168" i="14" s="1"/>
  <c r="G168" i="14" s="1"/>
  <c r="H168" i="14" s="1"/>
  <c r="I168" i="14" s="1"/>
  <c r="J168" i="14" s="1"/>
  <c r="Y167" i="14"/>
  <c r="Z167" i="14" s="1"/>
  <c r="AA167" i="14" s="1"/>
  <c r="AB167" i="14" s="1"/>
  <c r="AC167" i="14" s="1"/>
  <c r="AD167" i="14" s="1"/>
  <c r="AE167" i="14" s="1"/>
  <c r="AF167" i="14" s="1"/>
  <c r="G167" i="14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C167" i="14"/>
  <c r="D167" i="14" s="1"/>
  <c r="E167" i="14" s="1"/>
  <c r="F167" i="14" s="1"/>
  <c r="Q165" i="14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E165" i="14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D165" i="14"/>
  <c r="C165" i="14"/>
  <c r="M164" i="14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C164" i="14"/>
  <c r="D164" i="14" s="1"/>
  <c r="E164" i="14" s="1"/>
  <c r="F164" i="14" s="1"/>
  <c r="G164" i="14" s="1"/>
  <c r="H164" i="14" s="1"/>
  <c r="I164" i="14" s="1"/>
  <c r="J164" i="14" s="1"/>
  <c r="K164" i="14" s="1"/>
  <c r="L164" i="14" s="1"/>
  <c r="D163" i="14"/>
  <c r="E163" i="14" s="1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C163" i="14"/>
  <c r="N162" i="14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C162" i="14"/>
  <c r="D161" i="14"/>
  <c r="E161" i="14" s="1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C161" i="14"/>
  <c r="R160" i="14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C160" i="14"/>
  <c r="D160" i="14" s="1"/>
  <c r="E160" i="14" s="1"/>
  <c r="F160" i="14" s="1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F159" i="14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C159" i="14"/>
  <c r="D159" i="14" s="1"/>
  <c r="E159" i="14" s="1"/>
  <c r="F158" i="14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D158" i="14"/>
  <c r="E158" i="14" s="1"/>
  <c r="C158" i="14"/>
  <c r="J157" i="14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D157" i="14"/>
  <c r="E157" i="14" s="1"/>
  <c r="F157" i="14" s="1"/>
  <c r="G157" i="14" s="1"/>
  <c r="H157" i="14" s="1"/>
  <c r="I157" i="14" s="1"/>
  <c r="C157" i="14"/>
  <c r="J156" i="14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C156" i="14"/>
  <c r="D156" i="14" s="1"/>
  <c r="E156" i="14" s="1"/>
  <c r="F156" i="14" s="1"/>
  <c r="G156" i="14" s="1"/>
  <c r="H156" i="14" s="1"/>
  <c r="I156" i="14" s="1"/>
  <c r="F155" i="14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C155" i="14"/>
  <c r="D155" i="14" s="1"/>
  <c r="E155" i="14" s="1"/>
  <c r="F154" i="14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D154" i="14"/>
  <c r="E154" i="14" s="1"/>
  <c r="C154" i="14"/>
  <c r="D153" i="14"/>
  <c r="E153" i="14" s="1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C153" i="14"/>
  <c r="X151" i="14"/>
  <c r="Y151" i="14" s="1"/>
  <c r="Z151" i="14" s="1"/>
  <c r="AA151" i="14" s="1"/>
  <c r="AB151" i="14" s="1"/>
  <c r="AC151" i="14" s="1"/>
  <c r="AD151" i="14" s="1"/>
  <c r="AE151" i="14" s="1"/>
  <c r="AF151" i="14" s="1"/>
  <c r="C151" i="14"/>
  <c r="D151" i="14" s="1"/>
  <c r="E151" i="14" s="1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C150" i="14"/>
  <c r="D150" i="14" s="1"/>
  <c r="E150" i="14" s="1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F149" i="14"/>
  <c r="G149" i="14" s="1"/>
  <c r="H149" i="14" s="1"/>
  <c r="I149" i="14" s="1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D149" i="14"/>
  <c r="E149" i="14" s="1"/>
  <c r="C149" i="14"/>
  <c r="D148" i="14"/>
  <c r="E148" i="14" s="1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C148" i="14"/>
  <c r="D146" i="14"/>
  <c r="E146" i="14" s="1"/>
  <c r="F146" i="14" s="1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C146" i="14"/>
  <c r="F145" i="14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C145" i="14"/>
  <c r="D145" i="14" s="1"/>
  <c r="E145" i="14" s="1"/>
  <c r="D143" i="14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C143" i="14"/>
  <c r="G142" i="14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E142" i="14"/>
  <c r="F142" i="14" s="1"/>
  <c r="D142" i="14"/>
  <c r="C142" i="14"/>
  <c r="C141" i="14"/>
  <c r="D141" i="14" s="1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C140" i="14"/>
  <c r="D140" i="14" s="1"/>
  <c r="E140" i="14" s="1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F139" i="14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C139" i="14"/>
  <c r="D139" i="14" s="1"/>
  <c r="E139" i="14" s="1"/>
  <c r="F138" i="14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D138" i="14"/>
  <c r="E138" i="14" s="1"/>
  <c r="C138" i="14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C137" i="14"/>
  <c r="H135" i="14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E135" i="14"/>
  <c r="F135" i="14" s="1"/>
  <c r="G135" i="14" s="1"/>
  <c r="C135" i="14"/>
  <c r="D135" i="14" s="1"/>
  <c r="C134" i="14"/>
  <c r="D134" i="14" s="1"/>
  <c r="E134" i="14" s="1"/>
  <c r="F134" i="14" s="1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L133" i="14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D133" i="14"/>
  <c r="E133" i="14" s="1"/>
  <c r="F133" i="14" s="1"/>
  <c r="G133" i="14" s="1"/>
  <c r="H133" i="14" s="1"/>
  <c r="I133" i="14" s="1"/>
  <c r="J133" i="14" s="1"/>
  <c r="K133" i="14" s="1"/>
  <c r="C133" i="14"/>
  <c r="D132" i="14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C132" i="14"/>
  <c r="D131" i="14"/>
  <c r="E131" i="14" s="1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C131" i="14"/>
  <c r="X130" i="14"/>
  <c r="Y130" i="14" s="1"/>
  <c r="Z130" i="14" s="1"/>
  <c r="AA130" i="14" s="1"/>
  <c r="AB130" i="14" s="1"/>
  <c r="AC130" i="14" s="1"/>
  <c r="AD130" i="14" s="1"/>
  <c r="AE130" i="14" s="1"/>
  <c r="AF130" i="14" s="1"/>
  <c r="H130" i="14"/>
  <c r="I130" i="14" s="1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C130" i="14"/>
  <c r="D130" i="14" s="1"/>
  <c r="E130" i="14" s="1"/>
  <c r="F130" i="14" s="1"/>
  <c r="G130" i="14" s="1"/>
  <c r="F129" i="14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C129" i="14"/>
  <c r="D129" i="14" s="1"/>
  <c r="E129" i="14" s="1"/>
  <c r="F128" i="14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D128" i="14"/>
  <c r="E128" i="14" s="1"/>
  <c r="C128" i="14"/>
  <c r="E126" i="14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D126" i="14"/>
  <c r="C126" i="14"/>
  <c r="D125" i="14"/>
  <c r="E125" i="14" s="1"/>
  <c r="F125" i="14" s="1"/>
  <c r="G125" i="14" s="1"/>
  <c r="H125" i="14" s="1"/>
  <c r="I125" i="14" s="1"/>
  <c r="J125" i="14" s="1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C125" i="14"/>
  <c r="C124" i="14"/>
  <c r="D124" i="14" s="1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C123" i="14"/>
  <c r="D123" i="14" s="1"/>
  <c r="E123" i="14" s="1"/>
  <c r="F123" i="14" s="1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E122" i="14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D122" i="14"/>
  <c r="C122" i="14"/>
  <c r="C121" i="14"/>
  <c r="D121" i="14" s="1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D120" i="14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C120" i="14"/>
  <c r="D119" i="14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C119" i="14"/>
  <c r="L118" i="14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D118" i="14"/>
  <c r="E118" i="14" s="1"/>
  <c r="F118" i="14" s="1"/>
  <c r="G118" i="14" s="1"/>
  <c r="H118" i="14" s="1"/>
  <c r="I118" i="14" s="1"/>
  <c r="J118" i="14" s="1"/>
  <c r="K118" i="14" s="1"/>
  <c r="C118" i="14"/>
  <c r="C117" i="14"/>
  <c r="D117" i="14" s="1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I116" i="14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F116" i="14"/>
  <c r="G116" i="14" s="1"/>
  <c r="H116" i="14" s="1"/>
  <c r="D116" i="14"/>
  <c r="E116" i="14" s="1"/>
  <c r="C116" i="14"/>
  <c r="F115" i="14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D115" i="14"/>
  <c r="E115" i="14" s="1"/>
  <c r="C115" i="14"/>
  <c r="E114" i="14"/>
  <c r="F114" i="14" s="1"/>
  <c r="G114" i="14" s="1"/>
  <c r="H114" i="14" s="1"/>
  <c r="I114" i="14" s="1"/>
  <c r="J114" i="14" s="1"/>
  <c r="K114" i="14" s="1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D114" i="14"/>
  <c r="C114" i="14"/>
  <c r="J113" i="14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F113" i="14"/>
  <c r="G113" i="14" s="1"/>
  <c r="H113" i="14" s="1"/>
  <c r="I113" i="14" s="1"/>
  <c r="C113" i="14"/>
  <c r="D113" i="14" s="1"/>
  <c r="E113" i="14" s="1"/>
  <c r="D112" i="14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C112" i="14"/>
  <c r="J111" i="14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C111" i="14"/>
  <c r="D111" i="14" s="1"/>
  <c r="E111" i="14" s="1"/>
  <c r="F111" i="14" s="1"/>
  <c r="G111" i="14" s="1"/>
  <c r="H111" i="14" s="1"/>
  <c r="C110" i="14"/>
  <c r="D110" i="14" s="1"/>
  <c r="E110" i="14" s="1"/>
  <c r="F110" i="14" s="1"/>
  <c r="G110" i="14" s="1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G109" i="14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C109" i="14"/>
  <c r="D109" i="14" s="1"/>
  <c r="E109" i="14" s="1"/>
  <c r="F109" i="14" s="1"/>
  <c r="E107" i="14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C107" i="14"/>
  <c r="D107" i="14" s="1"/>
  <c r="D106" i="14"/>
  <c r="E106" i="14" s="1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C106" i="14"/>
  <c r="C91" i="14" s="1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C104" i="14"/>
  <c r="C103" i="14"/>
  <c r="D103" i="14" s="1"/>
  <c r="E103" i="14" s="1"/>
  <c r="F103" i="14" s="1"/>
  <c r="G103" i="14" s="1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C102" i="14"/>
  <c r="D102" i="14" s="1"/>
  <c r="E102" i="14" s="1"/>
  <c r="F102" i="14" s="1"/>
  <c r="G102" i="14" s="1"/>
  <c r="H102" i="14" s="1"/>
  <c r="I102" i="14" s="1"/>
  <c r="J102" i="14" s="1"/>
  <c r="K102" i="14" s="1"/>
  <c r="L102" i="14" s="1"/>
  <c r="M102" i="14" s="1"/>
  <c r="N102" i="14" s="1"/>
  <c r="O102" i="14" s="1"/>
  <c r="P102" i="14" s="1"/>
  <c r="Q102" i="14" s="1"/>
  <c r="R102" i="14" s="1"/>
  <c r="S102" i="14" s="1"/>
  <c r="T102" i="14" s="1"/>
  <c r="U102" i="14" s="1"/>
  <c r="V102" i="14" s="1"/>
  <c r="W102" i="14" s="1"/>
  <c r="X102" i="14" s="1"/>
  <c r="Y102" i="14" s="1"/>
  <c r="Z102" i="14" s="1"/>
  <c r="AA102" i="14" s="1"/>
  <c r="AB102" i="14" s="1"/>
  <c r="AC102" i="14" s="1"/>
  <c r="AD102" i="14" s="1"/>
  <c r="AE102" i="14" s="1"/>
  <c r="AF102" i="14" s="1"/>
  <c r="C101" i="14"/>
  <c r="D101" i="14" s="1"/>
  <c r="E101" i="14" s="1"/>
  <c r="F101" i="14" s="1"/>
  <c r="G101" i="14" s="1"/>
  <c r="H101" i="14" s="1"/>
  <c r="I101" i="14" s="1"/>
  <c r="J101" i="14" s="1"/>
  <c r="K101" i="14" s="1"/>
  <c r="L101" i="14" s="1"/>
  <c r="M101" i="14" s="1"/>
  <c r="N101" i="14" s="1"/>
  <c r="O101" i="14" s="1"/>
  <c r="P101" i="14" s="1"/>
  <c r="Q101" i="14" s="1"/>
  <c r="R101" i="14" s="1"/>
  <c r="S101" i="14" s="1"/>
  <c r="T101" i="14" s="1"/>
  <c r="U101" i="14" s="1"/>
  <c r="V101" i="14" s="1"/>
  <c r="W101" i="14" s="1"/>
  <c r="X101" i="14" s="1"/>
  <c r="Y101" i="14" s="1"/>
  <c r="Z101" i="14" s="1"/>
  <c r="AA101" i="14" s="1"/>
  <c r="AB101" i="14" s="1"/>
  <c r="AC101" i="14" s="1"/>
  <c r="AD101" i="14" s="1"/>
  <c r="AE101" i="14" s="1"/>
  <c r="AF101" i="14" s="1"/>
  <c r="C100" i="14"/>
  <c r="D100" i="14" s="1"/>
  <c r="D99" i="14"/>
  <c r="C99" i="14"/>
  <c r="AH96" i="14"/>
  <c r="AI96" i="14" s="1"/>
  <c r="AH95" i="14"/>
  <c r="AI95" i="14" s="1"/>
  <c r="AH94" i="14"/>
  <c r="AI94" i="14" s="1"/>
  <c r="AH93" i="14"/>
  <c r="AI93" i="14" s="1"/>
  <c r="AH92" i="14"/>
  <c r="AI92" i="14" s="1"/>
  <c r="B91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G80" i="14"/>
  <c r="AI79" i="14"/>
  <c r="AH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F77" i="14"/>
  <c r="AE77" i="14"/>
  <c r="AD77" i="14"/>
  <c r="AC77" i="14"/>
  <c r="AB77" i="14"/>
  <c r="AA77" i="14"/>
  <c r="Z77" i="14"/>
  <c r="Y77" i="14"/>
  <c r="X77" i="14"/>
  <c r="W77" i="14"/>
  <c r="V77" i="14"/>
  <c r="V80" i="14" s="1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F74" i="14"/>
  <c r="AE74" i="14"/>
  <c r="AE80" i="14" s="1"/>
  <c r="AD74" i="14"/>
  <c r="AC74" i="14"/>
  <c r="AC80" i="14" s="1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I72" i="14"/>
  <c r="AH72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I69" i="14"/>
  <c r="AH69" i="14"/>
  <c r="AI68" i="14"/>
  <c r="AH68" i="14"/>
  <c r="AI67" i="14"/>
  <c r="AH67" i="14"/>
  <c r="AG66" i="14"/>
  <c r="AF66" i="14"/>
  <c r="AF5" i="14" s="1"/>
  <c r="AE66" i="14"/>
  <c r="AE5" i="14" s="1"/>
  <c r="AD66" i="14"/>
  <c r="AD5" i="14" s="1"/>
  <c r="AC66" i="14"/>
  <c r="AB66" i="14"/>
  <c r="AB5" i="14" s="1"/>
  <c r="AA66" i="14"/>
  <c r="AA5" i="14" s="1"/>
  <c r="Z66" i="14"/>
  <c r="Y66" i="14"/>
  <c r="Y5" i="14" s="1"/>
  <c r="X66" i="14"/>
  <c r="W66" i="14"/>
  <c r="V66" i="14"/>
  <c r="V5" i="14" s="1"/>
  <c r="U66" i="14"/>
  <c r="T66" i="14"/>
  <c r="S66" i="14"/>
  <c r="S5" i="14" s="1"/>
  <c r="R66" i="14"/>
  <c r="R5" i="14" s="1"/>
  <c r="Q66" i="14"/>
  <c r="Q5" i="14" s="1"/>
  <c r="P66" i="14"/>
  <c r="O66" i="14"/>
  <c r="N66" i="14"/>
  <c r="M66" i="14"/>
  <c r="L66" i="14"/>
  <c r="K66" i="14"/>
  <c r="J66" i="14"/>
  <c r="J5" i="14" s="1"/>
  <c r="I66" i="14"/>
  <c r="I5" i="14" s="1"/>
  <c r="H66" i="14"/>
  <c r="G66" i="14"/>
  <c r="G5" i="14" s="1"/>
  <c r="F66" i="14"/>
  <c r="F5" i="14" s="1"/>
  <c r="E66" i="14"/>
  <c r="D66" i="14"/>
  <c r="C66" i="14"/>
  <c r="C5" i="14" s="1"/>
  <c r="B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G54" i="14"/>
  <c r="F54" i="14"/>
  <c r="E54" i="14"/>
  <c r="D54" i="14"/>
  <c r="C54" i="14"/>
  <c r="B54" i="14"/>
  <c r="AI53" i="14"/>
  <c r="AH53" i="14"/>
  <c r="AI52" i="14"/>
  <c r="AH52" i="14"/>
  <c r="AI51" i="14"/>
  <c r="AH51" i="14"/>
  <c r="Y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G49" i="14"/>
  <c r="AG50" i="14" s="1"/>
  <c r="AG3" i="14" s="1"/>
  <c r="AG6" i="14" s="1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K71" i="14" s="1"/>
  <c r="J36" i="14"/>
  <c r="I36" i="14"/>
  <c r="H36" i="14"/>
  <c r="G36" i="14"/>
  <c r="F36" i="14"/>
  <c r="E36" i="14"/>
  <c r="D36" i="14"/>
  <c r="C36" i="14"/>
  <c r="B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Z5" i="14"/>
  <c r="X5" i="14"/>
  <c r="W5" i="14"/>
  <c r="P5" i="14"/>
  <c r="O5" i="14"/>
  <c r="N5" i="14"/>
  <c r="K5" i="14"/>
  <c r="H5" i="14"/>
  <c r="AG4" i="14"/>
  <c r="K4" i="14"/>
  <c r="B4" i="14"/>
  <c r="AG2" i="14"/>
  <c r="AF35" i="13"/>
  <c r="AE35" i="13"/>
  <c r="AD35" i="13"/>
  <c r="AC35" i="13"/>
  <c r="AB35" i="13"/>
  <c r="AA35" i="13"/>
  <c r="E4" i="14"/>
  <c r="O189" i="15" l="1"/>
  <c r="P99" i="15"/>
  <c r="Q100" i="15"/>
  <c r="O232" i="15"/>
  <c r="P196" i="15"/>
  <c r="O197" i="15"/>
  <c r="P191" i="15"/>
  <c r="AD80" i="14"/>
  <c r="AB80" i="14"/>
  <c r="W80" i="14"/>
  <c r="U80" i="14"/>
  <c r="T80" i="14"/>
  <c r="S71" i="14"/>
  <c r="R71" i="14"/>
  <c r="O80" i="14"/>
  <c r="O73" i="14"/>
  <c r="AG211" i="14" s="1"/>
  <c r="AI76" i="14"/>
  <c r="N80" i="14"/>
  <c r="N73" i="14"/>
  <c r="N7" i="14" s="1"/>
  <c r="M80" i="14"/>
  <c r="L80" i="14"/>
  <c r="J71" i="14"/>
  <c r="G80" i="14"/>
  <c r="G73" i="14"/>
  <c r="G7" i="14" s="1"/>
  <c r="F80" i="14"/>
  <c r="F73" i="14"/>
  <c r="F7" i="14" s="1"/>
  <c r="E80" i="14"/>
  <c r="AI77" i="14"/>
  <c r="D80" i="14"/>
  <c r="AI54" i="14"/>
  <c r="AI66" i="14"/>
  <c r="AI75" i="14"/>
  <c r="AH78" i="14"/>
  <c r="B5" i="14"/>
  <c r="AH77" i="14"/>
  <c r="AI36" i="14"/>
  <c r="H4" i="14"/>
  <c r="AF211" i="14"/>
  <c r="D73" i="14"/>
  <c r="L73" i="14"/>
  <c r="H80" i="14"/>
  <c r="P80" i="14"/>
  <c r="X80" i="14"/>
  <c r="AF80" i="14"/>
  <c r="I80" i="14"/>
  <c r="Q80" i="14"/>
  <c r="Y80" i="14"/>
  <c r="AH76" i="14"/>
  <c r="S73" i="14"/>
  <c r="E73" i="14"/>
  <c r="R80" i="14"/>
  <c r="AH75" i="14"/>
  <c r="D71" i="14"/>
  <c r="B80" i="14"/>
  <c r="J80" i="14"/>
  <c r="T5" i="14"/>
  <c r="E5" i="14"/>
  <c r="E71" i="14"/>
  <c r="M5" i="14"/>
  <c r="M71" i="14"/>
  <c r="U5" i="14"/>
  <c r="AC5" i="14"/>
  <c r="C80" i="14"/>
  <c r="K80" i="14"/>
  <c r="S80" i="14"/>
  <c r="AA80" i="14"/>
  <c r="D91" i="14"/>
  <c r="E100" i="14"/>
  <c r="C73" i="14"/>
  <c r="AI78" i="14"/>
  <c r="L71" i="14"/>
  <c r="Z80" i="14"/>
  <c r="L5" i="14"/>
  <c r="F71" i="14"/>
  <c r="N71" i="14"/>
  <c r="N81" i="14" s="1"/>
  <c r="D5" i="14"/>
  <c r="I73" i="14"/>
  <c r="I71" i="14"/>
  <c r="Q73" i="14"/>
  <c r="Q71" i="14"/>
  <c r="Y73" i="14"/>
  <c r="Y71" i="14"/>
  <c r="G71" i="14"/>
  <c r="O71" i="14"/>
  <c r="AG73" i="14"/>
  <c r="AG71" i="14"/>
  <c r="AG81" i="14" s="1"/>
  <c r="K73" i="14"/>
  <c r="C71" i="14"/>
  <c r="M73" i="14"/>
  <c r="AH36" i="14"/>
  <c r="H71" i="14"/>
  <c r="P71" i="14"/>
  <c r="J73" i="14"/>
  <c r="R73" i="14"/>
  <c r="B71" i="14"/>
  <c r="AH54" i="14"/>
  <c r="AH66" i="14"/>
  <c r="AH70" i="14"/>
  <c r="AI74" i="14"/>
  <c r="AI70" i="14"/>
  <c r="H73" i="14"/>
  <c r="P73" i="14"/>
  <c r="C189" i="14"/>
  <c r="D189" i="14"/>
  <c r="E99" i="14"/>
  <c r="S208" i="14"/>
  <c r="D208" i="14"/>
  <c r="AH74" i="14"/>
  <c r="D232" i="14"/>
  <c r="E196" i="14"/>
  <c r="D191" i="14"/>
  <c r="T35" i="13"/>
  <c r="O81" i="14" l="1"/>
  <c r="O7" i="14"/>
  <c r="P197" i="15"/>
  <c r="Q191" i="15"/>
  <c r="Q196" i="15"/>
  <c r="P232" i="15"/>
  <c r="P91" i="15"/>
  <c r="Q91" i="15"/>
  <c r="R100" i="15"/>
  <c r="P189" i="15"/>
  <c r="Q99" i="15"/>
  <c r="Y81" i="14"/>
  <c r="R81" i="14"/>
  <c r="P81" i="14"/>
  <c r="M81" i="14"/>
  <c r="G81" i="14"/>
  <c r="X211" i="14"/>
  <c r="J81" i="14"/>
  <c r="C206" i="14"/>
  <c r="B206" i="14"/>
  <c r="H81" i="14"/>
  <c r="Y211" i="14"/>
  <c r="F81" i="14"/>
  <c r="E81" i="14"/>
  <c r="D81" i="14"/>
  <c r="C81" i="14"/>
  <c r="AD211" i="14"/>
  <c r="L7" i="14"/>
  <c r="AH211" i="14"/>
  <c r="P7" i="14"/>
  <c r="W211" i="14"/>
  <c r="E7" i="14"/>
  <c r="E232" i="14"/>
  <c r="F196" i="14"/>
  <c r="Q81" i="14"/>
  <c r="L81" i="14"/>
  <c r="AC211" i="14"/>
  <c r="K7" i="14"/>
  <c r="Z211" i="14"/>
  <c r="H7" i="14"/>
  <c r="AQ211" i="14"/>
  <c r="Y7" i="14"/>
  <c r="B73" i="14"/>
  <c r="AI211" i="14"/>
  <c r="Q7" i="14"/>
  <c r="AK211" i="14"/>
  <c r="S7" i="14"/>
  <c r="K81" i="14"/>
  <c r="V211" i="14"/>
  <c r="D7" i="14"/>
  <c r="E189" i="14"/>
  <c r="F99" i="14"/>
  <c r="AJ211" i="14"/>
  <c r="R7" i="14"/>
  <c r="AE211" i="14"/>
  <c r="M7" i="14"/>
  <c r="I81" i="14"/>
  <c r="AH80" i="14"/>
  <c r="AI80" i="14"/>
  <c r="S81" i="14"/>
  <c r="U211" i="14"/>
  <c r="C7" i="14"/>
  <c r="F100" i="14"/>
  <c r="D197" i="14"/>
  <c r="E191" i="14"/>
  <c r="AB211" i="14"/>
  <c r="J7" i="14"/>
  <c r="AA211" i="14"/>
  <c r="I7" i="14"/>
  <c r="R35" i="13"/>
  <c r="Q35" i="13"/>
  <c r="P35" i="13"/>
  <c r="O35" i="13"/>
  <c r="N93" i="13"/>
  <c r="M35" i="13"/>
  <c r="L35" i="13"/>
  <c r="N35" i="13"/>
  <c r="S100" i="15" l="1"/>
  <c r="R196" i="15"/>
  <c r="Q232" i="15"/>
  <c r="Q197" i="15"/>
  <c r="R191" i="15"/>
  <c r="Q189" i="15"/>
  <c r="R99" i="15"/>
  <c r="K6" i="14"/>
  <c r="F189" i="14"/>
  <c r="G99" i="14"/>
  <c r="T211" i="14"/>
  <c r="B7" i="14"/>
  <c r="B81" i="14"/>
  <c r="F191" i="14"/>
  <c r="E197" i="14"/>
  <c r="G100" i="14"/>
  <c r="E91" i="14"/>
  <c r="F232" i="14"/>
  <c r="G196" i="14"/>
  <c r="I36" i="13"/>
  <c r="E54" i="13"/>
  <c r="AH97" i="13"/>
  <c r="AI97" i="13" s="1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B232" i="13"/>
  <c r="S207" i="13"/>
  <c r="AG197" i="13"/>
  <c r="B197" i="13"/>
  <c r="C196" i="13"/>
  <c r="C232" i="13" s="1"/>
  <c r="C195" i="13"/>
  <c r="D195" i="13" s="1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C194" i="13"/>
  <c r="D194" i="13" s="1"/>
  <c r="E194" i="13" s="1"/>
  <c r="F194" i="13" s="1"/>
  <c r="G194" i="13" s="1"/>
  <c r="H194" i="13" s="1"/>
  <c r="I194" i="13" s="1"/>
  <c r="J194" i="13" s="1"/>
  <c r="K194" i="13" s="1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C193" i="13"/>
  <c r="D193" i="13" s="1"/>
  <c r="E193" i="13" s="1"/>
  <c r="F193" i="13" s="1"/>
  <c r="G193" i="13" s="1"/>
  <c r="H193" i="13" s="1"/>
  <c r="I193" i="13" s="1"/>
  <c r="J193" i="13" s="1"/>
  <c r="K193" i="13" s="1"/>
  <c r="L193" i="13" s="1"/>
  <c r="M193" i="13" s="1"/>
  <c r="N193" i="13" s="1"/>
  <c r="O193" i="13" s="1"/>
  <c r="P193" i="13" s="1"/>
  <c r="Q193" i="13" s="1"/>
  <c r="R193" i="13" s="1"/>
  <c r="S193" i="13" s="1"/>
  <c r="T193" i="13" s="1"/>
  <c r="U193" i="13" s="1"/>
  <c r="V193" i="13" s="1"/>
  <c r="W193" i="13" s="1"/>
  <c r="X193" i="13" s="1"/>
  <c r="Y193" i="13" s="1"/>
  <c r="Z193" i="13" s="1"/>
  <c r="AA193" i="13" s="1"/>
  <c r="AB193" i="13" s="1"/>
  <c r="AC193" i="13" s="1"/>
  <c r="AD193" i="13" s="1"/>
  <c r="AE193" i="13" s="1"/>
  <c r="AF193" i="13" s="1"/>
  <c r="C192" i="13"/>
  <c r="D192" i="13" s="1"/>
  <c r="E192" i="13" s="1"/>
  <c r="F192" i="13" s="1"/>
  <c r="G192" i="13" s="1"/>
  <c r="H192" i="13" s="1"/>
  <c r="I192" i="13" s="1"/>
  <c r="J192" i="13" s="1"/>
  <c r="K192" i="13" s="1"/>
  <c r="L192" i="13" s="1"/>
  <c r="M192" i="13" s="1"/>
  <c r="N192" i="13" s="1"/>
  <c r="O192" i="13" s="1"/>
  <c r="P192" i="13" s="1"/>
  <c r="Q192" i="13" s="1"/>
  <c r="R192" i="13" s="1"/>
  <c r="S192" i="13" s="1"/>
  <c r="T192" i="13" s="1"/>
  <c r="U192" i="13" s="1"/>
  <c r="V192" i="13" s="1"/>
  <c r="W192" i="13" s="1"/>
  <c r="X192" i="13" s="1"/>
  <c r="Y192" i="13" s="1"/>
  <c r="Z192" i="13" s="1"/>
  <c r="AA192" i="13" s="1"/>
  <c r="AB192" i="13" s="1"/>
  <c r="AC192" i="13" s="1"/>
  <c r="AD192" i="13" s="1"/>
  <c r="AE192" i="13" s="1"/>
  <c r="AF192" i="13" s="1"/>
  <c r="C191" i="13"/>
  <c r="AG189" i="13"/>
  <c r="B189" i="13"/>
  <c r="C188" i="13"/>
  <c r="D188" i="13" s="1"/>
  <c r="E188" i="13" s="1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AC187" i="13"/>
  <c r="AD187" i="13" s="1"/>
  <c r="AE187" i="13" s="1"/>
  <c r="AF187" i="13" s="1"/>
  <c r="C187" i="13"/>
  <c r="D187" i="13" s="1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C186" i="13"/>
  <c r="D186" i="13" s="1"/>
  <c r="E186" i="13" s="1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I185" i="13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C185" i="13"/>
  <c r="D185" i="13" s="1"/>
  <c r="E185" i="13" s="1"/>
  <c r="F185" i="13" s="1"/>
  <c r="G185" i="13" s="1"/>
  <c r="H185" i="13" s="1"/>
  <c r="C184" i="13"/>
  <c r="D184" i="13" s="1"/>
  <c r="E184" i="13" s="1"/>
  <c r="F184" i="13" s="1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O183" i="13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C183" i="13"/>
  <c r="D183" i="13" s="1"/>
  <c r="E183" i="13" s="1"/>
  <c r="F183" i="13" s="1"/>
  <c r="G183" i="13" s="1"/>
  <c r="H183" i="13" s="1"/>
  <c r="I183" i="13" s="1"/>
  <c r="J183" i="13" s="1"/>
  <c r="K183" i="13" s="1"/>
  <c r="L183" i="13" s="1"/>
  <c r="M183" i="13" s="1"/>
  <c r="N183" i="13" s="1"/>
  <c r="C182" i="13"/>
  <c r="D182" i="13" s="1"/>
  <c r="E182" i="13" s="1"/>
  <c r="F182" i="13" s="1"/>
  <c r="G182" i="13" s="1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C181" i="13"/>
  <c r="D181" i="13" s="1"/>
  <c r="E181" i="13" s="1"/>
  <c r="F181" i="13" s="1"/>
  <c r="G181" i="13" s="1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C180" i="13"/>
  <c r="D180" i="13" s="1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C179" i="13"/>
  <c r="D179" i="13" s="1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D178" i="13"/>
  <c r="E178" i="13" s="1"/>
  <c r="F178" i="13" s="1"/>
  <c r="G178" i="13" s="1"/>
  <c r="H178" i="13" s="1"/>
  <c r="I178" i="13" s="1"/>
  <c r="J178" i="13" s="1"/>
  <c r="K178" i="13" s="1"/>
  <c r="L178" i="13" s="1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C178" i="13"/>
  <c r="C177" i="13"/>
  <c r="D177" i="13" s="1"/>
  <c r="E177" i="13" s="1"/>
  <c r="F177" i="13" s="1"/>
  <c r="G177" i="13" s="1"/>
  <c r="H177" i="13" s="1"/>
  <c r="I177" i="13" s="1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C176" i="13"/>
  <c r="D176" i="13" s="1"/>
  <c r="E176" i="13" s="1"/>
  <c r="F176" i="13" s="1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C174" i="13"/>
  <c r="D174" i="13" s="1"/>
  <c r="E174" i="13" s="1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C173" i="13"/>
  <c r="D173" i="13" s="1"/>
  <c r="E173" i="13" s="1"/>
  <c r="F173" i="13" s="1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D172" i="13"/>
  <c r="E172" i="13" s="1"/>
  <c r="F172" i="13" s="1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C172" i="13"/>
  <c r="C171" i="13"/>
  <c r="D171" i="13" s="1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C170" i="13"/>
  <c r="D170" i="13" s="1"/>
  <c r="E170" i="13" s="1"/>
  <c r="F170" i="13" s="1"/>
  <c r="G170" i="13" s="1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C169" i="13"/>
  <c r="D169" i="13" s="1"/>
  <c r="E169" i="13" s="1"/>
  <c r="F169" i="13" s="1"/>
  <c r="G169" i="13" s="1"/>
  <c r="H169" i="13" s="1"/>
  <c r="I169" i="13" s="1"/>
  <c r="J169" i="13" s="1"/>
  <c r="K169" i="13" s="1"/>
  <c r="L169" i="13" s="1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C168" i="13"/>
  <c r="D168" i="13" s="1"/>
  <c r="E168" i="13" s="1"/>
  <c r="F168" i="13" s="1"/>
  <c r="G168" i="13" s="1"/>
  <c r="H168" i="13" s="1"/>
  <c r="I168" i="13" s="1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U168" i="13" s="1"/>
  <c r="V168" i="13" s="1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C167" i="13"/>
  <c r="D167" i="13" s="1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C165" i="13"/>
  <c r="D165" i="13" s="1"/>
  <c r="E165" i="13" s="1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C164" i="13"/>
  <c r="D164" i="13" s="1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C163" i="13"/>
  <c r="D163" i="13" s="1"/>
  <c r="E163" i="13" s="1"/>
  <c r="F163" i="13" s="1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C162" i="13"/>
  <c r="D162" i="13" s="1"/>
  <c r="E162" i="13" s="1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C161" i="13"/>
  <c r="D161" i="13" s="1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J160" i="13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C160" i="13"/>
  <c r="D160" i="13" s="1"/>
  <c r="E160" i="13" s="1"/>
  <c r="F160" i="13" s="1"/>
  <c r="G160" i="13" s="1"/>
  <c r="H160" i="13" s="1"/>
  <c r="I160" i="13" s="1"/>
  <c r="C159" i="13"/>
  <c r="D159" i="13" s="1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D158" i="13"/>
  <c r="E158" i="13" s="1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C158" i="13"/>
  <c r="C157" i="13"/>
  <c r="D157" i="13" s="1"/>
  <c r="E157" i="13" s="1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C156" i="13"/>
  <c r="D156" i="13" s="1"/>
  <c r="E156" i="13" s="1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C155" i="13"/>
  <c r="D155" i="13" s="1"/>
  <c r="E155" i="13" s="1"/>
  <c r="F155" i="13" s="1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C154" i="13"/>
  <c r="D154" i="13" s="1"/>
  <c r="E154" i="13" s="1"/>
  <c r="F154" i="13" s="1"/>
  <c r="G154" i="13" s="1"/>
  <c r="H154" i="13" s="1"/>
  <c r="I154" i="13" s="1"/>
  <c r="J154" i="13" s="1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C153" i="13"/>
  <c r="D153" i="13" s="1"/>
  <c r="E153" i="13" s="1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D151" i="13"/>
  <c r="E151" i="13" s="1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C151" i="13"/>
  <c r="C150" i="13"/>
  <c r="D150" i="13" s="1"/>
  <c r="E150" i="13" s="1"/>
  <c r="F150" i="13" s="1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R150" i="13" s="1"/>
  <c r="S150" i="13" s="1"/>
  <c r="T150" i="13" s="1"/>
  <c r="U150" i="13" s="1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C149" i="13"/>
  <c r="D149" i="13" s="1"/>
  <c r="E149" i="13" s="1"/>
  <c r="F149" i="13" s="1"/>
  <c r="G149" i="13" s="1"/>
  <c r="H149" i="13" s="1"/>
  <c r="I149" i="13" s="1"/>
  <c r="J149" i="13" s="1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C148" i="13"/>
  <c r="D148" i="13" s="1"/>
  <c r="E148" i="13" s="1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C146" i="13"/>
  <c r="D146" i="13" s="1"/>
  <c r="E146" i="13" s="1"/>
  <c r="F146" i="13" s="1"/>
  <c r="G146" i="13" s="1"/>
  <c r="H146" i="13" s="1"/>
  <c r="I146" i="13" s="1"/>
  <c r="J146" i="13" s="1"/>
  <c r="K146" i="13" s="1"/>
  <c r="L146" i="13" s="1"/>
  <c r="M146" i="13" s="1"/>
  <c r="N146" i="13" s="1"/>
  <c r="O146" i="13" s="1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C145" i="13"/>
  <c r="D145" i="13" s="1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C143" i="13"/>
  <c r="D143" i="13" s="1"/>
  <c r="E143" i="13" s="1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C142" i="13"/>
  <c r="D142" i="13" s="1"/>
  <c r="E142" i="13" s="1"/>
  <c r="F142" i="13" s="1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C141" i="13"/>
  <c r="D141" i="13" s="1"/>
  <c r="E141" i="13" s="1"/>
  <c r="F141" i="13" s="1"/>
  <c r="G141" i="13" s="1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C140" i="13"/>
  <c r="D140" i="13" s="1"/>
  <c r="E140" i="13" s="1"/>
  <c r="F140" i="13" s="1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C139" i="13"/>
  <c r="D139" i="13" s="1"/>
  <c r="E139" i="13" s="1"/>
  <c r="F139" i="13" s="1"/>
  <c r="G139" i="13" s="1"/>
  <c r="H139" i="13" s="1"/>
  <c r="I139" i="13" s="1"/>
  <c r="J139" i="13" s="1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C138" i="13"/>
  <c r="D138" i="13" s="1"/>
  <c r="E138" i="13" s="1"/>
  <c r="F138" i="13" s="1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C137" i="13"/>
  <c r="D137" i="13" s="1"/>
  <c r="E137" i="13" s="1"/>
  <c r="F137" i="13" s="1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C135" i="13"/>
  <c r="D135" i="13" s="1"/>
  <c r="E135" i="13" s="1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C134" i="13"/>
  <c r="D134" i="13" s="1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C133" i="13"/>
  <c r="D133" i="13" s="1"/>
  <c r="E133" i="13" s="1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C132" i="13"/>
  <c r="D132" i="13" s="1"/>
  <c r="E132" i="13" s="1"/>
  <c r="F132" i="13" s="1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C131" i="13"/>
  <c r="D131" i="13" s="1"/>
  <c r="E131" i="13" s="1"/>
  <c r="F131" i="13" s="1"/>
  <c r="G131" i="13" s="1"/>
  <c r="H131" i="13" s="1"/>
  <c r="I131" i="13" s="1"/>
  <c r="J131" i="13" s="1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D130" i="13"/>
  <c r="E130" i="13" s="1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C130" i="13"/>
  <c r="C129" i="13"/>
  <c r="D129" i="13" s="1"/>
  <c r="E129" i="13" s="1"/>
  <c r="F129" i="13" s="1"/>
  <c r="G129" i="13" s="1"/>
  <c r="H129" i="13" s="1"/>
  <c r="I129" i="13" s="1"/>
  <c r="J129" i="13" s="1"/>
  <c r="K129" i="13" s="1"/>
  <c r="L129" i="13" s="1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C128" i="13"/>
  <c r="D128" i="13" s="1"/>
  <c r="E128" i="13" s="1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C126" i="13"/>
  <c r="D126" i="13" s="1"/>
  <c r="E126" i="13" s="1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D125" i="13"/>
  <c r="E125" i="13" s="1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C125" i="13"/>
  <c r="C124" i="13"/>
  <c r="D124" i="13" s="1"/>
  <c r="E124" i="13" s="1"/>
  <c r="F124" i="13" s="1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C123" i="13"/>
  <c r="D123" i="13" s="1"/>
  <c r="E123" i="13" s="1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C122" i="13"/>
  <c r="D122" i="13" s="1"/>
  <c r="E122" i="13" s="1"/>
  <c r="F122" i="13" s="1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C121" i="13"/>
  <c r="D121" i="13" s="1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C120" i="13"/>
  <c r="D120" i="13" s="1"/>
  <c r="E120" i="13" s="1"/>
  <c r="F120" i="13" s="1"/>
  <c r="G120" i="13" s="1"/>
  <c r="H120" i="13" s="1"/>
  <c r="I120" i="13" s="1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C119" i="13"/>
  <c r="D119" i="13" s="1"/>
  <c r="E119" i="13" s="1"/>
  <c r="F119" i="13" s="1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C118" i="13"/>
  <c r="D118" i="13" s="1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C117" i="13"/>
  <c r="D117" i="13" s="1"/>
  <c r="E117" i="13" s="1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C116" i="13"/>
  <c r="D116" i="13" s="1"/>
  <c r="E116" i="13" s="1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D115" i="13"/>
  <c r="E115" i="13" s="1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C115" i="13"/>
  <c r="C114" i="13"/>
  <c r="D114" i="13" s="1"/>
  <c r="E114" i="13" s="1"/>
  <c r="F114" i="13" s="1"/>
  <c r="G114" i="13" s="1"/>
  <c r="H114" i="13" s="1"/>
  <c r="I114" i="13" s="1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D113" i="13"/>
  <c r="E113" i="13" s="1"/>
  <c r="F113" i="13" s="1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C113" i="13"/>
  <c r="C112" i="13"/>
  <c r="D112" i="13" s="1"/>
  <c r="E112" i="13" s="1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J111" i="13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C111" i="13"/>
  <c r="D111" i="13" s="1"/>
  <c r="E111" i="13" s="1"/>
  <c r="F111" i="13" s="1"/>
  <c r="G111" i="13" s="1"/>
  <c r="H111" i="13" s="1"/>
  <c r="C110" i="13"/>
  <c r="D110" i="13" s="1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C109" i="13"/>
  <c r="D109" i="13" s="1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C107" i="13"/>
  <c r="D107" i="13" s="1"/>
  <c r="E107" i="13" s="1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C106" i="13"/>
  <c r="D106" i="13" s="1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C104" i="13"/>
  <c r="D104" i="13" s="1"/>
  <c r="E104" i="13" s="1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C103" i="13"/>
  <c r="D103" i="13" s="1"/>
  <c r="E103" i="13" s="1"/>
  <c r="F103" i="13" s="1"/>
  <c r="G103" i="13" s="1"/>
  <c r="H103" i="13" s="1"/>
  <c r="I103" i="13" s="1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C102" i="13"/>
  <c r="D102" i="13" s="1"/>
  <c r="E102" i="13" s="1"/>
  <c r="F102" i="13" s="1"/>
  <c r="G102" i="13" s="1"/>
  <c r="H102" i="13" s="1"/>
  <c r="I102" i="13" s="1"/>
  <c r="J102" i="13" s="1"/>
  <c r="K102" i="13" s="1"/>
  <c r="L102" i="13" s="1"/>
  <c r="M102" i="13" s="1"/>
  <c r="N102" i="13" s="1"/>
  <c r="O102" i="13" s="1"/>
  <c r="P102" i="13" s="1"/>
  <c r="Q102" i="13" s="1"/>
  <c r="R102" i="13" s="1"/>
  <c r="S102" i="13" s="1"/>
  <c r="T102" i="13" s="1"/>
  <c r="U102" i="13" s="1"/>
  <c r="V102" i="13" s="1"/>
  <c r="W102" i="13" s="1"/>
  <c r="X102" i="13" s="1"/>
  <c r="Y102" i="13" s="1"/>
  <c r="Z102" i="13" s="1"/>
  <c r="AA102" i="13" s="1"/>
  <c r="AB102" i="13" s="1"/>
  <c r="AC102" i="13" s="1"/>
  <c r="AD102" i="13" s="1"/>
  <c r="AE102" i="13" s="1"/>
  <c r="AF102" i="13" s="1"/>
  <c r="C101" i="13"/>
  <c r="D101" i="13" s="1"/>
  <c r="E101" i="13" s="1"/>
  <c r="F101" i="13" s="1"/>
  <c r="G101" i="13" s="1"/>
  <c r="H101" i="13" s="1"/>
  <c r="I101" i="13" s="1"/>
  <c r="J101" i="13" s="1"/>
  <c r="K101" i="13" s="1"/>
  <c r="L101" i="13" s="1"/>
  <c r="M101" i="13" s="1"/>
  <c r="N101" i="13" s="1"/>
  <c r="O101" i="13" s="1"/>
  <c r="P101" i="13" s="1"/>
  <c r="Q101" i="13" s="1"/>
  <c r="R101" i="13" s="1"/>
  <c r="S101" i="13" s="1"/>
  <c r="T101" i="13" s="1"/>
  <c r="U101" i="13" s="1"/>
  <c r="V101" i="13" s="1"/>
  <c r="W101" i="13" s="1"/>
  <c r="X101" i="13" s="1"/>
  <c r="Y101" i="13" s="1"/>
  <c r="Z101" i="13" s="1"/>
  <c r="AA101" i="13" s="1"/>
  <c r="AB101" i="13" s="1"/>
  <c r="AC101" i="13" s="1"/>
  <c r="AD101" i="13" s="1"/>
  <c r="AE101" i="13" s="1"/>
  <c r="AF101" i="13" s="1"/>
  <c r="C100" i="13"/>
  <c r="D100" i="13" s="1"/>
  <c r="D99" i="13"/>
  <c r="C99" i="13"/>
  <c r="AH96" i="13"/>
  <c r="AI96" i="13" s="1"/>
  <c r="AH95" i="13"/>
  <c r="AI95" i="13" s="1"/>
  <c r="AH94" i="13"/>
  <c r="AI94" i="13" s="1"/>
  <c r="AH93" i="13"/>
  <c r="AI93" i="13" s="1"/>
  <c r="AH92" i="13"/>
  <c r="AI92" i="13" s="1"/>
  <c r="B91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G80" i="13"/>
  <c r="AI79" i="13"/>
  <c r="AH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N80" i="13" s="1"/>
  <c r="M74" i="13"/>
  <c r="L74" i="13"/>
  <c r="K74" i="13"/>
  <c r="J74" i="13"/>
  <c r="I74" i="13"/>
  <c r="H74" i="13"/>
  <c r="G74" i="13"/>
  <c r="F74" i="13"/>
  <c r="E74" i="13"/>
  <c r="D74" i="13"/>
  <c r="C74" i="13"/>
  <c r="B74" i="13"/>
  <c r="AI72" i="13"/>
  <c r="AH72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B70" i="13"/>
  <c r="AI69" i="13"/>
  <c r="AH69" i="13"/>
  <c r="AI68" i="13"/>
  <c r="AH68" i="13"/>
  <c r="AI67" i="13"/>
  <c r="AH67" i="13"/>
  <c r="AG66" i="13"/>
  <c r="AF66" i="13"/>
  <c r="AF5" i="13" s="1"/>
  <c r="AE66" i="13"/>
  <c r="AE5" i="13" s="1"/>
  <c r="AD66" i="13"/>
  <c r="AD5" i="13" s="1"/>
  <c r="AC66" i="13"/>
  <c r="AB66" i="13"/>
  <c r="AA66" i="13"/>
  <c r="Z66" i="13"/>
  <c r="Z5" i="13" s="1"/>
  <c r="Y66" i="13"/>
  <c r="Y5" i="13" s="1"/>
  <c r="X66" i="13"/>
  <c r="X5" i="13" s="1"/>
  <c r="W66" i="13"/>
  <c r="V66" i="13"/>
  <c r="U66" i="13"/>
  <c r="T66" i="13"/>
  <c r="T5" i="13" s="1"/>
  <c r="S66" i="13"/>
  <c r="S5" i="13" s="1"/>
  <c r="R66" i="13"/>
  <c r="R5" i="13" s="1"/>
  <c r="Q66" i="13"/>
  <c r="P66" i="13"/>
  <c r="P5" i="13" s="1"/>
  <c r="O66" i="13"/>
  <c r="O5" i="13" s="1"/>
  <c r="N66" i="13"/>
  <c r="N5" i="13" s="1"/>
  <c r="M66" i="13"/>
  <c r="L66" i="13"/>
  <c r="L5" i="13" s="1"/>
  <c r="K66" i="13"/>
  <c r="J66" i="13"/>
  <c r="J5" i="13" s="1"/>
  <c r="I66" i="13"/>
  <c r="H66" i="13"/>
  <c r="H5" i="13" s="1"/>
  <c r="G66" i="13"/>
  <c r="G5" i="13" s="1"/>
  <c r="F66" i="13"/>
  <c r="F5" i="13" s="1"/>
  <c r="E66" i="13"/>
  <c r="E5" i="13" s="1"/>
  <c r="D66" i="13"/>
  <c r="C66" i="13"/>
  <c r="C5" i="13" s="1"/>
  <c r="B66" i="13"/>
  <c r="B5" i="13" s="1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D54" i="13"/>
  <c r="C54" i="13"/>
  <c r="B54" i="13"/>
  <c r="AI53" i="13"/>
  <c r="AH53" i="13"/>
  <c r="AI52" i="13"/>
  <c r="AH52" i="13"/>
  <c r="AI51" i="13"/>
  <c r="AH51" i="13"/>
  <c r="Y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G49" i="13"/>
  <c r="AG50" i="13" s="1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G36" i="13"/>
  <c r="AG2" i="13" s="1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Q73" i="13" s="1"/>
  <c r="AI211" i="13" s="1"/>
  <c r="P36" i="13"/>
  <c r="O36" i="13"/>
  <c r="N36" i="13"/>
  <c r="M36" i="13"/>
  <c r="L36" i="13"/>
  <c r="K36" i="13"/>
  <c r="J36" i="13"/>
  <c r="H36" i="13"/>
  <c r="G36" i="13"/>
  <c r="F36" i="13"/>
  <c r="E36" i="13"/>
  <c r="D36" i="13"/>
  <c r="C36" i="13"/>
  <c r="B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C5" i="13"/>
  <c r="AB5" i="13"/>
  <c r="AA5" i="13"/>
  <c r="W5" i="13"/>
  <c r="V5" i="13"/>
  <c r="U5" i="13"/>
  <c r="Q5" i="13"/>
  <c r="M5" i="13"/>
  <c r="K5" i="13"/>
  <c r="I5" i="13"/>
  <c r="D5" i="13"/>
  <c r="AG4" i="13"/>
  <c r="K4" i="13"/>
  <c r="B4" i="13"/>
  <c r="N93" i="12"/>
  <c r="M93" i="12"/>
  <c r="AH97" i="12"/>
  <c r="AI97" i="12" s="1"/>
  <c r="B49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AF234" i="12"/>
  <c r="AE234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B234" i="12"/>
  <c r="A234" i="12"/>
  <c r="AF233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D233" i="12"/>
  <c r="C233" i="12"/>
  <c r="B233" i="12"/>
  <c r="A233" i="12"/>
  <c r="C232" i="12"/>
  <c r="B232" i="12"/>
  <c r="S207" i="12"/>
  <c r="AG197" i="12"/>
  <c r="B197" i="12"/>
  <c r="E196" i="12"/>
  <c r="E232" i="12" s="1"/>
  <c r="D196" i="12"/>
  <c r="D232" i="12" s="1"/>
  <c r="C196" i="12"/>
  <c r="C195" i="12"/>
  <c r="D195" i="12" s="1"/>
  <c r="E195" i="12" s="1"/>
  <c r="F195" i="12" s="1"/>
  <c r="G195" i="12" s="1"/>
  <c r="H195" i="12" s="1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E194" i="12"/>
  <c r="F194" i="12" s="1"/>
  <c r="G194" i="12" s="1"/>
  <c r="H194" i="12" s="1"/>
  <c r="I194" i="12" s="1"/>
  <c r="J194" i="12" s="1"/>
  <c r="K194" i="12" s="1"/>
  <c r="L194" i="12" s="1"/>
  <c r="M194" i="12" s="1"/>
  <c r="N194" i="12" s="1"/>
  <c r="O194" i="12" s="1"/>
  <c r="P194" i="12" s="1"/>
  <c r="Q194" i="12" s="1"/>
  <c r="R194" i="12" s="1"/>
  <c r="S194" i="12" s="1"/>
  <c r="T194" i="12" s="1"/>
  <c r="U194" i="12" s="1"/>
  <c r="V194" i="12" s="1"/>
  <c r="W194" i="12" s="1"/>
  <c r="X194" i="12" s="1"/>
  <c r="Y194" i="12" s="1"/>
  <c r="Z194" i="12" s="1"/>
  <c r="AA194" i="12" s="1"/>
  <c r="AB194" i="12" s="1"/>
  <c r="AC194" i="12" s="1"/>
  <c r="AD194" i="12" s="1"/>
  <c r="AE194" i="12" s="1"/>
  <c r="AF194" i="12" s="1"/>
  <c r="D194" i="12"/>
  <c r="C194" i="12"/>
  <c r="C193" i="12"/>
  <c r="D193" i="12" s="1"/>
  <c r="E193" i="12" s="1"/>
  <c r="F193" i="12" s="1"/>
  <c r="G193" i="12" s="1"/>
  <c r="H193" i="12" s="1"/>
  <c r="I193" i="12" s="1"/>
  <c r="J193" i="12" s="1"/>
  <c r="K193" i="12" s="1"/>
  <c r="L193" i="12" s="1"/>
  <c r="M193" i="12" s="1"/>
  <c r="N193" i="12" s="1"/>
  <c r="O193" i="12" s="1"/>
  <c r="P193" i="12" s="1"/>
  <c r="Q193" i="12" s="1"/>
  <c r="R193" i="12" s="1"/>
  <c r="S193" i="12" s="1"/>
  <c r="T193" i="12" s="1"/>
  <c r="U193" i="12" s="1"/>
  <c r="V193" i="12" s="1"/>
  <c r="W193" i="12" s="1"/>
  <c r="X193" i="12" s="1"/>
  <c r="Y193" i="12" s="1"/>
  <c r="Z193" i="12" s="1"/>
  <c r="AA193" i="12" s="1"/>
  <c r="AB193" i="12" s="1"/>
  <c r="AC193" i="12" s="1"/>
  <c r="AD193" i="12" s="1"/>
  <c r="AE193" i="12" s="1"/>
  <c r="AF193" i="12" s="1"/>
  <c r="E192" i="12"/>
  <c r="F192" i="12" s="1"/>
  <c r="G192" i="12" s="1"/>
  <c r="H192" i="12" s="1"/>
  <c r="I192" i="12" s="1"/>
  <c r="J192" i="12" s="1"/>
  <c r="K192" i="12" s="1"/>
  <c r="L192" i="12" s="1"/>
  <c r="M192" i="12" s="1"/>
  <c r="N192" i="12" s="1"/>
  <c r="O192" i="12" s="1"/>
  <c r="P192" i="12" s="1"/>
  <c r="Q192" i="12" s="1"/>
  <c r="R192" i="12" s="1"/>
  <c r="S192" i="12" s="1"/>
  <c r="T192" i="12" s="1"/>
  <c r="U192" i="12" s="1"/>
  <c r="V192" i="12" s="1"/>
  <c r="W192" i="12" s="1"/>
  <c r="X192" i="12" s="1"/>
  <c r="Y192" i="12" s="1"/>
  <c r="Z192" i="12" s="1"/>
  <c r="AA192" i="12" s="1"/>
  <c r="AB192" i="12" s="1"/>
  <c r="AC192" i="12" s="1"/>
  <c r="AD192" i="12" s="1"/>
  <c r="AE192" i="12" s="1"/>
  <c r="AF192" i="12" s="1"/>
  <c r="D192" i="12"/>
  <c r="C192" i="12"/>
  <c r="C191" i="12"/>
  <c r="C197" i="12" s="1"/>
  <c r="AG189" i="12"/>
  <c r="B189" i="12"/>
  <c r="E188" i="12"/>
  <c r="F188" i="12" s="1"/>
  <c r="G188" i="12" s="1"/>
  <c r="H188" i="12" s="1"/>
  <c r="I188" i="12" s="1"/>
  <c r="J188" i="12" s="1"/>
  <c r="K188" i="12" s="1"/>
  <c r="L188" i="12" s="1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D188" i="12"/>
  <c r="C188" i="12"/>
  <c r="C187" i="12"/>
  <c r="D187" i="12" s="1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E186" i="12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D186" i="12"/>
  <c r="C186" i="12"/>
  <c r="R185" i="12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C185" i="12"/>
  <c r="D185" i="12" s="1"/>
  <c r="E185" i="12" s="1"/>
  <c r="F185" i="12" s="1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P184" i="12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D184" i="12"/>
  <c r="E184" i="12" s="1"/>
  <c r="F184" i="12" s="1"/>
  <c r="G184" i="12" s="1"/>
  <c r="H184" i="12" s="1"/>
  <c r="I184" i="12" s="1"/>
  <c r="J184" i="12" s="1"/>
  <c r="K184" i="12" s="1"/>
  <c r="L184" i="12" s="1"/>
  <c r="M184" i="12" s="1"/>
  <c r="N184" i="12" s="1"/>
  <c r="O184" i="12" s="1"/>
  <c r="C184" i="12"/>
  <c r="R183" i="12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C183" i="12"/>
  <c r="D183" i="12" s="1"/>
  <c r="E183" i="12" s="1"/>
  <c r="F183" i="12" s="1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D182" i="12"/>
  <c r="E182" i="12" s="1"/>
  <c r="F182" i="12" s="1"/>
  <c r="G182" i="12" s="1"/>
  <c r="H182" i="12" s="1"/>
  <c r="I182" i="12" s="1"/>
  <c r="J182" i="12" s="1"/>
  <c r="K182" i="12" s="1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C182" i="12"/>
  <c r="N181" i="12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C181" i="12"/>
  <c r="D181" i="12" s="1"/>
  <c r="E181" i="12" s="1"/>
  <c r="F181" i="12" s="1"/>
  <c r="G181" i="12" s="1"/>
  <c r="H181" i="12" s="1"/>
  <c r="I181" i="12" s="1"/>
  <c r="J181" i="12" s="1"/>
  <c r="K181" i="12" s="1"/>
  <c r="L181" i="12" s="1"/>
  <c r="M181" i="12" s="1"/>
  <c r="G180" i="12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E180" i="12"/>
  <c r="F180" i="12" s="1"/>
  <c r="D180" i="12"/>
  <c r="C180" i="12"/>
  <c r="G179" i="12"/>
  <c r="H179" i="12" s="1"/>
  <c r="I179" i="12" s="1"/>
  <c r="J179" i="12" s="1"/>
  <c r="K179" i="12" s="1"/>
  <c r="L179" i="12" s="1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F179" i="12"/>
  <c r="E179" i="12"/>
  <c r="C179" i="12"/>
  <c r="D179" i="12" s="1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N178" i="12" s="1"/>
  <c r="O178" i="12" s="1"/>
  <c r="P178" i="12" s="1"/>
  <c r="Q178" i="12" s="1"/>
  <c r="R178" i="12" s="1"/>
  <c r="S178" i="12" s="1"/>
  <c r="T178" i="12" s="1"/>
  <c r="U178" i="12" s="1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C178" i="12"/>
  <c r="I177" i="12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C177" i="12"/>
  <c r="D177" i="12" s="1"/>
  <c r="E177" i="12" s="1"/>
  <c r="F177" i="12" s="1"/>
  <c r="G177" i="12" s="1"/>
  <c r="H177" i="12" s="1"/>
  <c r="G176" i="12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D176" i="12"/>
  <c r="E176" i="12" s="1"/>
  <c r="F176" i="12" s="1"/>
  <c r="C176" i="12"/>
  <c r="R174" i="12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N174" i="12"/>
  <c r="O174" i="12" s="1"/>
  <c r="P174" i="12" s="1"/>
  <c r="Q174" i="12" s="1"/>
  <c r="E174" i="12"/>
  <c r="F174" i="12" s="1"/>
  <c r="G174" i="12" s="1"/>
  <c r="H174" i="12" s="1"/>
  <c r="I174" i="12" s="1"/>
  <c r="J174" i="12" s="1"/>
  <c r="K174" i="12" s="1"/>
  <c r="L174" i="12" s="1"/>
  <c r="M174" i="12" s="1"/>
  <c r="D174" i="12"/>
  <c r="C174" i="12"/>
  <c r="C173" i="12"/>
  <c r="D173" i="12" s="1"/>
  <c r="E173" i="12" s="1"/>
  <c r="F173" i="12" s="1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F172" i="12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D172" i="12"/>
  <c r="E172" i="12" s="1"/>
  <c r="C172" i="12"/>
  <c r="D171" i="12"/>
  <c r="E171" i="12" s="1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C171" i="12"/>
  <c r="U170" i="12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E170" i="12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D170" i="12"/>
  <c r="C170" i="12"/>
  <c r="K169" i="12"/>
  <c r="L169" i="12" s="1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C169" i="12"/>
  <c r="D169" i="12" s="1"/>
  <c r="E169" i="12" s="1"/>
  <c r="F169" i="12" s="1"/>
  <c r="G169" i="12" s="1"/>
  <c r="H169" i="12" s="1"/>
  <c r="I169" i="12" s="1"/>
  <c r="J169" i="12" s="1"/>
  <c r="D168" i="12"/>
  <c r="E168" i="12" s="1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C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C167" i="12"/>
  <c r="AF165" i="12"/>
  <c r="H165" i="12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E165" i="12"/>
  <c r="F165" i="12" s="1"/>
  <c r="G165" i="12" s="1"/>
  <c r="D165" i="12"/>
  <c r="C165" i="12"/>
  <c r="D164" i="12"/>
  <c r="E164" i="12" s="1"/>
  <c r="F164" i="12" s="1"/>
  <c r="G164" i="12" s="1"/>
  <c r="H164" i="12" s="1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C164" i="12"/>
  <c r="R163" i="12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Q163" i="12"/>
  <c r="I163" i="12"/>
  <c r="J163" i="12" s="1"/>
  <c r="K163" i="12" s="1"/>
  <c r="L163" i="12" s="1"/>
  <c r="M163" i="12" s="1"/>
  <c r="N163" i="12" s="1"/>
  <c r="O163" i="12" s="1"/>
  <c r="P163" i="12" s="1"/>
  <c r="D163" i="12"/>
  <c r="E163" i="12" s="1"/>
  <c r="F163" i="12" s="1"/>
  <c r="G163" i="12" s="1"/>
  <c r="H163" i="12" s="1"/>
  <c r="C163" i="12"/>
  <c r="P162" i="12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H162" i="12"/>
  <c r="I162" i="12" s="1"/>
  <c r="J162" i="12" s="1"/>
  <c r="K162" i="12" s="1"/>
  <c r="L162" i="12" s="1"/>
  <c r="M162" i="12" s="1"/>
  <c r="N162" i="12" s="1"/>
  <c r="O162" i="12" s="1"/>
  <c r="D162" i="12"/>
  <c r="E162" i="12" s="1"/>
  <c r="F162" i="12" s="1"/>
  <c r="G162" i="12" s="1"/>
  <c r="C162" i="12"/>
  <c r="J161" i="12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H161" i="12"/>
  <c r="I161" i="12" s="1"/>
  <c r="E161" i="12"/>
  <c r="F161" i="12" s="1"/>
  <c r="G161" i="12" s="1"/>
  <c r="D161" i="12"/>
  <c r="C161" i="12"/>
  <c r="D160" i="12"/>
  <c r="E160" i="12" s="1"/>
  <c r="F160" i="12" s="1"/>
  <c r="G160" i="12" s="1"/>
  <c r="H160" i="12" s="1"/>
  <c r="I160" i="12" s="1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C160" i="12"/>
  <c r="D159" i="12"/>
  <c r="E159" i="12" s="1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C159" i="12"/>
  <c r="O158" i="12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D158" i="12"/>
  <c r="E158" i="12" s="1"/>
  <c r="F158" i="12" s="1"/>
  <c r="G158" i="12" s="1"/>
  <c r="H158" i="12" s="1"/>
  <c r="I158" i="12" s="1"/>
  <c r="J158" i="12" s="1"/>
  <c r="K158" i="12" s="1"/>
  <c r="L158" i="12" s="1"/>
  <c r="M158" i="12" s="1"/>
  <c r="N158" i="12" s="1"/>
  <c r="C158" i="12"/>
  <c r="F157" i="12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E157" i="12"/>
  <c r="D157" i="12"/>
  <c r="C157" i="12"/>
  <c r="C156" i="12"/>
  <c r="D156" i="12" s="1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S155" i="12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K155" i="12"/>
  <c r="L155" i="12" s="1"/>
  <c r="M155" i="12" s="1"/>
  <c r="N155" i="12" s="1"/>
  <c r="O155" i="12" s="1"/>
  <c r="P155" i="12" s="1"/>
  <c r="Q155" i="12" s="1"/>
  <c r="R155" i="12" s="1"/>
  <c r="H155" i="12"/>
  <c r="I155" i="12" s="1"/>
  <c r="J155" i="12" s="1"/>
  <c r="G155" i="12"/>
  <c r="C155" i="12"/>
  <c r="D155" i="12" s="1"/>
  <c r="E155" i="12" s="1"/>
  <c r="F155" i="12" s="1"/>
  <c r="F154" i="12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C154" i="12"/>
  <c r="D154" i="12" s="1"/>
  <c r="E154" i="12" s="1"/>
  <c r="K153" i="12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G153" i="12"/>
  <c r="H153" i="12" s="1"/>
  <c r="I153" i="12" s="1"/>
  <c r="J153" i="12" s="1"/>
  <c r="D153" i="12"/>
  <c r="E153" i="12" s="1"/>
  <c r="F153" i="12" s="1"/>
  <c r="C153" i="12"/>
  <c r="Q151" i="12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E151" i="12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D151" i="12"/>
  <c r="C151" i="12"/>
  <c r="AE150" i="12"/>
  <c r="AF150" i="12" s="1"/>
  <c r="H150" i="12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G150" i="12"/>
  <c r="C150" i="12"/>
  <c r="D150" i="12" s="1"/>
  <c r="E150" i="12" s="1"/>
  <c r="F150" i="12" s="1"/>
  <c r="Q149" i="12"/>
  <c r="R149" i="12" s="1"/>
  <c r="S149" i="12" s="1"/>
  <c r="T149" i="12" s="1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F149" i="12"/>
  <c r="G149" i="12" s="1"/>
  <c r="H149" i="12" s="1"/>
  <c r="I149" i="12" s="1"/>
  <c r="J149" i="12" s="1"/>
  <c r="K149" i="12" s="1"/>
  <c r="L149" i="12" s="1"/>
  <c r="M149" i="12" s="1"/>
  <c r="N149" i="12" s="1"/>
  <c r="O149" i="12" s="1"/>
  <c r="P149" i="12" s="1"/>
  <c r="C149" i="12"/>
  <c r="D149" i="12" s="1"/>
  <c r="E149" i="12" s="1"/>
  <c r="G148" i="12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D148" i="12"/>
  <c r="E148" i="12" s="1"/>
  <c r="F148" i="12" s="1"/>
  <c r="C148" i="12"/>
  <c r="E146" i="12"/>
  <c r="F146" i="12" s="1"/>
  <c r="G146" i="12" s="1"/>
  <c r="H146" i="12" s="1"/>
  <c r="I146" i="12" s="1"/>
  <c r="J146" i="12" s="1"/>
  <c r="K146" i="12" s="1"/>
  <c r="L146" i="12" s="1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D146" i="12"/>
  <c r="C146" i="12"/>
  <c r="C145" i="12"/>
  <c r="D145" i="12" s="1"/>
  <c r="E145" i="12" s="1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V143" i="12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H143" i="12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C143" i="12"/>
  <c r="D143" i="12" s="1"/>
  <c r="E143" i="12" s="1"/>
  <c r="F143" i="12" s="1"/>
  <c r="G143" i="12" s="1"/>
  <c r="R142" i="12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G142" i="12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F142" i="12"/>
  <c r="D142" i="12"/>
  <c r="E142" i="12" s="1"/>
  <c r="C142" i="12"/>
  <c r="I141" i="12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D141" i="12"/>
  <c r="E141" i="12" s="1"/>
  <c r="F141" i="12" s="1"/>
  <c r="G141" i="12" s="1"/>
  <c r="H141" i="12" s="1"/>
  <c r="C141" i="12"/>
  <c r="M140" i="12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D140" i="12"/>
  <c r="E140" i="12" s="1"/>
  <c r="F140" i="12" s="1"/>
  <c r="G140" i="12" s="1"/>
  <c r="H140" i="12" s="1"/>
  <c r="I140" i="12" s="1"/>
  <c r="J140" i="12" s="1"/>
  <c r="K140" i="12" s="1"/>
  <c r="L140" i="12" s="1"/>
  <c r="C140" i="12"/>
  <c r="T139" i="12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D139" i="12"/>
  <c r="E139" i="12" s="1"/>
  <c r="F139" i="12" s="1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C139" i="12"/>
  <c r="C138" i="12"/>
  <c r="D138" i="12" s="1"/>
  <c r="E138" i="12" s="1"/>
  <c r="F138" i="12" s="1"/>
  <c r="G138" i="12" s="1"/>
  <c r="H138" i="12" s="1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U137" i="12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E137" i="12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D137" i="12"/>
  <c r="C137" i="12"/>
  <c r="C135" i="12"/>
  <c r="D135" i="12" s="1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T134" i="12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D134" i="12"/>
  <c r="E134" i="12" s="1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C134" i="12"/>
  <c r="C133" i="12"/>
  <c r="D133" i="12" s="1"/>
  <c r="E133" i="12" s="1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C132" i="12"/>
  <c r="D132" i="12" s="1"/>
  <c r="E132" i="12" s="1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E131" i="12"/>
  <c r="F131" i="12" s="1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C131" i="12"/>
  <c r="D131" i="12" s="1"/>
  <c r="C130" i="12"/>
  <c r="D130" i="12" s="1"/>
  <c r="E130" i="12" s="1"/>
  <c r="F130" i="12" s="1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C129" i="12"/>
  <c r="D129" i="12" s="1"/>
  <c r="E129" i="12" s="1"/>
  <c r="F129" i="12" s="1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Q129" i="12" s="1"/>
  <c r="R129" i="12" s="1"/>
  <c r="S129" i="12" s="1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C128" i="12"/>
  <c r="D128" i="12" s="1"/>
  <c r="E128" i="12" s="1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C126" i="12"/>
  <c r="D126" i="12" s="1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H125" i="12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D125" i="12"/>
  <c r="E125" i="12" s="1"/>
  <c r="F125" i="12" s="1"/>
  <c r="G125" i="12" s="1"/>
  <c r="C125" i="12"/>
  <c r="H124" i="12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D124" i="12"/>
  <c r="E124" i="12" s="1"/>
  <c r="F124" i="12" s="1"/>
  <c r="G124" i="12" s="1"/>
  <c r="C124" i="12"/>
  <c r="H123" i="12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C123" i="12"/>
  <c r="D123" i="12" s="1"/>
  <c r="E123" i="12" s="1"/>
  <c r="F123" i="12" s="1"/>
  <c r="G123" i="12" s="1"/>
  <c r="D122" i="12"/>
  <c r="E122" i="12" s="1"/>
  <c r="F122" i="12" s="1"/>
  <c r="G122" i="12" s="1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C122" i="12"/>
  <c r="D121" i="12"/>
  <c r="E121" i="12" s="1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C121" i="12"/>
  <c r="T120" i="12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C120" i="12"/>
  <c r="J119" i="12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F119" i="12"/>
  <c r="G119" i="12" s="1"/>
  <c r="H119" i="12" s="1"/>
  <c r="I119" i="12" s="1"/>
  <c r="C119" i="12"/>
  <c r="D119" i="12" s="1"/>
  <c r="E119" i="12" s="1"/>
  <c r="V118" i="12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F118" i="12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D118" i="12"/>
  <c r="E118" i="12" s="1"/>
  <c r="C118" i="12"/>
  <c r="F117" i="12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D117" i="12"/>
  <c r="E117" i="12" s="1"/>
  <c r="C117" i="12"/>
  <c r="X116" i="12"/>
  <c r="Y116" i="12" s="1"/>
  <c r="Z116" i="12" s="1"/>
  <c r="AA116" i="12" s="1"/>
  <c r="AB116" i="12" s="1"/>
  <c r="AC116" i="12" s="1"/>
  <c r="AD116" i="12" s="1"/>
  <c r="AE116" i="12" s="1"/>
  <c r="AF116" i="12" s="1"/>
  <c r="H116" i="12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D116" i="12"/>
  <c r="E116" i="12" s="1"/>
  <c r="F116" i="12" s="1"/>
  <c r="G116" i="12" s="1"/>
  <c r="C116" i="12"/>
  <c r="C115" i="12"/>
  <c r="D115" i="12" s="1"/>
  <c r="E115" i="12" s="1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D114" i="12"/>
  <c r="E114" i="12" s="1"/>
  <c r="F114" i="12" s="1"/>
  <c r="G114" i="12" s="1"/>
  <c r="H114" i="12" s="1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C114" i="12"/>
  <c r="N113" i="12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D113" i="12"/>
  <c r="E113" i="12" s="1"/>
  <c r="F113" i="12" s="1"/>
  <c r="G113" i="12" s="1"/>
  <c r="H113" i="12" s="1"/>
  <c r="I113" i="12" s="1"/>
  <c r="J113" i="12" s="1"/>
  <c r="K113" i="12" s="1"/>
  <c r="L113" i="12" s="1"/>
  <c r="M113" i="12" s="1"/>
  <c r="C113" i="12"/>
  <c r="D112" i="12"/>
  <c r="E112" i="12" s="1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C112" i="12"/>
  <c r="N111" i="12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J111" i="12"/>
  <c r="K111" i="12" s="1"/>
  <c r="L111" i="12" s="1"/>
  <c r="M111" i="12" s="1"/>
  <c r="E111" i="12"/>
  <c r="F111" i="12" s="1"/>
  <c r="G111" i="12" s="1"/>
  <c r="H111" i="12" s="1"/>
  <c r="C111" i="12"/>
  <c r="D111" i="12" s="1"/>
  <c r="D110" i="12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C110" i="12"/>
  <c r="E109" i="12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C109" i="12"/>
  <c r="D109" i="12" s="1"/>
  <c r="P107" i="12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C107" i="12"/>
  <c r="D107" i="12" s="1"/>
  <c r="E107" i="12" s="1"/>
  <c r="F107" i="12" s="1"/>
  <c r="G107" i="12" s="1"/>
  <c r="H107" i="12" s="1"/>
  <c r="I107" i="12" s="1"/>
  <c r="J107" i="12" s="1"/>
  <c r="K107" i="12" s="1"/>
  <c r="L107" i="12" s="1"/>
  <c r="M107" i="12" s="1"/>
  <c r="N107" i="12" s="1"/>
  <c r="O107" i="12" s="1"/>
  <c r="C106" i="12"/>
  <c r="D106" i="12" s="1"/>
  <c r="E106" i="12" s="1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AC104" i="12"/>
  <c r="AD104" i="12" s="1"/>
  <c r="AE104" i="12" s="1"/>
  <c r="AF104" i="12" s="1"/>
  <c r="M104" i="12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C104" i="12"/>
  <c r="D104" i="12" s="1"/>
  <c r="E104" i="12" s="1"/>
  <c r="F104" i="12" s="1"/>
  <c r="G104" i="12" s="1"/>
  <c r="H104" i="12" s="1"/>
  <c r="I104" i="12" s="1"/>
  <c r="J104" i="12" s="1"/>
  <c r="K104" i="12" s="1"/>
  <c r="L104" i="12" s="1"/>
  <c r="C103" i="12"/>
  <c r="D103" i="12" s="1"/>
  <c r="E103" i="12" s="1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D102" i="12"/>
  <c r="E102" i="12" s="1"/>
  <c r="F102" i="12" s="1"/>
  <c r="G102" i="12" s="1"/>
  <c r="H102" i="12" s="1"/>
  <c r="I102" i="12" s="1"/>
  <c r="J102" i="12" s="1"/>
  <c r="K102" i="12" s="1"/>
  <c r="L102" i="12" s="1"/>
  <c r="M102" i="12" s="1"/>
  <c r="N102" i="12" s="1"/>
  <c r="O102" i="12" s="1"/>
  <c r="P102" i="12" s="1"/>
  <c r="Q102" i="12" s="1"/>
  <c r="R102" i="12" s="1"/>
  <c r="S102" i="12" s="1"/>
  <c r="T102" i="12" s="1"/>
  <c r="U102" i="12" s="1"/>
  <c r="V102" i="12" s="1"/>
  <c r="W102" i="12" s="1"/>
  <c r="X102" i="12" s="1"/>
  <c r="Y102" i="12" s="1"/>
  <c r="Z102" i="12" s="1"/>
  <c r="AA102" i="12" s="1"/>
  <c r="AB102" i="12" s="1"/>
  <c r="AC102" i="12" s="1"/>
  <c r="AD102" i="12" s="1"/>
  <c r="AE102" i="12" s="1"/>
  <c r="AF102" i="12" s="1"/>
  <c r="C102" i="12"/>
  <c r="I101" i="12"/>
  <c r="J101" i="12" s="1"/>
  <c r="K101" i="12" s="1"/>
  <c r="L101" i="12" s="1"/>
  <c r="M101" i="12" s="1"/>
  <c r="N101" i="12" s="1"/>
  <c r="O101" i="12" s="1"/>
  <c r="P101" i="12" s="1"/>
  <c r="Q101" i="12" s="1"/>
  <c r="R101" i="12" s="1"/>
  <c r="S101" i="12" s="1"/>
  <c r="T101" i="12" s="1"/>
  <c r="U101" i="12" s="1"/>
  <c r="V101" i="12" s="1"/>
  <c r="W101" i="12" s="1"/>
  <c r="X101" i="12" s="1"/>
  <c r="Y101" i="12" s="1"/>
  <c r="Z101" i="12" s="1"/>
  <c r="AA101" i="12" s="1"/>
  <c r="AB101" i="12" s="1"/>
  <c r="AC101" i="12" s="1"/>
  <c r="AD101" i="12" s="1"/>
  <c r="AE101" i="12" s="1"/>
  <c r="AF101" i="12" s="1"/>
  <c r="C101" i="12"/>
  <c r="D101" i="12" s="1"/>
  <c r="E101" i="12" s="1"/>
  <c r="F101" i="12" s="1"/>
  <c r="G101" i="12" s="1"/>
  <c r="H101" i="12" s="1"/>
  <c r="C100" i="12"/>
  <c r="C99" i="12"/>
  <c r="AH96" i="12"/>
  <c r="AI96" i="12" s="1"/>
  <c r="AH95" i="12"/>
  <c r="AI95" i="12" s="1"/>
  <c r="AH94" i="12"/>
  <c r="AI94" i="12" s="1"/>
  <c r="AH93" i="12"/>
  <c r="AI93" i="12" s="1"/>
  <c r="AH92" i="12"/>
  <c r="AI92" i="12" s="1"/>
  <c r="B91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G80" i="12"/>
  <c r="AC80" i="12"/>
  <c r="AI79" i="12"/>
  <c r="AH79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Q80" i="12" s="1"/>
  <c r="P74" i="12"/>
  <c r="P80" i="12" s="1"/>
  <c r="O74" i="12"/>
  <c r="N74" i="12"/>
  <c r="M74" i="12"/>
  <c r="L74" i="12"/>
  <c r="K74" i="12"/>
  <c r="J74" i="12"/>
  <c r="I74" i="12"/>
  <c r="H74" i="12"/>
  <c r="G74" i="12"/>
  <c r="F74" i="12"/>
  <c r="F80" i="12" s="1"/>
  <c r="E74" i="12"/>
  <c r="D74" i="12"/>
  <c r="C74" i="12"/>
  <c r="B74" i="12"/>
  <c r="AI72" i="12"/>
  <c r="AH72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AI69" i="12"/>
  <c r="AH69" i="12"/>
  <c r="AI68" i="12"/>
  <c r="AH68" i="12"/>
  <c r="AI67" i="12"/>
  <c r="AH67" i="12"/>
  <c r="AG66" i="12"/>
  <c r="AG71" i="12" s="1"/>
  <c r="AF66" i="12"/>
  <c r="AF5" i="12" s="1"/>
  <c r="AE66" i="12"/>
  <c r="AE5" i="12" s="1"/>
  <c r="AD66" i="12"/>
  <c r="AC66" i="12"/>
  <c r="AC5" i="12" s="1"/>
  <c r="AB66" i="12"/>
  <c r="AA66" i="12"/>
  <c r="Z66" i="12"/>
  <c r="Y66" i="12"/>
  <c r="X66" i="12"/>
  <c r="W66" i="12"/>
  <c r="V66" i="12"/>
  <c r="U66" i="12"/>
  <c r="T66" i="12"/>
  <c r="S66" i="12"/>
  <c r="S5" i="12" s="1"/>
  <c r="R66" i="12"/>
  <c r="R5" i="12" s="1"/>
  <c r="Q66" i="12"/>
  <c r="P66" i="12"/>
  <c r="O66" i="12"/>
  <c r="N66" i="12"/>
  <c r="N5" i="12" s="1"/>
  <c r="M66" i="12"/>
  <c r="M5" i="12" s="1"/>
  <c r="L66" i="12"/>
  <c r="K66" i="12"/>
  <c r="J66" i="12"/>
  <c r="I66" i="12"/>
  <c r="H66" i="12"/>
  <c r="G66" i="12"/>
  <c r="F66" i="12"/>
  <c r="E66" i="12"/>
  <c r="D66" i="12"/>
  <c r="C66" i="12"/>
  <c r="C5" i="12" s="1"/>
  <c r="B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I53" i="12"/>
  <c r="AH53" i="12"/>
  <c r="AI52" i="12"/>
  <c r="AH52" i="12"/>
  <c r="AI51" i="12"/>
  <c r="AH51" i="12"/>
  <c r="Y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G49" i="12"/>
  <c r="AG50" i="12" s="1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D5" i="12"/>
  <c r="AA5" i="12"/>
  <c r="Z5" i="12"/>
  <c r="Y5" i="12"/>
  <c r="X5" i="12"/>
  <c r="W5" i="12"/>
  <c r="V5" i="12"/>
  <c r="U5" i="12"/>
  <c r="Q5" i="12"/>
  <c r="P5" i="12"/>
  <c r="O5" i="12"/>
  <c r="J5" i="12"/>
  <c r="I5" i="12"/>
  <c r="H5" i="12"/>
  <c r="G5" i="12"/>
  <c r="F5" i="12"/>
  <c r="E5" i="12"/>
  <c r="B5" i="12"/>
  <c r="AG4" i="12"/>
  <c r="K4" i="12"/>
  <c r="B4" i="12"/>
  <c r="AG3" i="12"/>
  <c r="AG2" i="12"/>
  <c r="AG6" i="12" s="1"/>
  <c r="AF93" i="11"/>
  <c r="AE93" i="11"/>
  <c r="AD93" i="11"/>
  <c r="AC93" i="11"/>
  <c r="AA93" i="11"/>
  <c r="E4" i="13"/>
  <c r="E4" i="12"/>
  <c r="R189" i="15" l="1"/>
  <c r="S99" i="15"/>
  <c r="R197" i="15"/>
  <c r="S191" i="15"/>
  <c r="S196" i="15"/>
  <c r="R232" i="15"/>
  <c r="R91" i="15"/>
  <c r="T100" i="15"/>
  <c r="S91" i="15"/>
  <c r="G191" i="14"/>
  <c r="F197" i="14"/>
  <c r="G232" i="14"/>
  <c r="H196" i="14"/>
  <c r="H100" i="14"/>
  <c r="G91" i="14"/>
  <c r="F91" i="14"/>
  <c r="G189" i="14"/>
  <c r="H99" i="14"/>
  <c r="AD80" i="13"/>
  <c r="AA80" i="13"/>
  <c r="V80" i="13"/>
  <c r="S80" i="13"/>
  <c r="M71" i="13"/>
  <c r="L73" i="13"/>
  <c r="K80" i="13"/>
  <c r="I73" i="13"/>
  <c r="AA211" i="13" s="1"/>
  <c r="F80" i="13"/>
  <c r="Q7" i="13"/>
  <c r="F71" i="13"/>
  <c r="G80" i="13"/>
  <c r="O80" i="13"/>
  <c r="W80" i="13"/>
  <c r="AE80" i="13"/>
  <c r="AI78" i="13"/>
  <c r="F73" i="13"/>
  <c r="N71" i="13"/>
  <c r="N81" i="13" s="1"/>
  <c r="H80" i="13"/>
  <c r="P80" i="13"/>
  <c r="X80" i="13"/>
  <c r="AF80" i="13"/>
  <c r="AH75" i="13"/>
  <c r="Q80" i="13"/>
  <c r="Y80" i="13"/>
  <c r="H71" i="13"/>
  <c r="P71" i="13"/>
  <c r="AI75" i="13"/>
  <c r="R80" i="13"/>
  <c r="C197" i="13"/>
  <c r="J80" i="13"/>
  <c r="Y73" i="13"/>
  <c r="L80" i="13"/>
  <c r="L81" i="13" s="1"/>
  <c r="T80" i="13"/>
  <c r="AB80" i="13"/>
  <c r="M80" i="13"/>
  <c r="U80" i="13"/>
  <c r="AC80" i="13"/>
  <c r="AI74" i="13"/>
  <c r="Z80" i="13"/>
  <c r="AI54" i="13"/>
  <c r="AD211" i="13"/>
  <c r="L7" i="13"/>
  <c r="N73" i="13"/>
  <c r="AF211" i="13" s="1"/>
  <c r="K71" i="13"/>
  <c r="S71" i="13"/>
  <c r="L71" i="13"/>
  <c r="G73" i="13"/>
  <c r="G7" i="13" s="1"/>
  <c r="O73" i="13"/>
  <c r="O81" i="13" s="1"/>
  <c r="H73" i="13"/>
  <c r="H7" i="13" s="1"/>
  <c r="P73" i="13"/>
  <c r="AH211" i="13" s="1"/>
  <c r="O71" i="13"/>
  <c r="AI77" i="13"/>
  <c r="E80" i="13"/>
  <c r="E71" i="13"/>
  <c r="AI76" i="13"/>
  <c r="D80" i="13"/>
  <c r="D73" i="13"/>
  <c r="V211" i="13" s="1"/>
  <c r="D71" i="13"/>
  <c r="C80" i="13"/>
  <c r="AH36" i="13"/>
  <c r="C71" i="13"/>
  <c r="AH77" i="13"/>
  <c r="AI36" i="13"/>
  <c r="H4" i="13"/>
  <c r="AG73" i="13"/>
  <c r="AG71" i="13"/>
  <c r="AG3" i="13"/>
  <c r="AG6" i="13" s="1"/>
  <c r="D81" i="13"/>
  <c r="Y211" i="13"/>
  <c r="Z211" i="13"/>
  <c r="G71" i="13"/>
  <c r="S208" i="13"/>
  <c r="D208" i="13"/>
  <c r="N7" i="13"/>
  <c r="J73" i="13"/>
  <c r="R73" i="13"/>
  <c r="I80" i="13"/>
  <c r="C73" i="13"/>
  <c r="K73" i="13"/>
  <c r="S73" i="13"/>
  <c r="AH74" i="13"/>
  <c r="B80" i="13"/>
  <c r="E100" i="13"/>
  <c r="AH66" i="13"/>
  <c r="AH70" i="13"/>
  <c r="AH54" i="13"/>
  <c r="AI66" i="13"/>
  <c r="AI70" i="13"/>
  <c r="I71" i="13"/>
  <c r="Q71" i="13"/>
  <c r="Q81" i="13" s="1"/>
  <c r="Y71" i="13"/>
  <c r="E73" i="13"/>
  <c r="M73" i="13"/>
  <c r="M81" i="13" s="1"/>
  <c r="AH76" i="13"/>
  <c r="B71" i="13"/>
  <c r="J71" i="13"/>
  <c r="R71" i="13"/>
  <c r="R81" i="13" s="1"/>
  <c r="AH78" i="13"/>
  <c r="C189" i="13"/>
  <c r="C91" i="13"/>
  <c r="D189" i="13"/>
  <c r="E99" i="13"/>
  <c r="D196" i="13"/>
  <c r="D191" i="13"/>
  <c r="AF80" i="12"/>
  <c r="AE80" i="12"/>
  <c r="AD80" i="12"/>
  <c r="S71" i="12"/>
  <c r="AB80" i="12"/>
  <c r="AA80" i="12"/>
  <c r="Y80" i="12"/>
  <c r="Y71" i="12"/>
  <c r="X80" i="12"/>
  <c r="W80" i="12"/>
  <c r="V80" i="12"/>
  <c r="U80" i="12"/>
  <c r="T80" i="12"/>
  <c r="S80" i="12"/>
  <c r="S73" i="12"/>
  <c r="S81" i="12" s="1"/>
  <c r="R71" i="12"/>
  <c r="Q71" i="12"/>
  <c r="AI74" i="12"/>
  <c r="P73" i="12"/>
  <c r="P71" i="12"/>
  <c r="O80" i="12"/>
  <c r="O71" i="12"/>
  <c r="N80" i="12"/>
  <c r="AI78" i="12"/>
  <c r="N73" i="12"/>
  <c r="AF211" i="12" s="1"/>
  <c r="N71" i="12"/>
  <c r="N81" i="12" s="1"/>
  <c r="M80" i="12"/>
  <c r="L80" i="12"/>
  <c r="L71" i="12"/>
  <c r="K80" i="12"/>
  <c r="K73" i="12"/>
  <c r="AC211" i="12" s="1"/>
  <c r="J71" i="12"/>
  <c r="I80" i="12"/>
  <c r="I71" i="12"/>
  <c r="F73" i="12"/>
  <c r="F7" i="12" s="1"/>
  <c r="E80" i="12"/>
  <c r="K5" i="12"/>
  <c r="K71" i="12"/>
  <c r="G80" i="12"/>
  <c r="H80" i="12"/>
  <c r="AI75" i="12"/>
  <c r="AH75" i="12"/>
  <c r="AH76" i="12"/>
  <c r="D80" i="12"/>
  <c r="C80" i="12"/>
  <c r="AH77" i="12"/>
  <c r="AI77" i="12"/>
  <c r="AI54" i="12"/>
  <c r="C71" i="12"/>
  <c r="G71" i="12"/>
  <c r="D71" i="12"/>
  <c r="F71" i="12"/>
  <c r="H71" i="12"/>
  <c r="H73" i="12"/>
  <c r="C73" i="12"/>
  <c r="B71" i="12"/>
  <c r="B73" i="12" s="1"/>
  <c r="H4" i="12"/>
  <c r="AI66" i="12"/>
  <c r="D73" i="12"/>
  <c r="L73" i="12"/>
  <c r="C91" i="12"/>
  <c r="D100" i="12"/>
  <c r="E73" i="12"/>
  <c r="M73" i="12"/>
  <c r="J80" i="12"/>
  <c r="R80" i="12"/>
  <c r="Z80" i="12"/>
  <c r="D5" i="12"/>
  <c r="L5" i="12"/>
  <c r="T5" i="12"/>
  <c r="AB5" i="12"/>
  <c r="E71" i="12"/>
  <c r="M71" i="12"/>
  <c r="AI36" i="12"/>
  <c r="P81" i="12"/>
  <c r="S208" i="12"/>
  <c r="D208" i="12"/>
  <c r="AG81" i="12"/>
  <c r="X211" i="12"/>
  <c r="AI76" i="12"/>
  <c r="G73" i="12"/>
  <c r="O73" i="12"/>
  <c r="O81" i="12" s="1"/>
  <c r="AH78" i="12"/>
  <c r="I73" i="12"/>
  <c r="Q73" i="12"/>
  <c r="Q81" i="12" s="1"/>
  <c r="Y73" i="12"/>
  <c r="AG73" i="12"/>
  <c r="J73" i="12"/>
  <c r="R73" i="12"/>
  <c r="AH36" i="12"/>
  <c r="AH74" i="12"/>
  <c r="B80" i="12"/>
  <c r="AH54" i="12"/>
  <c r="AH66" i="12"/>
  <c r="AH70" i="12"/>
  <c r="C189" i="12"/>
  <c r="D99" i="12"/>
  <c r="AI70" i="12"/>
  <c r="D191" i="12"/>
  <c r="F196" i="12"/>
  <c r="U100" i="15" l="1"/>
  <c r="T196" i="15"/>
  <c r="S232" i="15"/>
  <c r="T191" i="15"/>
  <c r="T91" i="15" s="1"/>
  <c r="S197" i="15"/>
  <c r="S189" i="15"/>
  <c r="T99" i="15"/>
  <c r="H189" i="14"/>
  <c r="I99" i="14"/>
  <c r="H232" i="14"/>
  <c r="I196" i="14"/>
  <c r="I100" i="14"/>
  <c r="H191" i="14"/>
  <c r="G197" i="14"/>
  <c r="Y81" i="13"/>
  <c r="P81" i="13"/>
  <c r="P7" i="13"/>
  <c r="O7" i="13"/>
  <c r="AG211" i="13"/>
  <c r="I7" i="13"/>
  <c r="H81" i="13"/>
  <c r="F81" i="13"/>
  <c r="F7" i="13"/>
  <c r="X211" i="13"/>
  <c r="I81" i="13"/>
  <c r="AQ211" i="13"/>
  <c r="Y7" i="13"/>
  <c r="D91" i="13"/>
  <c r="AG81" i="13"/>
  <c r="J81" i="13"/>
  <c r="G81" i="13"/>
  <c r="D7" i="13"/>
  <c r="W211" i="13"/>
  <c r="E7" i="13"/>
  <c r="AB211" i="13"/>
  <c r="J7" i="13"/>
  <c r="F100" i="13"/>
  <c r="E91" i="13"/>
  <c r="AK211" i="13"/>
  <c r="S7" i="13"/>
  <c r="B206" i="13"/>
  <c r="D197" i="13"/>
  <c r="E191" i="13"/>
  <c r="AC211" i="13"/>
  <c r="K7" i="13"/>
  <c r="C206" i="13"/>
  <c r="D232" i="13"/>
  <c r="E196" i="13"/>
  <c r="U211" i="13"/>
  <c r="C7" i="13"/>
  <c r="S81" i="13"/>
  <c r="E189" i="13"/>
  <c r="F99" i="13"/>
  <c r="B73" i="13"/>
  <c r="B81" i="13" s="1"/>
  <c r="K81" i="13"/>
  <c r="E81" i="13"/>
  <c r="C81" i="13"/>
  <c r="AE211" i="13"/>
  <c r="M7" i="13"/>
  <c r="AI80" i="13"/>
  <c r="AH80" i="13"/>
  <c r="AJ211" i="13"/>
  <c r="R7" i="13"/>
  <c r="K7" i="12"/>
  <c r="AK211" i="12"/>
  <c r="S7" i="12"/>
  <c r="R81" i="12"/>
  <c r="AH211" i="12"/>
  <c r="P7" i="12"/>
  <c r="N7" i="12"/>
  <c r="M81" i="12"/>
  <c r="K81" i="12"/>
  <c r="F81" i="12"/>
  <c r="J81" i="12"/>
  <c r="C206" i="12"/>
  <c r="D81" i="12"/>
  <c r="H81" i="12"/>
  <c r="U211" i="12"/>
  <c r="C7" i="12"/>
  <c r="C81" i="12"/>
  <c r="Z211" i="12"/>
  <c r="H7" i="12"/>
  <c r="F232" i="12"/>
  <c r="G196" i="12"/>
  <c r="AI80" i="12"/>
  <c r="AH80" i="12"/>
  <c r="AD211" i="12"/>
  <c r="L7" i="12"/>
  <c r="D189" i="12"/>
  <c r="E99" i="12"/>
  <c r="V211" i="12"/>
  <c r="D7" i="12"/>
  <c r="T211" i="12"/>
  <c r="B7" i="12"/>
  <c r="D197" i="12"/>
  <c r="E191" i="12"/>
  <c r="AA211" i="12"/>
  <c r="I7" i="12"/>
  <c r="Y211" i="12"/>
  <c r="G7" i="12"/>
  <c r="B81" i="12"/>
  <c r="G81" i="12"/>
  <c r="AQ211" i="12"/>
  <c r="Y7" i="12"/>
  <c r="AI211" i="12"/>
  <c r="Q7" i="12"/>
  <c r="D91" i="12"/>
  <c r="E100" i="12"/>
  <c r="AJ211" i="12"/>
  <c r="R7" i="12"/>
  <c r="I81" i="12"/>
  <c r="AB211" i="12"/>
  <c r="J7" i="12"/>
  <c r="E81" i="12"/>
  <c r="AG211" i="12"/>
  <c r="O7" i="12"/>
  <c r="Y81" i="12"/>
  <c r="B206" i="12"/>
  <c r="AE211" i="12"/>
  <c r="M7" i="12"/>
  <c r="W211" i="12"/>
  <c r="E7" i="12"/>
  <c r="L81" i="12"/>
  <c r="T189" i="15" l="1"/>
  <c r="U99" i="15"/>
  <c r="U196" i="15"/>
  <c r="T232" i="15"/>
  <c r="T197" i="15"/>
  <c r="T49" i="15" s="1"/>
  <c r="U191" i="15"/>
  <c r="V100" i="15"/>
  <c r="U91" i="15"/>
  <c r="H197" i="14"/>
  <c r="I191" i="14"/>
  <c r="J100" i="14"/>
  <c r="I91" i="14"/>
  <c r="H91" i="14"/>
  <c r="J196" i="14"/>
  <c r="I232" i="14"/>
  <c r="I189" i="14"/>
  <c r="J99" i="14"/>
  <c r="F189" i="13"/>
  <c r="G99" i="13"/>
  <c r="G100" i="13"/>
  <c r="F191" i="13"/>
  <c r="F91" i="13" s="1"/>
  <c r="E197" i="13"/>
  <c r="K6" i="13"/>
  <c r="T211" i="13"/>
  <c r="B7" i="13"/>
  <c r="E232" i="13"/>
  <c r="F196" i="13"/>
  <c r="K6" i="12"/>
  <c r="F100" i="12"/>
  <c r="E91" i="12"/>
  <c r="G232" i="12"/>
  <c r="H196" i="12"/>
  <c r="F191" i="12"/>
  <c r="E197" i="12"/>
  <c r="E189" i="12"/>
  <c r="F99" i="12"/>
  <c r="W100" i="15" l="1"/>
  <c r="T50" i="15"/>
  <c r="V196" i="15"/>
  <c r="U232" i="15"/>
  <c r="U197" i="15"/>
  <c r="U49" i="15" s="1"/>
  <c r="U50" i="15" s="1"/>
  <c r="V191" i="15"/>
  <c r="U189" i="15"/>
  <c r="V99" i="15"/>
  <c r="J232" i="14"/>
  <c r="K196" i="14"/>
  <c r="K100" i="14"/>
  <c r="J91" i="14"/>
  <c r="I197" i="14"/>
  <c r="J191" i="14"/>
  <c r="J189" i="14"/>
  <c r="K99" i="14"/>
  <c r="H100" i="13"/>
  <c r="G189" i="13"/>
  <c r="H99" i="13"/>
  <c r="F232" i="13"/>
  <c r="G196" i="13"/>
  <c r="G191" i="13"/>
  <c r="G91" i="13" s="1"/>
  <c r="F197" i="13"/>
  <c r="H232" i="12"/>
  <c r="I196" i="12"/>
  <c r="F189" i="12"/>
  <c r="G99" i="12"/>
  <c r="F91" i="12"/>
  <c r="G100" i="12"/>
  <c r="G191" i="12"/>
  <c r="F197" i="12"/>
  <c r="U73" i="15" l="1"/>
  <c r="U71" i="15"/>
  <c r="U81" i="15" s="1"/>
  <c r="T73" i="15"/>
  <c r="T71" i="15"/>
  <c r="V232" i="15"/>
  <c r="W196" i="15"/>
  <c r="V189" i="15"/>
  <c r="W99" i="15"/>
  <c r="V91" i="15"/>
  <c r="W191" i="15"/>
  <c r="V197" i="15"/>
  <c r="V49" i="15" s="1"/>
  <c r="V50" i="15" s="1"/>
  <c r="W91" i="15"/>
  <c r="X100" i="15"/>
  <c r="J197" i="14"/>
  <c r="K191" i="14"/>
  <c r="K232" i="14"/>
  <c r="L196" i="14"/>
  <c r="L100" i="14"/>
  <c r="K91" i="14"/>
  <c r="K189" i="14"/>
  <c r="L99" i="14"/>
  <c r="H189" i="13"/>
  <c r="I99" i="13"/>
  <c r="G232" i="13"/>
  <c r="H196" i="13"/>
  <c r="I100" i="13"/>
  <c r="H91" i="13"/>
  <c r="H191" i="13"/>
  <c r="G197" i="13"/>
  <c r="H191" i="12"/>
  <c r="G197" i="12"/>
  <c r="G91" i="12"/>
  <c r="H100" i="12"/>
  <c r="G189" i="12"/>
  <c r="H99" i="12"/>
  <c r="J196" i="12"/>
  <c r="I232" i="12"/>
  <c r="V73" i="15" l="1"/>
  <c r="V71" i="15"/>
  <c r="T81" i="15"/>
  <c r="AL211" i="15"/>
  <c r="T7" i="15"/>
  <c r="W197" i="15"/>
  <c r="W50" i="15" s="1"/>
  <c r="X191" i="15"/>
  <c r="W189" i="15"/>
  <c r="X99" i="15"/>
  <c r="Y100" i="15"/>
  <c r="X91" i="15"/>
  <c r="W232" i="15"/>
  <c r="X196" i="15"/>
  <c r="AM211" i="15"/>
  <c r="U7" i="15"/>
  <c r="L189" i="14"/>
  <c r="M99" i="14"/>
  <c r="M100" i="14"/>
  <c r="L91" i="14"/>
  <c r="L232" i="14"/>
  <c r="M196" i="14"/>
  <c r="K197" i="14"/>
  <c r="L191" i="14"/>
  <c r="H232" i="13"/>
  <c r="I196" i="13"/>
  <c r="I191" i="13"/>
  <c r="H197" i="13"/>
  <c r="I189" i="13"/>
  <c r="J99" i="13"/>
  <c r="J100" i="13"/>
  <c r="I91" i="13"/>
  <c r="H189" i="12"/>
  <c r="I99" i="12"/>
  <c r="K196" i="12"/>
  <c r="J232" i="12"/>
  <c r="I100" i="12"/>
  <c r="H91" i="12"/>
  <c r="I191" i="12"/>
  <c r="H197" i="12"/>
  <c r="V81" i="15" l="1"/>
  <c r="X189" i="15"/>
  <c r="Y99" i="15"/>
  <c r="Y196" i="15"/>
  <c r="X232" i="15"/>
  <c r="X197" i="15"/>
  <c r="X49" i="15" s="1"/>
  <c r="Y191" i="15"/>
  <c r="W71" i="15"/>
  <c r="W73" i="15"/>
  <c r="Y91" i="15"/>
  <c r="Z100" i="15"/>
  <c r="AN211" i="15"/>
  <c r="V7" i="15"/>
  <c r="L197" i="14"/>
  <c r="M191" i="14"/>
  <c r="M232" i="14"/>
  <c r="N196" i="14"/>
  <c r="M91" i="14"/>
  <c r="N100" i="14"/>
  <c r="M189" i="14"/>
  <c r="N99" i="14"/>
  <c r="J189" i="13"/>
  <c r="K99" i="13"/>
  <c r="K100" i="13"/>
  <c r="J196" i="13"/>
  <c r="I232" i="13"/>
  <c r="I197" i="13"/>
  <c r="J191" i="13"/>
  <c r="J100" i="12"/>
  <c r="I91" i="12"/>
  <c r="K232" i="12"/>
  <c r="L196" i="12"/>
  <c r="I197" i="12"/>
  <c r="J191" i="12"/>
  <c r="I189" i="12"/>
  <c r="J99" i="12"/>
  <c r="Y197" i="15" l="1"/>
  <c r="Z191" i="15"/>
  <c r="X50" i="15"/>
  <c r="Y232" i="15"/>
  <c r="Z196" i="15"/>
  <c r="AO211" i="15"/>
  <c r="W7" i="15"/>
  <c r="W81" i="15"/>
  <c r="Y189" i="15"/>
  <c r="Z99" i="15"/>
  <c r="AA100" i="15"/>
  <c r="N191" i="14"/>
  <c r="M197" i="14"/>
  <c r="N189" i="14"/>
  <c r="O99" i="14"/>
  <c r="N91" i="14"/>
  <c r="O100" i="14"/>
  <c r="N232" i="14"/>
  <c r="O196" i="14"/>
  <c r="K196" i="13"/>
  <c r="J232" i="13"/>
  <c r="J197" i="13"/>
  <c r="K191" i="13"/>
  <c r="J91" i="13"/>
  <c r="L100" i="13"/>
  <c r="K91" i="13"/>
  <c r="K189" i="13"/>
  <c r="L99" i="13"/>
  <c r="J189" i="12"/>
  <c r="K99" i="12"/>
  <c r="J197" i="12"/>
  <c r="K191" i="12"/>
  <c r="L232" i="12"/>
  <c r="M196" i="12"/>
  <c r="J91" i="12"/>
  <c r="K100" i="12"/>
  <c r="AA196" i="15" l="1"/>
  <c r="Z232" i="15"/>
  <c r="X73" i="15"/>
  <c r="X71" i="15"/>
  <c r="Z91" i="15"/>
  <c r="Z197" i="15"/>
  <c r="Z49" i="15" s="1"/>
  <c r="AA191" i="15"/>
  <c r="AB100" i="15"/>
  <c r="AA91" i="15"/>
  <c r="Z189" i="15"/>
  <c r="AA99" i="15"/>
  <c r="O232" i="14"/>
  <c r="P196" i="14"/>
  <c r="P100" i="14"/>
  <c r="O189" i="14"/>
  <c r="P99" i="14"/>
  <c r="O191" i="14"/>
  <c r="N197" i="14"/>
  <c r="M100" i="13"/>
  <c r="K197" i="13"/>
  <c r="L191" i="13"/>
  <c r="L189" i="13"/>
  <c r="M99" i="13"/>
  <c r="K232" i="13"/>
  <c r="L196" i="13"/>
  <c r="L100" i="12"/>
  <c r="K91" i="12"/>
  <c r="M232" i="12"/>
  <c r="N196" i="12"/>
  <c r="K197" i="12"/>
  <c r="L191" i="12"/>
  <c r="K189" i="12"/>
  <c r="L99" i="12"/>
  <c r="M49" i="11"/>
  <c r="L35" i="11"/>
  <c r="AK68" i="11"/>
  <c r="AK67" i="11"/>
  <c r="AA189" i="15" l="1"/>
  <c r="AB99" i="15"/>
  <c r="Z50" i="15"/>
  <c r="AC100" i="15"/>
  <c r="X81" i="15"/>
  <c r="AP211" i="15"/>
  <c r="X7" i="15"/>
  <c r="AA197" i="15"/>
  <c r="AA49" i="15" s="1"/>
  <c r="AA50" i="15" s="1"/>
  <c r="AB191" i="15"/>
  <c r="AB196" i="15"/>
  <c r="AA232" i="15"/>
  <c r="P191" i="14"/>
  <c r="O197" i="14"/>
  <c r="P189" i="14"/>
  <c r="Q99" i="14"/>
  <c r="O91" i="14"/>
  <c r="P91" i="14"/>
  <c r="Q100" i="14"/>
  <c r="P232" i="14"/>
  <c r="Q196" i="14"/>
  <c r="L232" i="13"/>
  <c r="M196" i="13"/>
  <c r="M189" i="13"/>
  <c r="N99" i="13"/>
  <c r="L197" i="13"/>
  <c r="M191" i="13"/>
  <c r="N100" i="13"/>
  <c r="M91" i="13"/>
  <c r="L91" i="13"/>
  <c r="L189" i="12"/>
  <c r="M99" i="12"/>
  <c r="L197" i="12"/>
  <c r="M191" i="12"/>
  <c r="N232" i="12"/>
  <c r="O196" i="12"/>
  <c r="M100" i="12"/>
  <c r="L91" i="12"/>
  <c r="AC191" i="15" l="1"/>
  <c r="AB197" i="15"/>
  <c r="AB49" i="15" s="1"/>
  <c r="AB50" i="15" s="1"/>
  <c r="AA71" i="15"/>
  <c r="AA73" i="15"/>
  <c r="AD100" i="15"/>
  <c r="AC91" i="15"/>
  <c r="Z71" i="15"/>
  <c r="Z73" i="15"/>
  <c r="AB189" i="15"/>
  <c r="AC99" i="15"/>
  <c r="AC196" i="15"/>
  <c r="AB232" i="15"/>
  <c r="R100" i="14"/>
  <c r="Q189" i="14"/>
  <c r="R99" i="14"/>
  <c r="R196" i="14"/>
  <c r="Q232" i="14"/>
  <c r="P197" i="14"/>
  <c r="Q191" i="14"/>
  <c r="Q91" i="14" s="1"/>
  <c r="O100" i="13"/>
  <c r="N191" i="13"/>
  <c r="M197" i="13"/>
  <c r="N189" i="13"/>
  <c r="O99" i="13"/>
  <c r="M232" i="13"/>
  <c r="N196" i="13"/>
  <c r="N91" i="13" s="1"/>
  <c r="N100" i="12"/>
  <c r="M91" i="12"/>
  <c r="N191" i="12"/>
  <c r="M197" i="12"/>
  <c r="M189" i="12"/>
  <c r="N99" i="12"/>
  <c r="O232" i="12"/>
  <c r="P196" i="12"/>
  <c r="AA81" i="15" l="1"/>
  <c r="Z81" i="15"/>
  <c r="AE100" i="15"/>
  <c r="AD91" i="15"/>
  <c r="AS211" i="15"/>
  <c r="AA7" i="15"/>
  <c r="AD196" i="15"/>
  <c r="AC232" i="15"/>
  <c r="AC189" i="15"/>
  <c r="AD99" i="15"/>
  <c r="AC197" i="15"/>
  <c r="AC49" i="15" s="1"/>
  <c r="AC50" i="15" s="1"/>
  <c r="AD191" i="15"/>
  <c r="AR211" i="15"/>
  <c r="Z7" i="15"/>
  <c r="AB73" i="15"/>
  <c r="AB71" i="15"/>
  <c r="R232" i="14"/>
  <c r="S196" i="14"/>
  <c r="R189" i="14"/>
  <c r="S99" i="14"/>
  <c r="Q197" i="14"/>
  <c r="R191" i="14"/>
  <c r="S100" i="14"/>
  <c r="R91" i="14"/>
  <c r="O191" i="13"/>
  <c r="N197" i="13"/>
  <c r="N232" i="13"/>
  <c r="O196" i="13"/>
  <c r="O189" i="13"/>
  <c r="P99" i="13"/>
  <c r="P100" i="13"/>
  <c r="O91" i="13"/>
  <c r="O191" i="12"/>
  <c r="N197" i="12"/>
  <c r="N189" i="12"/>
  <c r="O99" i="12"/>
  <c r="P232" i="12"/>
  <c r="Q196" i="12"/>
  <c r="N91" i="12"/>
  <c r="O100" i="12"/>
  <c r="AD232" i="15" l="1"/>
  <c r="AE196" i="15"/>
  <c r="AC71" i="15"/>
  <c r="AC73" i="15"/>
  <c r="AE91" i="15"/>
  <c r="AF100" i="15"/>
  <c r="AE191" i="15"/>
  <c r="AD197" i="15"/>
  <c r="AD49" i="15" s="1"/>
  <c r="AD50" i="15" s="1"/>
  <c r="AB81" i="15"/>
  <c r="AD189" i="15"/>
  <c r="AE99" i="15"/>
  <c r="AT211" i="15"/>
  <c r="AB7" i="15"/>
  <c r="T100" i="14"/>
  <c r="S91" i="14"/>
  <c r="R197" i="14"/>
  <c r="S191" i="14"/>
  <c r="S232" i="14"/>
  <c r="T196" i="14"/>
  <c r="S189" i="14"/>
  <c r="T99" i="14"/>
  <c r="Q100" i="13"/>
  <c r="P189" i="13"/>
  <c r="Q99" i="13"/>
  <c r="O232" i="13"/>
  <c r="P196" i="13"/>
  <c r="P191" i="13"/>
  <c r="O197" i="13"/>
  <c r="O91" i="12"/>
  <c r="P100" i="12"/>
  <c r="R196" i="12"/>
  <c r="Q232" i="12"/>
  <c r="O189" i="12"/>
  <c r="P99" i="12"/>
  <c r="P191" i="12"/>
  <c r="O197" i="12"/>
  <c r="AD73" i="15" l="1"/>
  <c r="AD71" i="15"/>
  <c r="AD81" i="15" s="1"/>
  <c r="AC81" i="15"/>
  <c r="AE232" i="15"/>
  <c r="AF196" i="15"/>
  <c r="AF232" i="15" s="1"/>
  <c r="AE197" i="15"/>
  <c r="AE49" i="15" s="1"/>
  <c r="AE50" i="15" s="1"/>
  <c r="AF191" i="15"/>
  <c r="AF197" i="15" s="1"/>
  <c r="AF49" i="15" s="1"/>
  <c r="AU211" i="15"/>
  <c r="AC7" i="15"/>
  <c r="AE189" i="15"/>
  <c r="AF99" i="15"/>
  <c r="AF189" i="15" s="1"/>
  <c r="T189" i="14"/>
  <c r="U99" i="14"/>
  <c r="S197" i="14"/>
  <c r="T191" i="14"/>
  <c r="T232" i="14"/>
  <c r="U196" i="14"/>
  <c r="U100" i="14"/>
  <c r="T91" i="14"/>
  <c r="P232" i="13"/>
  <c r="Q196" i="13"/>
  <c r="Q191" i="13"/>
  <c r="P197" i="13"/>
  <c r="Q189" i="13"/>
  <c r="R99" i="13"/>
  <c r="P91" i="13"/>
  <c r="R100" i="13"/>
  <c r="Q91" i="13"/>
  <c r="Q191" i="12"/>
  <c r="P197" i="12"/>
  <c r="P189" i="12"/>
  <c r="Q99" i="12"/>
  <c r="S196" i="12"/>
  <c r="R232" i="12"/>
  <c r="Q100" i="12"/>
  <c r="P91" i="12"/>
  <c r="AF50" i="15" l="1"/>
  <c r="AH49" i="15"/>
  <c r="AI49" i="15"/>
  <c r="AE71" i="15"/>
  <c r="AE73" i="15"/>
  <c r="AF91" i="15"/>
  <c r="AV211" i="15"/>
  <c r="AD7" i="15"/>
  <c r="V100" i="14"/>
  <c r="U232" i="14"/>
  <c r="V196" i="14"/>
  <c r="T197" i="14"/>
  <c r="T49" i="14" s="1"/>
  <c r="U191" i="14"/>
  <c r="U189" i="14"/>
  <c r="V99" i="14"/>
  <c r="R189" i="13"/>
  <c r="S99" i="13"/>
  <c r="Q197" i="13"/>
  <c r="R191" i="13"/>
  <c r="S100" i="13"/>
  <c r="R91" i="13"/>
  <c r="R196" i="13"/>
  <c r="Q232" i="13"/>
  <c r="Q189" i="12"/>
  <c r="R99" i="12"/>
  <c r="R100" i="12"/>
  <c r="Q91" i="12"/>
  <c r="S232" i="12"/>
  <c r="T196" i="12"/>
  <c r="Q197" i="12"/>
  <c r="R191" i="12"/>
  <c r="AH91" i="15" l="1"/>
  <c r="AI91" i="15"/>
  <c r="AW211" i="15"/>
  <c r="AE7" i="15"/>
  <c r="AE81" i="15"/>
  <c r="AF73" i="15"/>
  <c r="AF71" i="15"/>
  <c r="AH50" i="15"/>
  <c r="AI50" i="15"/>
  <c r="V189" i="14"/>
  <c r="W99" i="14"/>
  <c r="V191" i="14"/>
  <c r="U197" i="14"/>
  <c r="U49" i="14" s="1"/>
  <c r="U50" i="14" s="1"/>
  <c r="T50" i="14"/>
  <c r="V232" i="14"/>
  <c r="W196" i="14"/>
  <c r="U91" i="14"/>
  <c r="V91" i="14"/>
  <c r="W100" i="14"/>
  <c r="S196" i="13"/>
  <c r="R232" i="13"/>
  <c r="R197" i="13"/>
  <c r="S191" i="13"/>
  <c r="T100" i="13"/>
  <c r="S91" i="13"/>
  <c r="S189" i="13"/>
  <c r="T99" i="13"/>
  <c r="R197" i="12"/>
  <c r="S191" i="12"/>
  <c r="T232" i="12"/>
  <c r="U196" i="12"/>
  <c r="R91" i="12"/>
  <c r="S100" i="12"/>
  <c r="R189" i="12"/>
  <c r="S99" i="12"/>
  <c r="AF81" i="15" l="1"/>
  <c r="AI71" i="15"/>
  <c r="AH71" i="15"/>
  <c r="AX211" i="15"/>
  <c r="AF7" i="15"/>
  <c r="A7" i="15" s="1"/>
  <c r="AH73" i="15"/>
  <c r="AI73" i="15"/>
  <c r="U71" i="14"/>
  <c r="U73" i="14"/>
  <c r="W191" i="14"/>
  <c r="V197" i="14"/>
  <c r="V49" i="14" s="1"/>
  <c r="T73" i="14"/>
  <c r="T71" i="14"/>
  <c r="W189" i="14"/>
  <c r="X99" i="14"/>
  <c r="X100" i="14"/>
  <c r="W91" i="14"/>
  <c r="W232" i="14"/>
  <c r="X196" i="14"/>
  <c r="U100" i="13"/>
  <c r="T189" i="13"/>
  <c r="U99" i="13"/>
  <c r="S197" i="13"/>
  <c r="T191" i="13"/>
  <c r="S232" i="13"/>
  <c r="T196" i="13"/>
  <c r="T100" i="12"/>
  <c r="S91" i="12"/>
  <c r="U232" i="12"/>
  <c r="V196" i="12"/>
  <c r="S197" i="12"/>
  <c r="T191" i="12"/>
  <c r="S189" i="12"/>
  <c r="T99" i="12"/>
  <c r="AH81" i="15" l="1"/>
  <c r="AI81" i="15"/>
  <c r="U81" i="14"/>
  <c r="AL211" i="14"/>
  <c r="T7" i="14"/>
  <c r="Y100" i="14"/>
  <c r="X91" i="14"/>
  <c r="X191" i="14"/>
  <c r="W197" i="14"/>
  <c r="W50" i="14" s="1"/>
  <c r="T81" i="14"/>
  <c r="V50" i="14"/>
  <c r="X189" i="14"/>
  <c r="Y99" i="14"/>
  <c r="AM211" i="14"/>
  <c r="U7" i="14"/>
  <c r="X232" i="14"/>
  <c r="Y196" i="14"/>
  <c r="T232" i="13"/>
  <c r="U196" i="13"/>
  <c r="T197" i="13"/>
  <c r="T49" i="13" s="1"/>
  <c r="U191" i="13"/>
  <c r="U91" i="13" s="1"/>
  <c r="U189" i="13"/>
  <c r="V99" i="13"/>
  <c r="T91" i="13"/>
  <c r="V100" i="13"/>
  <c r="T189" i="12"/>
  <c r="U99" i="12"/>
  <c r="T197" i="12"/>
  <c r="T49" i="12" s="1"/>
  <c r="U191" i="12"/>
  <c r="V232" i="12"/>
  <c r="W196" i="12"/>
  <c r="U100" i="12"/>
  <c r="T91" i="12"/>
  <c r="W73" i="14" l="1"/>
  <c r="W71" i="14"/>
  <c r="W81" i="14" s="1"/>
  <c r="Z196" i="14"/>
  <c r="Y232" i="14"/>
  <c r="X197" i="14"/>
  <c r="X50" i="14" s="1"/>
  <c r="Y191" i="14"/>
  <c r="Y91" i="14"/>
  <c r="Z100" i="14"/>
  <c r="V73" i="14"/>
  <c r="V71" i="14"/>
  <c r="Y189" i="14"/>
  <c r="Z99" i="14"/>
  <c r="W100" i="13"/>
  <c r="V189" i="13"/>
  <c r="W99" i="13"/>
  <c r="V191" i="13"/>
  <c r="V91" i="13" s="1"/>
  <c r="U197" i="13"/>
  <c r="U49" i="13" s="1"/>
  <c r="U50" i="13" s="1"/>
  <c r="T50" i="13"/>
  <c r="U232" i="13"/>
  <c r="V196" i="13"/>
  <c r="W232" i="12"/>
  <c r="X196" i="12"/>
  <c r="T50" i="12"/>
  <c r="U189" i="12"/>
  <c r="V99" i="12"/>
  <c r="V100" i="12"/>
  <c r="U91" i="12"/>
  <c r="V191" i="12"/>
  <c r="U197" i="12"/>
  <c r="U49" i="12" s="1"/>
  <c r="U50" i="12" s="1"/>
  <c r="Y197" i="14" l="1"/>
  <c r="Z191" i="14"/>
  <c r="V81" i="14"/>
  <c r="AA196" i="14"/>
  <c r="Z232" i="14"/>
  <c r="X73" i="14"/>
  <c r="X71" i="14"/>
  <c r="Z189" i="14"/>
  <c r="AA99" i="14"/>
  <c r="AN211" i="14"/>
  <c r="V7" i="14"/>
  <c r="AA100" i="14"/>
  <c r="Z91" i="14"/>
  <c r="AO211" i="14"/>
  <c r="W7" i="14"/>
  <c r="U71" i="13"/>
  <c r="U73" i="13"/>
  <c r="W191" i="13"/>
  <c r="V197" i="13"/>
  <c r="V49" i="13" s="1"/>
  <c r="V232" i="13"/>
  <c r="W196" i="13"/>
  <c r="T73" i="13"/>
  <c r="T71" i="13"/>
  <c r="W189" i="13"/>
  <c r="X99" i="13"/>
  <c r="X100" i="13"/>
  <c r="W91" i="13"/>
  <c r="T73" i="12"/>
  <c r="T71" i="12"/>
  <c r="U73" i="12"/>
  <c r="U71" i="12"/>
  <c r="W100" i="12"/>
  <c r="V91" i="12"/>
  <c r="V189" i="12"/>
  <c r="W99" i="12"/>
  <c r="W191" i="12"/>
  <c r="V197" i="12"/>
  <c r="V49" i="12" s="1"/>
  <c r="V50" i="12" s="1"/>
  <c r="X232" i="12"/>
  <c r="Y196" i="12"/>
  <c r="X81" i="14" l="1"/>
  <c r="AA232" i="14"/>
  <c r="AB196" i="14"/>
  <c r="AA189" i="14"/>
  <c r="AB99" i="14"/>
  <c r="Z197" i="14"/>
  <c r="Z49" i="14" s="1"/>
  <c r="AA191" i="14"/>
  <c r="AB100" i="14"/>
  <c r="AP211" i="14"/>
  <c r="X7" i="14"/>
  <c r="Y100" i="13"/>
  <c r="AL211" i="13"/>
  <c r="T7" i="13"/>
  <c r="W232" i="13"/>
  <c r="X196" i="13"/>
  <c r="T81" i="13"/>
  <c r="X191" i="13"/>
  <c r="X91" i="13" s="1"/>
  <c r="W197" i="13"/>
  <c r="W49" i="13" s="1"/>
  <c r="W50" i="13" s="1"/>
  <c r="X189" i="13"/>
  <c r="Y99" i="13"/>
  <c r="AM211" i="13"/>
  <c r="U7" i="13"/>
  <c r="V50" i="13"/>
  <c r="U81" i="13"/>
  <c r="U81" i="12"/>
  <c r="AM211" i="12"/>
  <c r="U7" i="12"/>
  <c r="Z196" i="12"/>
  <c r="Y232" i="12"/>
  <c r="V73" i="12"/>
  <c r="V71" i="12"/>
  <c r="W189" i="12"/>
  <c r="X99" i="12"/>
  <c r="T81" i="12"/>
  <c r="X100" i="12"/>
  <c r="W91" i="12"/>
  <c r="X191" i="12"/>
  <c r="W197" i="12"/>
  <c r="W49" i="12" s="1"/>
  <c r="W50" i="12" s="1"/>
  <c r="AL211" i="12"/>
  <c r="T7" i="12"/>
  <c r="AA197" i="14" l="1"/>
  <c r="AA49" i="14" s="1"/>
  <c r="AA50" i="14" s="1"/>
  <c r="AB191" i="14"/>
  <c r="AA91" i="14"/>
  <c r="Z50" i="14"/>
  <c r="AB189" i="14"/>
  <c r="AC99" i="14"/>
  <c r="AC100" i="14"/>
  <c r="AB91" i="14"/>
  <c r="AB232" i="14"/>
  <c r="AC196" i="14"/>
  <c r="Y189" i="13"/>
  <c r="Z99" i="13"/>
  <c r="W73" i="13"/>
  <c r="W71" i="13"/>
  <c r="Z100" i="13"/>
  <c r="Y191" i="13"/>
  <c r="X197" i="13"/>
  <c r="X50" i="13" s="1"/>
  <c r="V71" i="13"/>
  <c r="V73" i="13"/>
  <c r="X232" i="13"/>
  <c r="Y196" i="13"/>
  <c r="AN211" i="12"/>
  <c r="V7" i="12"/>
  <c r="X189" i="12"/>
  <c r="Y99" i="12"/>
  <c r="AA196" i="12"/>
  <c r="Z232" i="12"/>
  <c r="Y100" i="12"/>
  <c r="X91" i="12"/>
  <c r="W71" i="12"/>
  <c r="W73" i="12"/>
  <c r="Y191" i="12"/>
  <c r="X197" i="12"/>
  <c r="V81" i="12"/>
  <c r="AC189" i="14" l="1"/>
  <c r="AD99" i="14"/>
  <c r="Z71" i="14"/>
  <c r="Z73" i="14"/>
  <c r="AB197" i="14"/>
  <c r="AB49" i="14" s="1"/>
  <c r="AC191" i="14"/>
  <c r="AC91" i="14" s="1"/>
  <c r="AC232" i="14"/>
  <c r="AD196" i="14"/>
  <c r="AD100" i="14"/>
  <c r="AA71" i="14"/>
  <c r="AA73" i="14"/>
  <c r="V81" i="13"/>
  <c r="W81" i="13"/>
  <c r="Y197" i="13"/>
  <c r="Z191" i="13"/>
  <c r="AO211" i="13"/>
  <c r="W7" i="13"/>
  <c r="Z196" i="13"/>
  <c r="Y232" i="13"/>
  <c r="Y91" i="13"/>
  <c r="Z189" i="13"/>
  <c r="AA99" i="13"/>
  <c r="AN211" i="13"/>
  <c r="V7" i="13"/>
  <c r="X71" i="13"/>
  <c r="X73" i="13"/>
  <c r="AA100" i="13"/>
  <c r="Z91" i="13"/>
  <c r="Y197" i="12"/>
  <c r="Z191" i="12"/>
  <c r="W81" i="12"/>
  <c r="AO211" i="12"/>
  <c r="W7" i="12"/>
  <c r="Y189" i="12"/>
  <c r="Z99" i="12"/>
  <c r="Z100" i="12"/>
  <c r="Y91" i="12"/>
  <c r="AA232" i="12"/>
  <c r="AB196" i="12"/>
  <c r="X50" i="12"/>
  <c r="AA81" i="14" l="1"/>
  <c r="AB50" i="14"/>
  <c r="AR211" i="14"/>
  <c r="Z7" i="14"/>
  <c r="Z81" i="14"/>
  <c r="AE100" i="14"/>
  <c r="AD189" i="14"/>
  <c r="AE99" i="14"/>
  <c r="AD191" i="14"/>
  <c r="AC197" i="14"/>
  <c r="AC49" i="14" s="1"/>
  <c r="AC50" i="14" s="1"/>
  <c r="AS211" i="14"/>
  <c r="AA7" i="14"/>
  <c r="AD232" i="14"/>
  <c r="AE196" i="14"/>
  <c r="AA189" i="13"/>
  <c r="AB99" i="13"/>
  <c r="AP211" i="13"/>
  <c r="X7" i="13"/>
  <c r="Z197" i="13"/>
  <c r="Z49" i="13" s="1"/>
  <c r="AA191" i="13"/>
  <c r="AB100" i="13"/>
  <c r="AA91" i="13"/>
  <c r="X81" i="13"/>
  <c r="AA196" i="13"/>
  <c r="Z232" i="13"/>
  <c r="AB232" i="12"/>
  <c r="AC196" i="12"/>
  <c r="Z91" i="12"/>
  <c r="AA100" i="12"/>
  <c r="Z197" i="12"/>
  <c r="Z49" i="12" s="1"/>
  <c r="AA191" i="12"/>
  <c r="Z189" i="12"/>
  <c r="AA99" i="12"/>
  <c r="X73" i="12"/>
  <c r="X71" i="12"/>
  <c r="AC71" i="14" l="1"/>
  <c r="AC73" i="14"/>
  <c r="AE191" i="14"/>
  <c r="AD197" i="14"/>
  <c r="AD49" i="14" s="1"/>
  <c r="AD50" i="14" s="1"/>
  <c r="AD91" i="14"/>
  <c r="AB73" i="14"/>
  <c r="AB71" i="14"/>
  <c r="AE189" i="14"/>
  <c r="AF99" i="14"/>
  <c r="AE232" i="14"/>
  <c r="AF196" i="14"/>
  <c r="AF232" i="14" s="1"/>
  <c r="AF100" i="14"/>
  <c r="AE91" i="14"/>
  <c r="Z50" i="13"/>
  <c r="AA232" i="13"/>
  <c r="AB196" i="13"/>
  <c r="AB189" i="13"/>
  <c r="AC99" i="13"/>
  <c r="AB91" i="13"/>
  <c r="AC100" i="13"/>
  <c r="AA197" i="13"/>
  <c r="AA49" i="13" s="1"/>
  <c r="AA50" i="13" s="1"/>
  <c r="AB191" i="13"/>
  <c r="AA197" i="12"/>
  <c r="AA49" i="12" s="1"/>
  <c r="AA50" i="12" s="1"/>
  <c r="AB191" i="12"/>
  <c r="Z50" i="12"/>
  <c r="X81" i="12"/>
  <c r="AP211" i="12"/>
  <c r="X7" i="12"/>
  <c r="AA189" i="12"/>
  <c r="AB99" i="12"/>
  <c r="AC232" i="12"/>
  <c r="AD196" i="12"/>
  <c r="AA91" i="12"/>
  <c r="AB100" i="12"/>
  <c r="AF189" i="14" l="1"/>
  <c r="AF191" i="14"/>
  <c r="AF197" i="14" s="1"/>
  <c r="AF49" i="14" s="1"/>
  <c r="AE197" i="14"/>
  <c r="AE49" i="14" s="1"/>
  <c r="AE50" i="14" s="1"/>
  <c r="AT211" i="14"/>
  <c r="AB7" i="14"/>
  <c r="AU211" i="14"/>
  <c r="AC7" i="14"/>
  <c r="AD73" i="14"/>
  <c r="AD71" i="14"/>
  <c r="AB81" i="14"/>
  <c r="AC81" i="14"/>
  <c r="AB232" i="13"/>
  <c r="AC196" i="13"/>
  <c r="AB197" i="13"/>
  <c r="AB49" i="13" s="1"/>
  <c r="AB50" i="13" s="1"/>
  <c r="AC191" i="13"/>
  <c r="AC91" i="13" s="1"/>
  <c r="AC189" i="13"/>
  <c r="AD99" i="13"/>
  <c r="AA73" i="13"/>
  <c r="AA71" i="13"/>
  <c r="AD100" i="13"/>
  <c r="Z73" i="13"/>
  <c r="Z71" i="13"/>
  <c r="AC100" i="12"/>
  <c r="AB91" i="12"/>
  <c r="AB189" i="12"/>
  <c r="AC99" i="12"/>
  <c r="Z71" i="12"/>
  <c r="Z73" i="12"/>
  <c r="AB197" i="12"/>
  <c r="AB49" i="12" s="1"/>
  <c r="AB50" i="12" s="1"/>
  <c r="AC191" i="12"/>
  <c r="AD232" i="12"/>
  <c r="AE196" i="12"/>
  <c r="AA73" i="12"/>
  <c r="AA71" i="12"/>
  <c r="AD81" i="14" l="1"/>
  <c r="AE73" i="14"/>
  <c r="AE71" i="14"/>
  <c r="AE81" i="14" s="1"/>
  <c r="AV211" i="14"/>
  <c r="AD7" i="14"/>
  <c r="AF50" i="14"/>
  <c r="AH49" i="14"/>
  <c r="AI49" i="14"/>
  <c r="AF91" i="14"/>
  <c r="AD189" i="13"/>
  <c r="AE99" i="13"/>
  <c r="AS211" i="13"/>
  <c r="AA7" i="13"/>
  <c r="Z81" i="13"/>
  <c r="AB73" i="13"/>
  <c r="AB71" i="13"/>
  <c r="AD191" i="13"/>
  <c r="AD91" i="13" s="1"/>
  <c r="AC197" i="13"/>
  <c r="AC49" i="13" s="1"/>
  <c r="AC50" i="13" s="1"/>
  <c r="AE100" i="13"/>
  <c r="AC232" i="13"/>
  <c r="AD196" i="13"/>
  <c r="AR211" i="13"/>
  <c r="Z7" i="13"/>
  <c r="AA81" i="13"/>
  <c r="AS211" i="12"/>
  <c r="AA7" i="12"/>
  <c r="AC189" i="12"/>
  <c r="AD99" i="12"/>
  <c r="AA81" i="12"/>
  <c r="AR211" i="12"/>
  <c r="Z7" i="12"/>
  <c r="AE232" i="12"/>
  <c r="AF196" i="12"/>
  <c r="AF232" i="12" s="1"/>
  <c r="AD191" i="12"/>
  <c r="AC197" i="12"/>
  <c r="AC49" i="12" s="1"/>
  <c r="AC50" i="12" s="1"/>
  <c r="Z81" i="12"/>
  <c r="AB73" i="12"/>
  <c r="AB71" i="12"/>
  <c r="AB81" i="12" s="1"/>
  <c r="AD100" i="12"/>
  <c r="AC91" i="12"/>
  <c r="AF73" i="14" l="1"/>
  <c r="AF71" i="14"/>
  <c r="AH50" i="14"/>
  <c r="AI50" i="14"/>
  <c r="AH91" i="14"/>
  <c r="AI91" i="14"/>
  <c r="AW211" i="14"/>
  <c r="AE7" i="14"/>
  <c r="AB81" i="13"/>
  <c r="AT211" i="13"/>
  <c r="AB7" i="13"/>
  <c r="AF100" i="13"/>
  <c r="AE91" i="13"/>
  <c r="AD232" i="13"/>
  <c r="AE196" i="13"/>
  <c r="AC71" i="13"/>
  <c r="AC73" i="13"/>
  <c r="AE189" i="13"/>
  <c r="AF99" i="13"/>
  <c r="AE191" i="13"/>
  <c r="AD197" i="13"/>
  <c r="AD49" i="13" s="1"/>
  <c r="AD50" i="13" s="1"/>
  <c r="AE100" i="12"/>
  <c r="AD91" i="12"/>
  <c r="AC73" i="12"/>
  <c r="AC71" i="12"/>
  <c r="AC81" i="12" s="1"/>
  <c r="AT211" i="12"/>
  <c r="AB7" i="12"/>
  <c r="AD189" i="12"/>
  <c r="AE99" i="12"/>
  <c r="AE191" i="12"/>
  <c r="AD197" i="12"/>
  <c r="AD49" i="12" s="1"/>
  <c r="AD50" i="12" s="1"/>
  <c r="AF81" i="14" l="1"/>
  <c r="AH71" i="14"/>
  <c r="AI71" i="14"/>
  <c r="AX211" i="14"/>
  <c r="AF7" i="14"/>
  <c r="A7" i="14" s="1"/>
  <c r="AI73" i="14"/>
  <c r="AH73" i="14"/>
  <c r="AC81" i="13"/>
  <c r="AF189" i="13"/>
  <c r="AE232" i="13"/>
  <c r="AF196" i="13"/>
  <c r="AF232" i="13" s="1"/>
  <c r="AD71" i="13"/>
  <c r="AD73" i="13"/>
  <c r="AF91" i="13"/>
  <c r="AF191" i="13"/>
  <c r="AF197" i="13" s="1"/>
  <c r="AF49" i="13" s="1"/>
  <c r="AE197" i="13"/>
  <c r="AE49" i="13" s="1"/>
  <c r="AE50" i="13" s="1"/>
  <c r="AU211" i="13"/>
  <c r="AC7" i="13"/>
  <c r="AU211" i="12"/>
  <c r="AC7" i="12"/>
  <c r="AD73" i="12"/>
  <c r="AD71" i="12"/>
  <c r="AE189" i="12"/>
  <c r="AF99" i="12"/>
  <c r="AF189" i="12" s="1"/>
  <c r="AF191" i="12"/>
  <c r="AF197" i="12" s="1"/>
  <c r="AF49" i="12" s="1"/>
  <c r="AE197" i="12"/>
  <c r="AE49" i="12" s="1"/>
  <c r="AE50" i="12" s="1"/>
  <c r="AF100" i="12"/>
  <c r="AE91" i="12"/>
  <c r="AI81" i="14" l="1"/>
  <c r="AH81" i="14"/>
  <c r="AD81" i="13"/>
  <c r="AE73" i="13"/>
  <c r="AE71" i="13"/>
  <c r="AH91" i="13"/>
  <c r="AI91" i="13"/>
  <c r="AV211" i="13"/>
  <c r="AD7" i="13"/>
  <c r="AF50" i="13"/>
  <c r="AH49" i="13"/>
  <c r="AI49" i="13"/>
  <c r="AD81" i="12"/>
  <c r="AF50" i="12"/>
  <c r="AH49" i="12"/>
  <c r="AI49" i="12"/>
  <c r="AE71" i="12"/>
  <c r="AE73" i="12"/>
  <c r="AV211" i="12"/>
  <c r="AD7" i="12"/>
  <c r="AF91" i="12"/>
  <c r="AE81" i="13" l="1"/>
  <c r="AF71" i="13"/>
  <c r="AF73" i="13"/>
  <c r="AI50" i="13"/>
  <c r="AH50" i="13"/>
  <c r="AW211" i="13"/>
  <c r="AE7" i="13"/>
  <c r="AW211" i="12"/>
  <c r="AE7" i="12"/>
  <c r="AH91" i="12"/>
  <c r="AI91" i="12"/>
  <c r="AE81" i="12"/>
  <c r="AF73" i="12"/>
  <c r="AF71" i="12"/>
  <c r="AI50" i="12"/>
  <c r="AH50" i="12"/>
  <c r="AX211" i="13" l="1"/>
  <c r="AF7" i="13"/>
  <c r="A7" i="13" s="1"/>
  <c r="AH73" i="13"/>
  <c r="AI73" i="13"/>
  <c r="AF81" i="13"/>
  <c r="AI71" i="13"/>
  <c r="AH71" i="13"/>
  <c r="AX211" i="12"/>
  <c r="AF7" i="12"/>
  <c r="A7" i="12" s="1"/>
  <c r="AH73" i="12"/>
  <c r="AI73" i="12"/>
  <c r="AF81" i="12"/>
  <c r="AH71" i="12"/>
  <c r="AI71" i="12"/>
  <c r="AI81" i="13" l="1"/>
  <c r="AH81" i="13"/>
  <c r="AH81" i="12"/>
  <c r="AI81" i="12"/>
  <c r="AH97" i="11" l="1"/>
  <c r="AI97" i="11" s="1"/>
  <c r="B49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B232" i="11"/>
  <c r="S207" i="11"/>
  <c r="AG197" i="11"/>
  <c r="B197" i="11"/>
  <c r="C196" i="11"/>
  <c r="C232" i="11" s="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C195" i="11"/>
  <c r="D195" i="11" s="1"/>
  <c r="C194" i="11"/>
  <c r="D194" i="11" s="1"/>
  <c r="E194" i="11" s="1"/>
  <c r="F194" i="11" s="1"/>
  <c r="G194" i="11" s="1"/>
  <c r="H194" i="11" s="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E193" i="11"/>
  <c r="F193" i="11" s="1"/>
  <c r="G193" i="11" s="1"/>
  <c r="H193" i="11" s="1"/>
  <c r="I193" i="11" s="1"/>
  <c r="J193" i="11" s="1"/>
  <c r="K193" i="11" s="1"/>
  <c r="L193" i="11" s="1"/>
  <c r="M193" i="11" s="1"/>
  <c r="N193" i="11" s="1"/>
  <c r="O193" i="11" s="1"/>
  <c r="P193" i="11" s="1"/>
  <c r="Q193" i="11" s="1"/>
  <c r="R193" i="11" s="1"/>
  <c r="S193" i="11" s="1"/>
  <c r="T193" i="11" s="1"/>
  <c r="U193" i="11" s="1"/>
  <c r="V193" i="11" s="1"/>
  <c r="W193" i="11" s="1"/>
  <c r="X193" i="11" s="1"/>
  <c r="Y193" i="11" s="1"/>
  <c r="Z193" i="11" s="1"/>
  <c r="AA193" i="11" s="1"/>
  <c r="AB193" i="11" s="1"/>
  <c r="AC193" i="11" s="1"/>
  <c r="AD193" i="11" s="1"/>
  <c r="AE193" i="11" s="1"/>
  <c r="AF193" i="11" s="1"/>
  <c r="C193" i="11"/>
  <c r="D193" i="11" s="1"/>
  <c r="C192" i="11"/>
  <c r="D192" i="11" s="1"/>
  <c r="E192" i="11" s="1"/>
  <c r="F192" i="11" s="1"/>
  <c r="G192" i="11" s="1"/>
  <c r="H192" i="11" s="1"/>
  <c r="I192" i="11" s="1"/>
  <c r="J192" i="11" s="1"/>
  <c r="K192" i="11" s="1"/>
  <c r="L192" i="11" s="1"/>
  <c r="M192" i="11" s="1"/>
  <c r="N192" i="11" s="1"/>
  <c r="O192" i="11" s="1"/>
  <c r="P192" i="11" s="1"/>
  <c r="Q192" i="11" s="1"/>
  <c r="R192" i="11" s="1"/>
  <c r="S192" i="11" s="1"/>
  <c r="T192" i="11" s="1"/>
  <c r="U192" i="11" s="1"/>
  <c r="V192" i="11" s="1"/>
  <c r="W192" i="11" s="1"/>
  <c r="X192" i="11" s="1"/>
  <c r="Y192" i="11" s="1"/>
  <c r="Z192" i="11" s="1"/>
  <c r="AA192" i="11" s="1"/>
  <c r="AB192" i="11" s="1"/>
  <c r="AC192" i="11" s="1"/>
  <c r="AD192" i="11" s="1"/>
  <c r="AE192" i="11" s="1"/>
  <c r="AF192" i="11" s="1"/>
  <c r="D191" i="11"/>
  <c r="C191" i="11"/>
  <c r="C197" i="11" s="1"/>
  <c r="AG189" i="11"/>
  <c r="B189" i="11"/>
  <c r="C188" i="11"/>
  <c r="D188" i="11" s="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C187" i="11"/>
  <c r="D187" i="11" s="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D186" i="1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C186" i="11"/>
  <c r="E185" i="1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D185" i="11"/>
  <c r="C185" i="11"/>
  <c r="Q184" i="1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C184" i="11"/>
  <c r="D184" i="11" s="1"/>
  <c r="E184" i="11" s="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F183" i="11"/>
  <c r="G183" i="11" s="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E183" i="11"/>
  <c r="C183" i="11"/>
  <c r="D183" i="11" s="1"/>
  <c r="C182" i="11"/>
  <c r="D182" i="11" s="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D181" i="11"/>
  <c r="E181" i="11" s="1"/>
  <c r="F181" i="11" s="1"/>
  <c r="G181" i="11" s="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C181" i="11"/>
  <c r="J180" i="1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I180" i="11"/>
  <c r="G180" i="11"/>
  <c r="H180" i="11" s="1"/>
  <c r="C180" i="11"/>
  <c r="D180" i="11" s="1"/>
  <c r="E180" i="11" s="1"/>
  <c r="F180" i="11" s="1"/>
  <c r="C179" i="11"/>
  <c r="D179" i="11" s="1"/>
  <c r="E179" i="11" s="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C178" i="11"/>
  <c r="D178" i="11" s="1"/>
  <c r="E178" i="11" s="1"/>
  <c r="F178" i="11" s="1"/>
  <c r="G178" i="11" s="1"/>
  <c r="H178" i="11" s="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C177" i="11"/>
  <c r="D177" i="11" s="1"/>
  <c r="E177" i="11" s="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G176" i="1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E176" i="11"/>
  <c r="F176" i="11" s="1"/>
  <c r="D176" i="11"/>
  <c r="C176" i="11"/>
  <c r="J174" i="1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H174" i="11"/>
  <c r="I174" i="11" s="1"/>
  <c r="E174" i="11"/>
  <c r="F174" i="11" s="1"/>
  <c r="G174" i="11" s="1"/>
  <c r="C174" i="11"/>
  <c r="D174" i="11" s="1"/>
  <c r="D173" i="11"/>
  <c r="E173" i="11" s="1"/>
  <c r="F173" i="11" s="1"/>
  <c r="G173" i="11" s="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C173" i="11"/>
  <c r="O172" i="1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D172" i="11"/>
  <c r="E172" i="11" s="1"/>
  <c r="F172" i="11" s="1"/>
  <c r="G172" i="11" s="1"/>
  <c r="H172" i="11" s="1"/>
  <c r="I172" i="11" s="1"/>
  <c r="J172" i="11" s="1"/>
  <c r="K172" i="11" s="1"/>
  <c r="L172" i="11" s="1"/>
  <c r="M172" i="11" s="1"/>
  <c r="N172" i="11" s="1"/>
  <c r="C172" i="11"/>
  <c r="G171" i="1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E171" i="11"/>
  <c r="F171" i="11" s="1"/>
  <c r="D171" i="11"/>
  <c r="C171" i="11"/>
  <c r="F170" i="1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E170" i="11"/>
  <c r="C170" i="11"/>
  <c r="D170" i="11" s="1"/>
  <c r="P169" i="1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N169" i="11"/>
  <c r="O169" i="11" s="1"/>
  <c r="F169" i="11"/>
  <c r="G169" i="11" s="1"/>
  <c r="H169" i="11" s="1"/>
  <c r="I169" i="11" s="1"/>
  <c r="J169" i="11" s="1"/>
  <c r="K169" i="11" s="1"/>
  <c r="L169" i="11" s="1"/>
  <c r="M169" i="11" s="1"/>
  <c r="E169" i="11"/>
  <c r="D169" i="11"/>
  <c r="C169" i="11"/>
  <c r="C168" i="11"/>
  <c r="D168" i="11" s="1"/>
  <c r="E168" i="11" s="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M167" i="1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D167" i="11"/>
  <c r="E167" i="11" s="1"/>
  <c r="F167" i="11" s="1"/>
  <c r="G167" i="11" s="1"/>
  <c r="H167" i="11" s="1"/>
  <c r="I167" i="11" s="1"/>
  <c r="J167" i="11" s="1"/>
  <c r="K167" i="11" s="1"/>
  <c r="L167" i="11" s="1"/>
  <c r="C167" i="11"/>
  <c r="AA165" i="11"/>
  <c r="AB165" i="11" s="1"/>
  <c r="AC165" i="11" s="1"/>
  <c r="AD165" i="11" s="1"/>
  <c r="AE165" i="11" s="1"/>
  <c r="AF165" i="11" s="1"/>
  <c r="D165" i="11"/>
  <c r="E165" i="11" s="1"/>
  <c r="F165" i="11" s="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C165" i="11"/>
  <c r="D164" i="1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C164" i="11"/>
  <c r="N163" i="1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F163" i="11"/>
  <c r="G163" i="11" s="1"/>
  <c r="H163" i="11" s="1"/>
  <c r="I163" i="11" s="1"/>
  <c r="J163" i="11" s="1"/>
  <c r="K163" i="11" s="1"/>
  <c r="L163" i="11" s="1"/>
  <c r="M163" i="11" s="1"/>
  <c r="C163" i="11"/>
  <c r="D163" i="11" s="1"/>
  <c r="E163" i="11" s="1"/>
  <c r="N162" i="1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D162" i="11"/>
  <c r="E162" i="11" s="1"/>
  <c r="F162" i="11" s="1"/>
  <c r="G162" i="11" s="1"/>
  <c r="H162" i="11" s="1"/>
  <c r="I162" i="11" s="1"/>
  <c r="J162" i="11" s="1"/>
  <c r="K162" i="11" s="1"/>
  <c r="L162" i="11" s="1"/>
  <c r="M162" i="11" s="1"/>
  <c r="C162" i="11"/>
  <c r="J161" i="1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D161" i="11"/>
  <c r="E161" i="11" s="1"/>
  <c r="F161" i="11" s="1"/>
  <c r="G161" i="11" s="1"/>
  <c r="H161" i="11" s="1"/>
  <c r="I161" i="11" s="1"/>
  <c r="C161" i="1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C160" i="11"/>
  <c r="C159" i="11"/>
  <c r="D159" i="11" s="1"/>
  <c r="E159" i="11" s="1"/>
  <c r="F159" i="11" s="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AB158" i="11"/>
  <c r="AC158" i="11" s="1"/>
  <c r="AD158" i="11" s="1"/>
  <c r="AE158" i="11" s="1"/>
  <c r="AF158" i="11" s="1"/>
  <c r="E158" i="1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D158" i="11"/>
  <c r="C158" i="11"/>
  <c r="R157" i="1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C157" i="11"/>
  <c r="D157" i="11" s="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Y156" i="11"/>
  <c r="Z156" i="11" s="1"/>
  <c r="AA156" i="11" s="1"/>
  <c r="AB156" i="11" s="1"/>
  <c r="AC156" i="11" s="1"/>
  <c r="AD156" i="11" s="1"/>
  <c r="AE156" i="11" s="1"/>
  <c r="AF156" i="11" s="1"/>
  <c r="X156" i="11"/>
  <c r="H156" i="1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D156" i="11"/>
  <c r="E156" i="11" s="1"/>
  <c r="F156" i="11" s="1"/>
  <c r="G156" i="11" s="1"/>
  <c r="C156" i="11"/>
  <c r="AE155" i="11"/>
  <c r="AF155" i="11" s="1"/>
  <c r="P155" i="1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N155" i="11"/>
  <c r="O155" i="11" s="1"/>
  <c r="F155" i="11"/>
  <c r="G155" i="11" s="1"/>
  <c r="H155" i="11" s="1"/>
  <c r="I155" i="11" s="1"/>
  <c r="J155" i="11" s="1"/>
  <c r="K155" i="11" s="1"/>
  <c r="L155" i="11" s="1"/>
  <c r="M155" i="11" s="1"/>
  <c r="E155" i="11"/>
  <c r="C155" i="11"/>
  <c r="D155" i="11" s="1"/>
  <c r="C154" i="11"/>
  <c r="D154" i="11" s="1"/>
  <c r="E154" i="11" s="1"/>
  <c r="F154" i="11" s="1"/>
  <c r="G154" i="11" s="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C153" i="11"/>
  <c r="D153" i="11" s="1"/>
  <c r="E153" i="11" s="1"/>
  <c r="F153" i="11" s="1"/>
  <c r="G153" i="11" s="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H151" i="1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C151" i="11"/>
  <c r="D151" i="11" s="1"/>
  <c r="E151" i="11" s="1"/>
  <c r="F151" i="11" s="1"/>
  <c r="G151" i="11" s="1"/>
  <c r="N150" i="1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F150" i="11"/>
  <c r="G150" i="11" s="1"/>
  <c r="H150" i="11" s="1"/>
  <c r="I150" i="11" s="1"/>
  <c r="J150" i="11" s="1"/>
  <c r="K150" i="11" s="1"/>
  <c r="L150" i="11" s="1"/>
  <c r="M150" i="11" s="1"/>
  <c r="C150" i="11"/>
  <c r="D150" i="11" s="1"/>
  <c r="E150" i="11" s="1"/>
  <c r="E149" i="11"/>
  <c r="F149" i="11" s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D149" i="11"/>
  <c r="C149" i="11"/>
  <c r="C148" i="11"/>
  <c r="D148" i="11" s="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L146" i="1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C146" i="11"/>
  <c r="D146" i="11" s="1"/>
  <c r="E146" i="11" s="1"/>
  <c r="F146" i="11" s="1"/>
  <c r="G146" i="11" s="1"/>
  <c r="H146" i="11" s="1"/>
  <c r="I146" i="11" s="1"/>
  <c r="J146" i="11" s="1"/>
  <c r="K146" i="11" s="1"/>
  <c r="F145" i="1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C145" i="11"/>
  <c r="D145" i="11" s="1"/>
  <c r="E145" i="11" s="1"/>
  <c r="G143" i="1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F143" i="11"/>
  <c r="E143" i="11"/>
  <c r="D143" i="11"/>
  <c r="C143" i="11"/>
  <c r="D142" i="11"/>
  <c r="E142" i="11" s="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C142" i="11"/>
  <c r="C141" i="11"/>
  <c r="D141" i="11" s="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H140" i="1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G140" i="11"/>
  <c r="C140" i="11"/>
  <c r="D140" i="11" s="1"/>
  <c r="E140" i="11" s="1"/>
  <c r="F140" i="11" s="1"/>
  <c r="D139" i="11"/>
  <c r="E139" i="11" s="1"/>
  <c r="F139" i="11" s="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C139" i="11"/>
  <c r="E138" i="1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C138" i="11"/>
  <c r="D138" i="11" s="1"/>
  <c r="C137" i="11"/>
  <c r="D137" i="11" s="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G135" i="1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F135" i="11"/>
  <c r="C135" i="11"/>
  <c r="D135" i="11" s="1"/>
  <c r="E135" i="11" s="1"/>
  <c r="C134" i="11"/>
  <c r="D134" i="11" s="1"/>
  <c r="E134" i="11" s="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F133" i="1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C133" i="11"/>
  <c r="D133" i="11" s="1"/>
  <c r="E133" i="11" s="1"/>
  <c r="D132" i="11"/>
  <c r="E132" i="11" s="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C132" i="11"/>
  <c r="C131" i="11"/>
  <c r="D131" i="11" s="1"/>
  <c r="E131" i="11" s="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L130" i="1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D130" i="11"/>
  <c r="E130" i="11" s="1"/>
  <c r="F130" i="11" s="1"/>
  <c r="G130" i="11" s="1"/>
  <c r="H130" i="11" s="1"/>
  <c r="I130" i="11" s="1"/>
  <c r="J130" i="11" s="1"/>
  <c r="K130" i="11" s="1"/>
  <c r="C130" i="11"/>
  <c r="E129" i="1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C129" i="11"/>
  <c r="D129" i="11" s="1"/>
  <c r="C128" i="11"/>
  <c r="D128" i="11" s="1"/>
  <c r="E128" i="11" s="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F126" i="1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C126" i="11"/>
  <c r="D126" i="11" s="1"/>
  <c r="E126" i="11" s="1"/>
  <c r="G125" i="1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D125" i="11"/>
  <c r="E125" i="11" s="1"/>
  <c r="F125" i="11" s="1"/>
  <c r="C125" i="11"/>
  <c r="J124" i="1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C124" i="11"/>
  <c r="D124" i="11" s="1"/>
  <c r="E124" i="11" s="1"/>
  <c r="F124" i="11" s="1"/>
  <c r="G124" i="11" s="1"/>
  <c r="H124" i="11" s="1"/>
  <c r="I124" i="11" s="1"/>
  <c r="C123" i="11"/>
  <c r="D123" i="11" s="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C122" i="11"/>
  <c r="D122" i="11" s="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E121" i="1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D121" i="11"/>
  <c r="C121" i="11"/>
  <c r="G120" i="1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C120" i="11"/>
  <c r="D120" i="11" s="1"/>
  <c r="E120" i="11" s="1"/>
  <c r="F120" i="11" s="1"/>
  <c r="I119" i="1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D119" i="11"/>
  <c r="E119" i="11" s="1"/>
  <c r="F119" i="11" s="1"/>
  <c r="G119" i="11" s="1"/>
  <c r="H119" i="11" s="1"/>
  <c r="C119" i="11"/>
  <c r="C118" i="11"/>
  <c r="D118" i="11" s="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E117" i="1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D117" i="11"/>
  <c r="C117" i="11"/>
  <c r="C116" i="11"/>
  <c r="D116" i="11" s="1"/>
  <c r="E116" i="11" s="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C115" i="11"/>
  <c r="D115" i="11" s="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E114" i="11"/>
  <c r="F114" i="11" s="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D114" i="11"/>
  <c r="C114" i="11"/>
  <c r="H113" i="1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G113" i="11"/>
  <c r="E113" i="11"/>
  <c r="F113" i="11" s="1"/>
  <c r="D113" i="11"/>
  <c r="C113" i="11"/>
  <c r="C112" i="11"/>
  <c r="D112" i="11" s="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L111" i="1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K111" i="11"/>
  <c r="J111" i="11"/>
  <c r="C111" i="11"/>
  <c r="D111" i="11" s="1"/>
  <c r="E111" i="11" s="1"/>
  <c r="F111" i="11" s="1"/>
  <c r="G111" i="11" s="1"/>
  <c r="H111" i="11" s="1"/>
  <c r="F110" i="1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E110" i="11"/>
  <c r="D110" i="11"/>
  <c r="C110" i="11"/>
  <c r="C109" i="11"/>
  <c r="D109" i="11" s="1"/>
  <c r="E109" i="11" s="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E107" i="1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D107" i="11"/>
  <c r="C107" i="11"/>
  <c r="E106" i="1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D106" i="11"/>
  <c r="C106" i="11"/>
  <c r="C104" i="11"/>
  <c r="D104" i="11" s="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F103" i="11"/>
  <c r="G103" i="11" s="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E103" i="11"/>
  <c r="D103" i="11"/>
  <c r="C103" i="11"/>
  <c r="D102" i="11"/>
  <c r="E102" i="11" s="1"/>
  <c r="F102" i="11" s="1"/>
  <c r="G102" i="11" s="1"/>
  <c r="H102" i="11" s="1"/>
  <c r="I102" i="11" s="1"/>
  <c r="J102" i="11" s="1"/>
  <c r="K102" i="11" s="1"/>
  <c r="L102" i="11" s="1"/>
  <c r="M102" i="11" s="1"/>
  <c r="N102" i="11" s="1"/>
  <c r="O102" i="11" s="1"/>
  <c r="P102" i="11" s="1"/>
  <c r="Q102" i="11" s="1"/>
  <c r="R102" i="11" s="1"/>
  <c r="S102" i="11" s="1"/>
  <c r="T102" i="11" s="1"/>
  <c r="U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AE102" i="11" s="1"/>
  <c r="AF102" i="11" s="1"/>
  <c r="C102" i="11"/>
  <c r="C101" i="11"/>
  <c r="D101" i="11" s="1"/>
  <c r="E101" i="11" s="1"/>
  <c r="F101" i="11" s="1"/>
  <c r="G101" i="11" s="1"/>
  <c r="H101" i="11" s="1"/>
  <c r="I101" i="11" s="1"/>
  <c r="J101" i="11" s="1"/>
  <c r="K101" i="11" s="1"/>
  <c r="L101" i="11" s="1"/>
  <c r="M101" i="11" s="1"/>
  <c r="N101" i="11" s="1"/>
  <c r="O101" i="11" s="1"/>
  <c r="P101" i="11" s="1"/>
  <c r="Q101" i="11" s="1"/>
  <c r="R101" i="11" s="1"/>
  <c r="S101" i="11" s="1"/>
  <c r="T101" i="11" s="1"/>
  <c r="U101" i="11" s="1"/>
  <c r="V101" i="11" s="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C100" i="11"/>
  <c r="D100" i="11" s="1"/>
  <c r="F99" i="11"/>
  <c r="E99" i="11"/>
  <c r="D99" i="11"/>
  <c r="C99" i="11"/>
  <c r="AH96" i="11"/>
  <c r="AI96" i="11" s="1"/>
  <c r="AH95" i="11"/>
  <c r="AI95" i="11" s="1"/>
  <c r="AH94" i="11"/>
  <c r="AI94" i="11" s="1"/>
  <c r="AH93" i="11"/>
  <c r="AI93" i="11" s="1"/>
  <c r="AH92" i="11"/>
  <c r="AI92" i="11" s="1"/>
  <c r="B91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G80" i="11"/>
  <c r="AI79" i="11"/>
  <c r="AH79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U80" i="11" s="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F75" i="11"/>
  <c r="AE75" i="11"/>
  <c r="AD75" i="11"/>
  <c r="AC75" i="11"/>
  <c r="AC80" i="11" s="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F74" i="11"/>
  <c r="AE74" i="11"/>
  <c r="AD74" i="11"/>
  <c r="AC74" i="11"/>
  <c r="AB74" i="11"/>
  <c r="AA74" i="11"/>
  <c r="Z74" i="11"/>
  <c r="Y74" i="11"/>
  <c r="Y80" i="11" s="1"/>
  <c r="X74" i="11"/>
  <c r="W74" i="11"/>
  <c r="V74" i="11"/>
  <c r="U74" i="11"/>
  <c r="T74" i="11"/>
  <c r="T80" i="11" s="1"/>
  <c r="S74" i="11"/>
  <c r="R74" i="11"/>
  <c r="Q74" i="11"/>
  <c r="P74" i="11"/>
  <c r="P80" i="11" s="1"/>
  <c r="O74" i="11"/>
  <c r="N74" i="11"/>
  <c r="M74" i="11"/>
  <c r="L74" i="11"/>
  <c r="K74" i="11"/>
  <c r="J74" i="11"/>
  <c r="I74" i="11"/>
  <c r="I80" i="11" s="1"/>
  <c r="H74" i="11"/>
  <c r="G74" i="11"/>
  <c r="F74" i="11"/>
  <c r="E74" i="11"/>
  <c r="D74" i="11"/>
  <c r="C74" i="11"/>
  <c r="B74" i="11"/>
  <c r="AI72" i="11"/>
  <c r="AH72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I69" i="11"/>
  <c r="AH69" i="11"/>
  <c r="AI68" i="11"/>
  <c r="AH68" i="11"/>
  <c r="AI67" i="11"/>
  <c r="AH67" i="11"/>
  <c r="AG66" i="11"/>
  <c r="AG71" i="11" s="1"/>
  <c r="AF66" i="11"/>
  <c r="AE66" i="11"/>
  <c r="AE5" i="11" s="1"/>
  <c r="AD66" i="11"/>
  <c r="AD5" i="11" s="1"/>
  <c r="AC66" i="11"/>
  <c r="AB66" i="11"/>
  <c r="AA66" i="11"/>
  <c r="Z66" i="11"/>
  <c r="Y66" i="11"/>
  <c r="Y5" i="11" s="1"/>
  <c r="X66" i="11"/>
  <c r="W66" i="11"/>
  <c r="W5" i="11" s="1"/>
  <c r="V66" i="11"/>
  <c r="V5" i="11" s="1"/>
  <c r="U66" i="11"/>
  <c r="T66" i="11"/>
  <c r="S66" i="11"/>
  <c r="R66" i="11"/>
  <c r="R5" i="11" s="1"/>
  <c r="Q66" i="11"/>
  <c r="Q5" i="11" s="1"/>
  <c r="P66" i="11"/>
  <c r="O66" i="11"/>
  <c r="N66" i="11"/>
  <c r="N5" i="11" s="1"/>
  <c r="M66" i="11"/>
  <c r="M5" i="11" s="1"/>
  <c r="L66" i="11"/>
  <c r="L5" i="11" s="1"/>
  <c r="K66" i="11"/>
  <c r="K5" i="11" s="1"/>
  <c r="J66" i="11"/>
  <c r="J5" i="11" s="1"/>
  <c r="I66" i="11"/>
  <c r="I5" i="11" s="1"/>
  <c r="H66" i="11"/>
  <c r="G66" i="11"/>
  <c r="G5" i="11" s="1"/>
  <c r="F66" i="11"/>
  <c r="F5" i="11" s="1"/>
  <c r="E66" i="11"/>
  <c r="E5" i="11" s="1"/>
  <c r="D66" i="11"/>
  <c r="C66" i="11"/>
  <c r="C5" i="11" s="1"/>
  <c r="B66" i="11"/>
  <c r="B5" i="11" s="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G54" i="11"/>
  <c r="AG4" i="11" s="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I53" i="11"/>
  <c r="AH53" i="11"/>
  <c r="AI52" i="11"/>
  <c r="AH52" i="11"/>
  <c r="AI51" i="11"/>
  <c r="AH51" i="11"/>
  <c r="AG50" i="11"/>
  <c r="Y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G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G36" i="11"/>
  <c r="AG2" i="11" s="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S73" i="11" s="1"/>
  <c r="R36" i="11"/>
  <c r="Q36" i="11"/>
  <c r="P36" i="11"/>
  <c r="O36" i="11"/>
  <c r="N36" i="11"/>
  <c r="M36" i="11"/>
  <c r="M73" i="11" s="1"/>
  <c r="L36" i="11"/>
  <c r="K36" i="11"/>
  <c r="J36" i="11"/>
  <c r="I36" i="11"/>
  <c r="H36" i="11"/>
  <c r="G36" i="11"/>
  <c r="F36" i="11"/>
  <c r="E36" i="11"/>
  <c r="D36" i="11"/>
  <c r="C36" i="11"/>
  <c r="B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C5" i="11"/>
  <c r="AB5" i="11"/>
  <c r="AA5" i="11"/>
  <c r="Z5" i="11"/>
  <c r="U5" i="11"/>
  <c r="T5" i="11"/>
  <c r="S5" i="11"/>
  <c r="O5" i="11"/>
  <c r="D5" i="11"/>
  <c r="K4" i="11"/>
  <c r="B4" i="11"/>
  <c r="AG3" i="11"/>
  <c r="Z93" i="10"/>
  <c r="Y93" i="10"/>
  <c r="X93" i="10"/>
  <c r="X36" i="10"/>
  <c r="W93" i="10"/>
  <c r="V93" i="10"/>
  <c r="T93" i="10"/>
  <c r="T35" i="10"/>
  <c r="S93" i="10"/>
  <c r="S35" i="10"/>
  <c r="E4" i="11"/>
  <c r="AF80" i="11" l="1"/>
  <c r="AE80" i="11"/>
  <c r="AB80" i="11"/>
  <c r="AA80" i="11"/>
  <c r="X80" i="11"/>
  <c r="S80" i="11"/>
  <c r="AK211" i="11"/>
  <c r="S7" i="11"/>
  <c r="S71" i="11"/>
  <c r="S81" i="11" s="1"/>
  <c r="R80" i="11"/>
  <c r="R73" i="11"/>
  <c r="AJ211" i="11" s="1"/>
  <c r="R71" i="11"/>
  <c r="R81" i="11" s="1"/>
  <c r="R7" i="11"/>
  <c r="Q80" i="11"/>
  <c r="O71" i="11"/>
  <c r="N71" i="11"/>
  <c r="M80" i="11"/>
  <c r="AE211" i="11"/>
  <c r="M7" i="11"/>
  <c r="M71" i="11"/>
  <c r="M81" i="11" s="1"/>
  <c r="L80" i="11"/>
  <c r="L73" i="11"/>
  <c r="L7" i="11" s="1"/>
  <c r="L71" i="11"/>
  <c r="K80" i="11"/>
  <c r="K73" i="11"/>
  <c r="AC211" i="11" s="1"/>
  <c r="K71" i="11"/>
  <c r="K7" i="11"/>
  <c r="K81" i="11"/>
  <c r="J80" i="11"/>
  <c r="J73" i="11"/>
  <c r="AB211" i="11" s="1"/>
  <c r="J71" i="11"/>
  <c r="AI74" i="11"/>
  <c r="G71" i="11"/>
  <c r="F71" i="11"/>
  <c r="F73" i="11"/>
  <c r="F7" i="11" s="1"/>
  <c r="E80" i="11"/>
  <c r="E73" i="11"/>
  <c r="W211" i="11" s="1"/>
  <c r="E71" i="11"/>
  <c r="D73" i="11"/>
  <c r="V211" i="11" s="1"/>
  <c r="D71" i="11"/>
  <c r="AI77" i="11"/>
  <c r="C80" i="11"/>
  <c r="C73" i="11"/>
  <c r="U211" i="11" s="1"/>
  <c r="C71" i="11"/>
  <c r="C7" i="11"/>
  <c r="C81" i="11"/>
  <c r="B80" i="11"/>
  <c r="B71" i="11"/>
  <c r="B73" i="11" s="1"/>
  <c r="B81" i="11" s="1"/>
  <c r="H4" i="11"/>
  <c r="H5" i="11"/>
  <c r="H71" i="11"/>
  <c r="P73" i="11"/>
  <c r="AH76" i="11"/>
  <c r="X5" i="11"/>
  <c r="G80" i="11"/>
  <c r="H73" i="11"/>
  <c r="I73" i="11"/>
  <c r="P5" i="11"/>
  <c r="P71" i="11"/>
  <c r="AF5" i="11"/>
  <c r="O80" i="11"/>
  <c r="W80" i="11"/>
  <c r="E100" i="11"/>
  <c r="AI76" i="11"/>
  <c r="AG6" i="11"/>
  <c r="AH54" i="11"/>
  <c r="H80" i="11"/>
  <c r="AH74" i="11"/>
  <c r="AI36" i="11"/>
  <c r="AI54" i="11"/>
  <c r="AI75" i="11"/>
  <c r="F80" i="11"/>
  <c r="V80" i="11"/>
  <c r="AD80" i="11"/>
  <c r="AH78" i="11"/>
  <c r="N80" i="11"/>
  <c r="Q73" i="11"/>
  <c r="Y73" i="11"/>
  <c r="AG73" i="11"/>
  <c r="AG81" i="11" s="1"/>
  <c r="G99" i="11"/>
  <c r="AH36" i="11"/>
  <c r="AH66" i="11"/>
  <c r="AH70" i="11"/>
  <c r="Z80" i="11"/>
  <c r="AH75" i="11"/>
  <c r="D80" i="11"/>
  <c r="AI66" i="11"/>
  <c r="AI70" i="11"/>
  <c r="I71" i="11"/>
  <c r="Q71" i="11"/>
  <c r="Y71" i="11"/>
  <c r="Y81" i="11" s="1"/>
  <c r="C91" i="11"/>
  <c r="N73" i="11"/>
  <c r="AH77" i="11"/>
  <c r="S208" i="11"/>
  <c r="D208" i="11"/>
  <c r="G73" i="11"/>
  <c r="O73" i="11"/>
  <c r="O81" i="11" s="1"/>
  <c r="AI78" i="11"/>
  <c r="C189" i="11"/>
  <c r="D189" i="11"/>
  <c r="E189" i="11"/>
  <c r="E191" i="11"/>
  <c r="D196" i="11"/>
  <c r="Q81" i="11" l="1"/>
  <c r="P81" i="11"/>
  <c r="F81" i="11"/>
  <c r="AD211" i="11"/>
  <c r="L81" i="11"/>
  <c r="J7" i="11"/>
  <c r="J81" i="11"/>
  <c r="D7" i="11"/>
  <c r="D81" i="11"/>
  <c r="X211" i="11"/>
  <c r="I81" i="11"/>
  <c r="G81" i="11"/>
  <c r="B206" i="11"/>
  <c r="E81" i="11"/>
  <c r="E7" i="11"/>
  <c r="AH80" i="11"/>
  <c r="AI80" i="11"/>
  <c r="AF211" i="11"/>
  <c r="N7" i="11"/>
  <c r="AA211" i="11"/>
  <c r="I7" i="11"/>
  <c r="H81" i="11"/>
  <c r="E196" i="11"/>
  <c r="D232" i="11"/>
  <c r="H99" i="11"/>
  <c r="AH211" i="11"/>
  <c r="P7" i="11"/>
  <c r="C206" i="11"/>
  <c r="K6" i="11" s="1"/>
  <c r="D197" i="11"/>
  <c r="Y211" i="11"/>
  <c r="G7" i="11"/>
  <c r="AG211" i="11"/>
  <c r="O7" i="11"/>
  <c r="AQ211" i="11"/>
  <c r="Y7" i="11"/>
  <c r="D91" i="11"/>
  <c r="F191" i="11"/>
  <c r="N81" i="11"/>
  <c r="AI211" i="11"/>
  <c r="Q7" i="11"/>
  <c r="F100" i="11"/>
  <c r="E91" i="11"/>
  <c r="T211" i="11"/>
  <c r="B7" i="11"/>
  <c r="Z211" i="11"/>
  <c r="H7" i="11"/>
  <c r="E232" i="11" l="1"/>
  <c r="F196" i="11"/>
  <c r="G100" i="11"/>
  <c r="F91" i="11"/>
  <c r="F189" i="11"/>
  <c r="E197" i="11"/>
  <c r="G191" i="11"/>
  <c r="F197" i="11"/>
  <c r="I99" i="11"/>
  <c r="F232" i="11" l="1"/>
  <c r="G196" i="11"/>
  <c r="H191" i="11"/>
  <c r="G197" i="11"/>
  <c r="J99" i="11"/>
  <c r="G91" i="11"/>
  <c r="H100" i="11"/>
  <c r="G189" i="11"/>
  <c r="I191" i="11" l="1"/>
  <c r="G232" i="11"/>
  <c r="H196" i="11"/>
  <c r="H197" i="11" s="1"/>
  <c r="H91" i="11"/>
  <c r="I100" i="11"/>
  <c r="H189" i="11"/>
  <c r="K99" i="11"/>
  <c r="J100" i="11" l="1"/>
  <c r="I189" i="11"/>
  <c r="H232" i="11"/>
  <c r="I196" i="11"/>
  <c r="L99" i="11"/>
  <c r="I197" i="11"/>
  <c r="J191" i="11"/>
  <c r="M99" i="11" l="1"/>
  <c r="J196" i="11"/>
  <c r="I232" i="11"/>
  <c r="I91" i="11"/>
  <c r="J197" i="11"/>
  <c r="K191" i="11"/>
  <c r="J91" i="11"/>
  <c r="K100" i="11"/>
  <c r="J189" i="11"/>
  <c r="AM11" i="10"/>
  <c r="AJ14" i="9"/>
  <c r="AK14" i="9" s="1"/>
  <c r="AJ12" i="9"/>
  <c r="AK12" i="9" s="1"/>
  <c r="AL3" i="9" s="1"/>
  <c r="AJ11" i="9"/>
  <c r="AK11" i="9" s="1"/>
  <c r="AL2" i="9" s="1"/>
  <c r="AJ14" i="10"/>
  <c r="AK14" i="10" s="1"/>
  <c r="AJ12" i="10"/>
  <c r="AK12" i="10" s="1"/>
  <c r="AJ11" i="10"/>
  <c r="AK11" i="10" s="1"/>
  <c r="AL2" i="10" s="1"/>
  <c r="C93" i="10"/>
  <c r="B93" i="10"/>
  <c r="B91" i="10"/>
  <c r="B78" i="10"/>
  <c r="B77" i="10"/>
  <c r="B76" i="10"/>
  <c r="B75" i="10"/>
  <c r="B74" i="10"/>
  <c r="B70" i="10"/>
  <c r="B66" i="10"/>
  <c r="B54" i="10"/>
  <c r="B36" i="10"/>
  <c r="AH97" i="10"/>
  <c r="AI97" i="10" s="1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B232" i="10"/>
  <c r="S207" i="10"/>
  <c r="AG197" i="10"/>
  <c r="B197" i="10"/>
  <c r="B49" i="10" s="1"/>
  <c r="B50" i="10" s="1"/>
  <c r="C196" i="10"/>
  <c r="C232" i="10" s="1"/>
  <c r="C195" i="10"/>
  <c r="D195" i="10" s="1"/>
  <c r="E195" i="10" s="1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D194" i="10"/>
  <c r="E194" i="10" s="1"/>
  <c r="F194" i="10" s="1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C194" i="10"/>
  <c r="D193" i="10"/>
  <c r="E193" i="10" s="1"/>
  <c r="F193" i="10" s="1"/>
  <c r="G193" i="10" s="1"/>
  <c r="H193" i="10" s="1"/>
  <c r="I193" i="10" s="1"/>
  <c r="J193" i="10" s="1"/>
  <c r="K193" i="10" s="1"/>
  <c r="L193" i="10" s="1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X193" i="10" s="1"/>
  <c r="Y193" i="10" s="1"/>
  <c r="Z193" i="10" s="1"/>
  <c r="AA193" i="10" s="1"/>
  <c r="AB193" i="10" s="1"/>
  <c r="AC193" i="10" s="1"/>
  <c r="AD193" i="10" s="1"/>
  <c r="AE193" i="10" s="1"/>
  <c r="AF193" i="10" s="1"/>
  <c r="C193" i="10"/>
  <c r="G192" i="10"/>
  <c r="H192" i="10" s="1"/>
  <c r="I192" i="10" s="1"/>
  <c r="J192" i="10" s="1"/>
  <c r="K192" i="10" s="1"/>
  <c r="L192" i="10" s="1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X192" i="10" s="1"/>
  <c r="Y192" i="10" s="1"/>
  <c r="Z192" i="10" s="1"/>
  <c r="AA192" i="10" s="1"/>
  <c r="AB192" i="10" s="1"/>
  <c r="AC192" i="10" s="1"/>
  <c r="AD192" i="10" s="1"/>
  <c r="AE192" i="10" s="1"/>
  <c r="AF192" i="10" s="1"/>
  <c r="C192" i="10"/>
  <c r="D192" i="10" s="1"/>
  <c r="E192" i="10" s="1"/>
  <c r="F192" i="10" s="1"/>
  <c r="D191" i="10"/>
  <c r="E191" i="10" s="1"/>
  <c r="F191" i="10" s="1"/>
  <c r="C191" i="10"/>
  <c r="AG189" i="10"/>
  <c r="B189" i="10"/>
  <c r="C188" i="10"/>
  <c r="D188" i="10" s="1"/>
  <c r="E188" i="10" s="1"/>
  <c r="F188" i="10" s="1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C187" i="10"/>
  <c r="D187" i="10" s="1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C186" i="10"/>
  <c r="D186" i="10" s="1"/>
  <c r="E186" i="10" s="1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C185" i="10"/>
  <c r="D185" i="10" s="1"/>
  <c r="E185" i="10" s="1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C184" i="10"/>
  <c r="D184" i="10" s="1"/>
  <c r="E184" i="10" s="1"/>
  <c r="F184" i="10" s="1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C183" i="10"/>
  <c r="D183" i="10" s="1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C182" i="10"/>
  <c r="D182" i="10" s="1"/>
  <c r="E182" i="10" s="1"/>
  <c r="F182" i="10" s="1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V181" i="10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D181" i="10"/>
  <c r="E181" i="10" s="1"/>
  <c r="F181" i="10" s="1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C181" i="10"/>
  <c r="K180" i="10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C180" i="10"/>
  <c r="D180" i="10" s="1"/>
  <c r="E180" i="10" s="1"/>
  <c r="F180" i="10" s="1"/>
  <c r="G180" i="10" s="1"/>
  <c r="H180" i="10" s="1"/>
  <c r="I180" i="10" s="1"/>
  <c r="J180" i="10" s="1"/>
  <c r="C179" i="10"/>
  <c r="D179" i="10" s="1"/>
  <c r="E179" i="10" s="1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C178" i="10"/>
  <c r="D178" i="10" s="1"/>
  <c r="E178" i="10" s="1"/>
  <c r="F178" i="10" s="1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C177" i="10"/>
  <c r="D177" i="10" s="1"/>
  <c r="E177" i="10" s="1"/>
  <c r="F177" i="10" s="1"/>
  <c r="G177" i="10" s="1"/>
  <c r="H177" i="10" s="1"/>
  <c r="I177" i="10" s="1"/>
  <c r="J177" i="10" s="1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C176" i="10"/>
  <c r="D176" i="10" s="1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D174" i="10"/>
  <c r="E174" i="10" s="1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C174" i="10"/>
  <c r="C173" i="10"/>
  <c r="D173" i="10" s="1"/>
  <c r="E173" i="10" s="1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C172" i="10"/>
  <c r="D172" i="10" s="1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C171" i="10"/>
  <c r="D171" i="10" s="1"/>
  <c r="E171" i="10" s="1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AD170" i="10"/>
  <c r="AE170" i="10" s="1"/>
  <c r="AF170" i="10" s="1"/>
  <c r="C170" i="10"/>
  <c r="D170" i="10" s="1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C169" i="10"/>
  <c r="D169" i="10" s="1"/>
  <c r="E169" i="10" s="1"/>
  <c r="F169" i="10" s="1"/>
  <c r="G169" i="10" s="1"/>
  <c r="H169" i="10" s="1"/>
  <c r="I169" i="10" s="1"/>
  <c r="J169" i="10" s="1"/>
  <c r="K169" i="10" s="1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AD169" i="10" s="1"/>
  <c r="AE169" i="10" s="1"/>
  <c r="AF169" i="10" s="1"/>
  <c r="C168" i="10"/>
  <c r="D168" i="10" s="1"/>
  <c r="E168" i="10" s="1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D167" i="10"/>
  <c r="E167" i="10" s="1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C167" i="10"/>
  <c r="C165" i="10"/>
  <c r="D165" i="10" s="1"/>
  <c r="E165" i="10" s="1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C164" i="10"/>
  <c r="D164" i="10" s="1"/>
  <c r="E164" i="10" s="1"/>
  <c r="F164" i="10" s="1"/>
  <c r="G164" i="10" s="1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F163" i="10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C163" i="10"/>
  <c r="D163" i="10" s="1"/>
  <c r="E163" i="10" s="1"/>
  <c r="C162" i="10"/>
  <c r="D162" i="10" s="1"/>
  <c r="E162" i="10" s="1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C161" i="10"/>
  <c r="D161" i="10" s="1"/>
  <c r="E161" i="10" s="1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D160" i="10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C160" i="10"/>
  <c r="C159" i="10"/>
  <c r="D159" i="10" s="1"/>
  <c r="E159" i="10" s="1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C158" i="10"/>
  <c r="D158" i="10" s="1"/>
  <c r="E158" i="10" s="1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C157" i="10"/>
  <c r="D157" i="10" s="1"/>
  <c r="E157" i="10" s="1"/>
  <c r="F157" i="10" s="1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C156" i="10"/>
  <c r="D156" i="10" s="1"/>
  <c r="E156" i="10" s="1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C155" i="10"/>
  <c r="D155" i="10" s="1"/>
  <c r="E155" i="10" s="1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C154" i="10"/>
  <c r="D154" i="10" s="1"/>
  <c r="E154" i="10" s="1"/>
  <c r="F154" i="10" s="1"/>
  <c r="G154" i="10" s="1"/>
  <c r="H154" i="10" s="1"/>
  <c r="I154" i="10" s="1"/>
  <c r="J154" i="10" s="1"/>
  <c r="K154" i="10" s="1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D153" i="10"/>
  <c r="E153" i="10" s="1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C153" i="10"/>
  <c r="C151" i="10"/>
  <c r="D151" i="10" s="1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N150" i="10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E150" i="10"/>
  <c r="F150" i="10" s="1"/>
  <c r="G150" i="10" s="1"/>
  <c r="H150" i="10" s="1"/>
  <c r="I150" i="10" s="1"/>
  <c r="J150" i="10" s="1"/>
  <c r="K150" i="10" s="1"/>
  <c r="L150" i="10" s="1"/>
  <c r="M150" i="10" s="1"/>
  <c r="C150" i="10"/>
  <c r="D150" i="10" s="1"/>
  <c r="C149" i="10"/>
  <c r="D149" i="10" s="1"/>
  <c r="E149" i="10" s="1"/>
  <c r="F149" i="10" s="1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D148" i="10"/>
  <c r="E148" i="10" s="1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C148" i="10"/>
  <c r="R146" i="10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C146" i="10"/>
  <c r="D146" i="10" s="1"/>
  <c r="E146" i="10" s="1"/>
  <c r="F146" i="10" s="1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C145" i="10"/>
  <c r="D145" i="10" s="1"/>
  <c r="E145" i="10" s="1"/>
  <c r="F145" i="10" s="1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C143" i="10"/>
  <c r="D143" i="10" s="1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C142" i="10"/>
  <c r="D142" i="10" s="1"/>
  <c r="E142" i="10" s="1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G141" i="10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C141" i="10"/>
  <c r="D141" i="10" s="1"/>
  <c r="E141" i="10" s="1"/>
  <c r="F141" i="10" s="1"/>
  <c r="C140" i="10"/>
  <c r="D140" i="10" s="1"/>
  <c r="E140" i="10" s="1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C139" i="10"/>
  <c r="D139" i="10" s="1"/>
  <c r="E139" i="10" s="1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D138" i="10"/>
  <c r="E138" i="10" s="1"/>
  <c r="F138" i="10" s="1"/>
  <c r="G138" i="10" s="1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C138" i="10"/>
  <c r="F137" i="10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D137" i="10"/>
  <c r="E137" i="10" s="1"/>
  <c r="C137" i="10"/>
  <c r="D135" i="10"/>
  <c r="E135" i="10" s="1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C135" i="10"/>
  <c r="C134" i="10"/>
  <c r="D134" i="10" s="1"/>
  <c r="E134" i="10" s="1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C133" i="10"/>
  <c r="D133" i="10" s="1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D132" i="10"/>
  <c r="E132" i="10" s="1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C132" i="10"/>
  <c r="C131" i="10"/>
  <c r="D131" i="10" s="1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D130" i="10"/>
  <c r="E130" i="10" s="1"/>
  <c r="F130" i="10" s="1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C130" i="10"/>
  <c r="C129" i="10"/>
  <c r="D129" i="10" s="1"/>
  <c r="E129" i="10" s="1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C128" i="10"/>
  <c r="D128" i="10" s="1"/>
  <c r="E128" i="10" s="1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D126" i="10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C126" i="10"/>
  <c r="G125" i="10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D125" i="10"/>
  <c r="E125" i="10" s="1"/>
  <c r="F125" i="10" s="1"/>
  <c r="C125" i="10"/>
  <c r="D124" i="10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C124" i="10"/>
  <c r="C123" i="10"/>
  <c r="D123" i="10" s="1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D122" i="10"/>
  <c r="E122" i="10" s="1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C122" i="10"/>
  <c r="D121" i="10"/>
  <c r="E121" i="10" s="1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C121" i="10"/>
  <c r="F120" i="10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C120" i="10"/>
  <c r="D120" i="10" s="1"/>
  <c r="E120" i="10" s="1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C119" i="10"/>
  <c r="C118" i="10"/>
  <c r="D118" i="10" s="1"/>
  <c r="E118" i="10" s="1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C117" i="10"/>
  <c r="D117" i="10" s="1"/>
  <c r="E117" i="10" s="1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C116" i="10"/>
  <c r="D116" i="10" s="1"/>
  <c r="E116" i="10" s="1"/>
  <c r="F116" i="10" s="1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C115" i="10"/>
  <c r="D115" i="10" s="1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C114" i="10"/>
  <c r="D114" i="10" s="1"/>
  <c r="E114" i="10" s="1"/>
  <c r="F114" i="10" s="1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C113" i="10"/>
  <c r="D113" i="10" s="1"/>
  <c r="E113" i="10" s="1"/>
  <c r="F113" i="10" s="1"/>
  <c r="G113" i="10" s="1"/>
  <c r="H113" i="10" s="1"/>
  <c r="I113" i="10" s="1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C112" i="10"/>
  <c r="D112" i="10" s="1"/>
  <c r="E112" i="10" s="1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J111" i="10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C111" i="10"/>
  <c r="D111" i="10" s="1"/>
  <c r="E111" i="10" s="1"/>
  <c r="F111" i="10" s="1"/>
  <c r="G111" i="10" s="1"/>
  <c r="H111" i="10" s="1"/>
  <c r="D110" i="10"/>
  <c r="E110" i="10" s="1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C110" i="10"/>
  <c r="C109" i="10"/>
  <c r="D109" i="10" s="1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C107" i="10"/>
  <c r="D107" i="10" s="1"/>
  <c r="E107" i="10" s="1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E106" i="10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C106" i="10"/>
  <c r="D106" i="10" s="1"/>
  <c r="C104" i="10"/>
  <c r="D104" i="10" s="1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K103" i="10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C103" i="10"/>
  <c r="D103" i="10" s="1"/>
  <c r="E103" i="10" s="1"/>
  <c r="F103" i="10" s="1"/>
  <c r="G103" i="10" s="1"/>
  <c r="H103" i="10" s="1"/>
  <c r="I103" i="10" s="1"/>
  <c r="J103" i="10" s="1"/>
  <c r="J102" i="10"/>
  <c r="K102" i="10" s="1"/>
  <c r="L102" i="10" s="1"/>
  <c r="M102" i="10" s="1"/>
  <c r="N102" i="10" s="1"/>
  <c r="O102" i="10" s="1"/>
  <c r="P102" i="10" s="1"/>
  <c r="Q102" i="10" s="1"/>
  <c r="R102" i="10" s="1"/>
  <c r="S102" i="10" s="1"/>
  <c r="T102" i="10" s="1"/>
  <c r="U102" i="10" s="1"/>
  <c r="V102" i="10" s="1"/>
  <c r="W102" i="10" s="1"/>
  <c r="X102" i="10" s="1"/>
  <c r="Y102" i="10" s="1"/>
  <c r="Z102" i="10" s="1"/>
  <c r="AA102" i="10" s="1"/>
  <c r="AB102" i="10" s="1"/>
  <c r="AC102" i="10" s="1"/>
  <c r="AD102" i="10" s="1"/>
  <c r="AE102" i="10" s="1"/>
  <c r="AF102" i="10" s="1"/>
  <c r="D102" i="10"/>
  <c r="E102" i="10" s="1"/>
  <c r="F102" i="10" s="1"/>
  <c r="G102" i="10" s="1"/>
  <c r="H102" i="10" s="1"/>
  <c r="I102" i="10" s="1"/>
  <c r="C102" i="10"/>
  <c r="C101" i="10"/>
  <c r="D101" i="10" s="1"/>
  <c r="E101" i="10" s="1"/>
  <c r="F101" i="10" s="1"/>
  <c r="G101" i="10" s="1"/>
  <c r="H101" i="10" s="1"/>
  <c r="I101" i="10" s="1"/>
  <c r="J101" i="10" s="1"/>
  <c r="K101" i="10" s="1"/>
  <c r="L101" i="10" s="1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X101" i="10" s="1"/>
  <c r="Y101" i="10" s="1"/>
  <c r="Z101" i="10" s="1"/>
  <c r="AA101" i="10" s="1"/>
  <c r="AB101" i="10" s="1"/>
  <c r="AC101" i="10" s="1"/>
  <c r="AD101" i="10" s="1"/>
  <c r="AE101" i="10" s="1"/>
  <c r="AF101" i="10" s="1"/>
  <c r="C100" i="10"/>
  <c r="D100" i="10" s="1"/>
  <c r="C99" i="10"/>
  <c r="AH96" i="10"/>
  <c r="AI96" i="10" s="1"/>
  <c r="AH95" i="10"/>
  <c r="AI95" i="10" s="1"/>
  <c r="AH94" i="10"/>
  <c r="AI94" i="10" s="1"/>
  <c r="AH93" i="10"/>
  <c r="AI93" i="10" s="1"/>
  <c r="AH92" i="10"/>
  <c r="AI92" i="10" s="1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G80" i="10"/>
  <c r="AI79" i="10"/>
  <c r="AH79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AF74" i="10"/>
  <c r="AE74" i="10"/>
  <c r="AD74" i="10"/>
  <c r="AD80" i="10" s="1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AI72" i="10"/>
  <c r="AH72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I69" i="10"/>
  <c r="AH69" i="10"/>
  <c r="AI68" i="10"/>
  <c r="AH68" i="10"/>
  <c r="AI67" i="10"/>
  <c r="AH67" i="10"/>
  <c r="AG66" i="10"/>
  <c r="AF66" i="10"/>
  <c r="AE66" i="10"/>
  <c r="AD66" i="10"/>
  <c r="AC66" i="10"/>
  <c r="AB66" i="10"/>
  <c r="AB5" i="10" s="1"/>
  <c r="AA66" i="10"/>
  <c r="AA5" i="10" s="1"/>
  <c r="Z66" i="10"/>
  <c r="Y66" i="10"/>
  <c r="X66" i="10"/>
  <c r="W66" i="10"/>
  <c r="V66" i="10"/>
  <c r="U66" i="10"/>
  <c r="T66" i="10"/>
  <c r="T5" i="10" s="1"/>
  <c r="S66" i="10"/>
  <c r="R66" i="10"/>
  <c r="Q66" i="10"/>
  <c r="P66" i="10"/>
  <c r="O66" i="10"/>
  <c r="N66" i="10"/>
  <c r="M66" i="10"/>
  <c r="L66" i="10"/>
  <c r="K66" i="10"/>
  <c r="K5" i="10" s="1"/>
  <c r="J66" i="10"/>
  <c r="I66" i="10"/>
  <c r="H66" i="10"/>
  <c r="G66" i="10"/>
  <c r="F66" i="10"/>
  <c r="E66" i="10"/>
  <c r="D66" i="10"/>
  <c r="C66" i="10"/>
  <c r="C5" i="10" s="1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I53" i="10"/>
  <c r="AH53" i="10"/>
  <c r="AI52" i="10"/>
  <c r="AH52" i="10"/>
  <c r="AI51" i="10"/>
  <c r="AH51" i="10"/>
  <c r="Y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AG49" i="10"/>
  <c r="AG50" i="10" s="1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G36" i="10"/>
  <c r="AF36" i="10"/>
  <c r="AE36" i="10"/>
  <c r="AD36" i="10"/>
  <c r="AC36" i="10"/>
  <c r="AB36" i="10"/>
  <c r="AA36" i="10"/>
  <c r="Z36" i="10"/>
  <c r="Y36" i="10"/>
  <c r="V36" i="10"/>
  <c r="U36" i="10"/>
  <c r="T36" i="10"/>
  <c r="S36" i="10"/>
  <c r="R36" i="10"/>
  <c r="R71" i="10" s="1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F5" i="10"/>
  <c r="AD5" i="10"/>
  <c r="Z5" i="10"/>
  <c r="Y5" i="10"/>
  <c r="X5" i="10"/>
  <c r="V5" i="10"/>
  <c r="R5" i="10"/>
  <c r="Q5" i="10"/>
  <c r="P5" i="10"/>
  <c r="N5" i="10"/>
  <c r="L5" i="10"/>
  <c r="J5" i="10"/>
  <c r="I5" i="10"/>
  <c r="H5" i="10"/>
  <c r="G5" i="10"/>
  <c r="F5" i="10"/>
  <c r="D5" i="10"/>
  <c r="B5" i="10"/>
  <c r="AG4" i="10"/>
  <c r="K4" i="10"/>
  <c r="B4" i="10"/>
  <c r="AG2" i="10"/>
  <c r="AF93" i="9"/>
  <c r="AE93" i="9"/>
  <c r="AD93" i="9"/>
  <c r="AC35" i="9"/>
  <c r="Z93" i="9"/>
  <c r="Y93" i="9"/>
  <c r="W93" i="9"/>
  <c r="V93" i="9"/>
  <c r="V35" i="9"/>
  <c r="T93" i="9"/>
  <c r="S93" i="9"/>
  <c r="AH97" i="9"/>
  <c r="AI97" i="9" s="1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C232" i="9"/>
  <c r="B232" i="9"/>
  <c r="S207" i="9"/>
  <c r="AG197" i="9"/>
  <c r="B197" i="9"/>
  <c r="C196" i="9"/>
  <c r="D196" i="9" s="1"/>
  <c r="E195" i="9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C195" i="9"/>
  <c r="D195" i="9" s="1"/>
  <c r="C194" i="9"/>
  <c r="D194" i="9" s="1"/>
  <c r="E194" i="9" s="1"/>
  <c r="F194" i="9" s="1"/>
  <c r="G194" i="9" s="1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W193" i="9"/>
  <c r="X193" i="9" s="1"/>
  <c r="Y193" i="9" s="1"/>
  <c r="Z193" i="9" s="1"/>
  <c r="AA193" i="9" s="1"/>
  <c r="AB193" i="9" s="1"/>
  <c r="AC193" i="9" s="1"/>
  <c r="AD193" i="9" s="1"/>
  <c r="AE193" i="9" s="1"/>
  <c r="AF193" i="9" s="1"/>
  <c r="D193" i="9"/>
  <c r="E193" i="9" s="1"/>
  <c r="F193" i="9" s="1"/>
  <c r="G193" i="9" s="1"/>
  <c r="H193" i="9" s="1"/>
  <c r="I193" i="9" s="1"/>
  <c r="J193" i="9" s="1"/>
  <c r="K193" i="9" s="1"/>
  <c r="L193" i="9" s="1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C193" i="9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X192" i="9" s="1"/>
  <c r="Y192" i="9" s="1"/>
  <c r="Z192" i="9" s="1"/>
  <c r="AA192" i="9" s="1"/>
  <c r="AB192" i="9" s="1"/>
  <c r="AC192" i="9" s="1"/>
  <c r="AD192" i="9" s="1"/>
  <c r="AE192" i="9" s="1"/>
  <c r="AF192" i="9" s="1"/>
  <c r="C192" i="9"/>
  <c r="D192" i="9" s="1"/>
  <c r="E192" i="9" s="1"/>
  <c r="F192" i="9" s="1"/>
  <c r="G192" i="9" s="1"/>
  <c r="H192" i="9" s="1"/>
  <c r="I192" i="9" s="1"/>
  <c r="J192" i="9" s="1"/>
  <c r="K192" i="9" s="1"/>
  <c r="D191" i="9"/>
  <c r="D197" i="9" s="1"/>
  <c r="C191" i="9"/>
  <c r="C197" i="9" s="1"/>
  <c r="AG189" i="9"/>
  <c r="B189" i="9"/>
  <c r="K188" i="9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J188" i="9"/>
  <c r="C188" i="9"/>
  <c r="D188" i="9" s="1"/>
  <c r="E188" i="9" s="1"/>
  <c r="F188" i="9" s="1"/>
  <c r="G188" i="9" s="1"/>
  <c r="H188" i="9" s="1"/>
  <c r="I188" i="9" s="1"/>
  <c r="J187" i="9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I187" i="9"/>
  <c r="D187" i="9"/>
  <c r="E187" i="9" s="1"/>
  <c r="F187" i="9" s="1"/>
  <c r="G187" i="9" s="1"/>
  <c r="H187" i="9" s="1"/>
  <c r="C187" i="9"/>
  <c r="C186" i="9"/>
  <c r="D186" i="9" s="1"/>
  <c r="E186" i="9" s="1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S185" i="9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H185" i="9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C185" i="9"/>
  <c r="D185" i="9" s="1"/>
  <c r="E185" i="9" s="1"/>
  <c r="F185" i="9" s="1"/>
  <c r="G185" i="9" s="1"/>
  <c r="C184" i="9"/>
  <c r="D184" i="9" s="1"/>
  <c r="E184" i="9" s="1"/>
  <c r="F184" i="9" s="1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O183" i="9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E183" i="9"/>
  <c r="F183" i="9" s="1"/>
  <c r="G183" i="9" s="1"/>
  <c r="H183" i="9" s="1"/>
  <c r="I183" i="9" s="1"/>
  <c r="J183" i="9" s="1"/>
  <c r="K183" i="9" s="1"/>
  <c r="L183" i="9" s="1"/>
  <c r="M183" i="9" s="1"/>
  <c r="N183" i="9" s="1"/>
  <c r="D183" i="9"/>
  <c r="C183" i="9"/>
  <c r="H182" i="9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F182" i="9"/>
  <c r="G182" i="9" s="1"/>
  <c r="E182" i="9"/>
  <c r="C182" i="9"/>
  <c r="D182" i="9" s="1"/>
  <c r="S181" i="9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C181" i="9"/>
  <c r="D181" i="9" s="1"/>
  <c r="E181" i="9" s="1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G180" i="9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F180" i="9"/>
  <c r="C180" i="9"/>
  <c r="D180" i="9" s="1"/>
  <c r="E180" i="9" s="1"/>
  <c r="P179" i="9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E179" i="9"/>
  <c r="F179" i="9" s="1"/>
  <c r="G179" i="9" s="1"/>
  <c r="H179" i="9" s="1"/>
  <c r="I179" i="9" s="1"/>
  <c r="J179" i="9" s="1"/>
  <c r="K179" i="9" s="1"/>
  <c r="L179" i="9" s="1"/>
  <c r="M179" i="9" s="1"/>
  <c r="N179" i="9" s="1"/>
  <c r="O179" i="9" s="1"/>
  <c r="D179" i="9"/>
  <c r="C179" i="9"/>
  <c r="AF178" i="9"/>
  <c r="C178" i="9"/>
  <c r="D178" i="9" s="1"/>
  <c r="E178" i="9" s="1"/>
  <c r="F178" i="9" s="1"/>
  <c r="G178" i="9" s="1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V177" i="9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U177" i="9"/>
  <c r="D177" i="9"/>
  <c r="E177" i="9" s="1"/>
  <c r="F177" i="9" s="1"/>
  <c r="G177" i="9" s="1"/>
  <c r="H177" i="9" s="1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S177" i="9" s="1"/>
  <c r="T177" i="9" s="1"/>
  <c r="C177" i="9"/>
  <c r="C176" i="9"/>
  <c r="D176" i="9" s="1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D174" i="9"/>
  <c r="E174" i="9" s="1"/>
  <c r="F174" i="9" s="1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C174" i="9"/>
  <c r="M173" i="9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K173" i="9"/>
  <c r="L173" i="9" s="1"/>
  <c r="E173" i="9"/>
  <c r="F173" i="9" s="1"/>
  <c r="G173" i="9" s="1"/>
  <c r="H173" i="9" s="1"/>
  <c r="I173" i="9" s="1"/>
  <c r="J173" i="9" s="1"/>
  <c r="C173" i="9"/>
  <c r="D173" i="9" s="1"/>
  <c r="F172" i="9"/>
  <c r="G172" i="9" s="1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E172" i="9"/>
  <c r="C172" i="9"/>
  <c r="D172" i="9" s="1"/>
  <c r="D171" i="9"/>
  <c r="E171" i="9" s="1"/>
  <c r="F171" i="9" s="1"/>
  <c r="G171" i="9" s="1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C171" i="9"/>
  <c r="D170" i="9"/>
  <c r="E170" i="9" s="1"/>
  <c r="F170" i="9" s="1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C170" i="9"/>
  <c r="I169" i="9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E169" i="9"/>
  <c r="F169" i="9" s="1"/>
  <c r="G169" i="9" s="1"/>
  <c r="H169" i="9" s="1"/>
  <c r="C169" i="9"/>
  <c r="D169" i="9" s="1"/>
  <c r="P168" i="9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E168" i="9"/>
  <c r="F168" i="9" s="1"/>
  <c r="G168" i="9" s="1"/>
  <c r="H168" i="9" s="1"/>
  <c r="I168" i="9" s="1"/>
  <c r="J168" i="9" s="1"/>
  <c r="K168" i="9" s="1"/>
  <c r="L168" i="9" s="1"/>
  <c r="M168" i="9" s="1"/>
  <c r="N168" i="9" s="1"/>
  <c r="O168" i="9" s="1"/>
  <c r="C168" i="9"/>
  <c r="D168" i="9" s="1"/>
  <c r="J167" i="9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D167" i="9"/>
  <c r="E167" i="9" s="1"/>
  <c r="F167" i="9" s="1"/>
  <c r="G167" i="9" s="1"/>
  <c r="H167" i="9" s="1"/>
  <c r="I167" i="9" s="1"/>
  <c r="C167" i="9"/>
  <c r="K165" i="9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C165" i="9"/>
  <c r="D165" i="9" s="1"/>
  <c r="E165" i="9" s="1"/>
  <c r="F165" i="9" s="1"/>
  <c r="G165" i="9" s="1"/>
  <c r="H165" i="9" s="1"/>
  <c r="I165" i="9" s="1"/>
  <c r="J165" i="9" s="1"/>
  <c r="C164" i="9"/>
  <c r="D164" i="9" s="1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F163" i="9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C163" i="9"/>
  <c r="D163" i="9" s="1"/>
  <c r="E163" i="9" s="1"/>
  <c r="D162" i="9"/>
  <c r="E162" i="9" s="1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C162" i="9"/>
  <c r="U161" i="9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M161" i="9"/>
  <c r="N161" i="9" s="1"/>
  <c r="O161" i="9" s="1"/>
  <c r="P161" i="9" s="1"/>
  <c r="Q161" i="9" s="1"/>
  <c r="R161" i="9" s="1"/>
  <c r="S161" i="9" s="1"/>
  <c r="T161" i="9" s="1"/>
  <c r="G161" i="9"/>
  <c r="H161" i="9" s="1"/>
  <c r="I161" i="9" s="1"/>
  <c r="J161" i="9" s="1"/>
  <c r="K161" i="9" s="1"/>
  <c r="L161" i="9" s="1"/>
  <c r="D161" i="9"/>
  <c r="E161" i="9" s="1"/>
  <c r="F161" i="9" s="1"/>
  <c r="C161" i="9"/>
  <c r="G160" i="9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F160" i="9"/>
  <c r="E160" i="9"/>
  <c r="C160" i="9"/>
  <c r="D160" i="9" s="1"/>
  <c r="AE159" i="9"/>
  <c r="AF159" i="9" s="1"/>
  <c r="Y159" i="9"/>
  <c r="Z159" i="9" s="1"/>
  <c r="AA159" i="9" s="1"/>
  <c r="AB159" i="9" s="1"/>
  <c r="AC159" i="9" s="1"/>
  <c r="AD159" i="9" s="1"/>
  <c r="C159" i="9"/>
  <c r="D159" i="9" s="1"/>
  <c r="E159" i="9" s="1"/>
  <c r="F159" i="9" s="1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C158" i="9"/>
  <c r="D158" i="9" s="1"/>
  <c r="E158" i="9" s="1"/>
  <c r="F158" i="9" s="1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E157" i="9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D157" i="9"/>
  <c r="C157" i="9"/>
  <c r="C156" i="9"/>
  <c r="D156" i="9" s="1"/>
  <c r="E156" i="9" s="1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AC155" i="9"/>
  <c r="AD155" i="9" s="1"/>
  <c r="AE155" i="9" s="1"/>
  <c r="AF155" i="9" s="1"/>
  <c r="W155" i="9"/>
  <c r="X155" i="9" s="1"/>
  <c r="Y155" i="9" s="1"/>
  <c r="Z155" i="9" s="1"/>
  <c r="AA155" i="9" s="1"/>
  <c r="AB155" i="9" s="1"/>
  <c r="H155" i="9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C155" i="9"/>
  <c r="D155" i="9" s="1"/>
  <c r="E155" i="9" s="1"/>
  <c r="F155" i="9" s="1"/>
  <c r="G155" i="9" s="1"/>
  <c r="C154" i="9"/>
  <c r="D154" i="9" s="1"/>
  <c r="E154" i="9" s="1"/>
  <c r="F154" i="9" s="1"/>
  <c r="G154" i="9" s="1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J153" i="9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E153" i="9"/>
  <c r="F153" i="9" s="1"/>
  <c r="G153" i="9" s="1"/>
  <c r="H153" i="9" s="1"/>
  <c r="I153" i="9" s="1"/>
  <c r="D153" i="9"/>
  <c r="C153" i="9"/>
  <c r="G151" i="9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C151" i="9"/>
  <c r="D151" i="9" s="1"/>
  <c r="E151" i="9" s="1"/>
  <c r="F151" i="9" s="1"/>
  <c r="I150" i="9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E150" i="9"/>
  <c r="F150" i="9" s="1"/>
  <c r="G150" i="9" s="1"/>
  <c r="H150" i="9" s="1"/>
  <c r="D150" i="9"/>
  <c r="C150" i="9"/>
  <c r="G149" i="9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C149" i="9"/>
  <c r="D149" i="9" s="1"/>
  <c r="E149" i="9" s="1"/>
  <c r="F149" i="9" s="1"/>
  <c r="E148" i="9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D148" i="9"/>
  <c r="C148" i="9"/>
  <c r="I146" i="9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E146" i="9"/>
  <c r="F146" i="9" s="1"/>
  <c r="G146" i="9" s="1"/>
  <c r="H146" i="9" s="1"/>
  <c r="C146" i="9"/>
  <c r="D146" i="9" s="1"/>
  <c r="K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C145" i="9"/>
  <c r="D145" i="9" s="1"/>
  <c r="E145" i="9" s="1"/>
  <c r="F145" i="9" s="1"/>
  <c r="G145" i="9" s="1"/>
  <c r="H145" i="9" s="1"/>
  <c r="I145" i="9" s="1"/>
  <c r="J145" i="9" s="1"/>
  <c r="T143" i="9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C143" i="9"/>
  <c r="J142" i="9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C142" i="9"/>
  <c r="D142" i="9" s="1"/>
  <c r="E142" i="9" s="1"/>
  <c r="F142" i="9" s="1"/>
  <c r="G142" i="9" s="1"/>
  <c r="H142" i="9" s="1"/>
  <c r="I142" i="9" s="1"/>
  <c r="Y141" i="9"/>
  <c r="Z141" i="9" s="1"/>
  <c r="AA141" i="9" s="1"/>
  <c r="AB141" i="9" s="1"/>
  <c r="AC141" i="9" s="1"/>
  <c r="AD141" i="9" s="1"/>
  <c r="AE141" i="9" s="1"/>
  <c r="AF141" i="9" s="1"/>
  <c r="X141" i="9"/>
  <c r="J141" i="9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I141" i="9"/>
  <c r="E141" i="9"/>
  <c r="F141" i="9" s="1"/>
  <c r="G141" i="9" s="1"/>
  <c r="H141" i="9" s="1"/>
  <c r="D141" i="9"/>
  <c r="C141" i="9"/>
  <c r="S140" i="9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P140" i="9"/>
  <c r="Q140" i="9" s="1"/>
  <c r="R140" i="9" s="1"/>
  <c r="F140" i="9"/>
  <c r="G140" i="9" s="1"/>
  <c r="H140" i="9" s="1"/>
  <c r="I140" i="9" s="1"/>
  <c r="J140" i="9" s="1"/>
  <c r="K140" i="9" s="1"/>
  <c r="L140" i="9" s="1"/>
  <c r="M140" i="9" s="1"/>
  <c r="N140" i="9" s="1"/>
  <c r="O140" i="9" s="1"/>
  <c r="D140" i="9"/>
  <c r="E140" i="9" s="1"/>
  <c r="C140" i="9"/>
  <c r="I139" i="9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D139" i="9"/>
  <c r="E139" i="9" s="1"/>
  <c r="F139" i="9" s="1"/>
  <c r="G139" i="9" s="1"/>
  <c r="H139" i="9" s="1"/>
  <c r="C139" i="9"/>
  <c r="C138" i="9"/>
  <c r="D138" i="9" s="1"/>
  <c r="E138" i="9" s="1"/>
  <c r="F138" i="9" s="1"/>
  <c r="G138" i="9" s="1"/>
  <c r="H138" i="9" s="1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F137" i="9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E137" i="9"/>
  <c r="D137" i="9"/>
  <c r="C137" i="9"/>
  <c r="D135" i="9"/>
  <c r="E135" i="9" s="1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C135" i="9"/>
  <c r="X134" i="9"/>
  <c r="Y134" i="9" s="1"/>
  <c r="Z134" i="9" s="1"/>
  <c r="AA134" i="9" s="1"/>
  <c r="AB134" i="9" s="1"/>
  <c r="AC134" i="9" s="1"/>
  <c r="AD134" i="9" s="1"/>
  <c r="AE134" i="9" s="1"/>
  <c r="AF134" i="9" s="1"/>
  <c r="C134" i="9"/>
  <c r="D134" i="9" s="1"/>
  <c r="E134" i="9" s="1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D133" i="9"/>
  <c r="E133" i="9" s="1"/>
  <c r="F133" i="9" s="1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C133" i="9"/>
  <c r="O132" i="9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C132" i="9"/>
  <c r="D132" i="9" s="1"/>
  <c r="E132" i="9" s="1"/>
  <c r="F132" i="9" s="1"/>
  <c r="G132" i="9" s="1"/>
  <c r="H132" i="9" s="1"/>
  <c r="I132" i="9" s="1"/>
  <c r="J132" i="9" s="1"/>
  <c r="K132" i="9" s="1"/>
  <c r="L132" i="9" s="1"/>
  <c r="M132" i="9" s="1"/>
  <c r="N132" i="9" s="1"/>
  <c r="X131" i="9"/>
  <c r="Y131" i="9" s="1"/>
  <c r="Z131" i="9" s="1"/>
  <c r="AA131" i="9" s="1"/>
  <c r="AB131" i="9" s="1"/>
  <c r="AC131" i="9" s="1"/>
  <c r="AD131" i="9" s="1"/>
  <c r="AE131" i="9" s="1"/>
  <c r="AF131" i="9" s="1"/>
  <c r="E131" i="9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D131" i="9"/>
  <c r="C131" i="9"/>
  <c r="O130" i="9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C130" i="9"/>
  <c r="D130" i="9" s="1"/>
  <c r="E130" i="9" s="1"/>
  <c r="F130" i="9" s="1"/>
  <c r="G130" i="9" s="1"/>
  <c r="H130" i="9" s="1"/>
  <c r="I130" i="9" s="1"/>
  <c r="J130" i="9" s="1"/>
  <c r="K130" i="9" s="1"/>
  <c r="L130" i="9" s="1"/>
  <c r="M130" i="9" s="1"/>
  <c r="N130" i="9" s="1"/>
  <c r="D129" i="9"/>
  <c r="E129" i="9" s="1"/>
  <c r="F129" i="9" s="1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C129" i="9"/>
  <c r="O128" i="9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C128" i="9"/>
  <c r="D128" i="9" s="1"/>
  <c r="E128" i="9" s="1"/>
  <c r="F128" i="9" s="1"/>
  <c r="G128" i="9" s="1"/>
  <c r="H128" i="9" s="1"/>
  <c r="I128" i="9" s="1"/>
  <c r="J128" i="9" s="1"/>
  <c r="K128" i="9" s="1"/>
  <c r="L128" i="9" s="1"/>
  <c r="M128" i="9" s="1"/>
  <c r="N128" i="9" s="1"/>
  <c r="I126" i="9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D126" i="9"/>
  <c r="E126" i="9" s="1"/>
  <c r="F126" i="9" s="1"/>
  <c r="G126" i="9" s="1"/>
  <c r="H126" i="9" s="1"/>
  <c r="C126" i="9"/>
  <c r="J125" i="9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C125" i="9"/>
  <c r="D125" i="9" s="1"/>
  <c r="E125" i="9" s="1"/>
  <c r="F125" i="9" s="1"/>
  <c r="G125" i="9" s="1"/>
  <c r="H125" i="9" s="1"/>
  <c r="I125" i="9" s="1"/>
  <c r="H124" i="9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E124" i="9"/>
  <c r="F124" i="9" s="1"/>
  <c r="G124" i="9" s="1"/>
  <c r="D124" i="9"/>
  <c r="C124" i="9"/>
  <c r="G123" i="9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F123" i="9"/>
  <c r="C123" i="9"/>
  <c r="D123" i="9" s="1"/>
  <c r="E123" i="9" s="1"/>
  <c r="E122" i="9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D122" i="9"/>
  <c r="C122" i="9"/>
  <c r="F121" i="9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C121" i="9"/>
  <c r="D121" i="9" s="1"/>
  <c r="E121" i="9" s="1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C120" i="9"/>
  <c r="F119" i="9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C119" i="9"/>
  <c r="D119" i="9" s="1"/>
  <c r="E119" i="9" s="1"/>
  <c r="H118" i="9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E118" i="9"/>
  <c r="F118" i="9" s="1"/>
  <c r="G118" i="9" s="1"/>
  <c r="D118" i="9"/>
  <c r="C118" i="9"/>
  <c r="J117" i="9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F117" i="9"/>
  <c r="G117" i="9" s="1"/>
  <c r="H117" i="9" s="1"/>
  <c r="I117" i="9" s="1"/>
  <c r="C117" i="9"/>
  <c r="D117" i="9" s="1"/>
  <c r="E117" i="9" s="1"/>
  <c r="D116" i="9"/>
  <c r="E116" i="9" s="1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C116" i="9"/>
  <c r="C115" i="9"/>
  <c r="D115" i="9" s="1"/>
  <c r="E115" i="9" s="1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H114" i="9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D114" i="9"/>
  <c r="E114" i="9" s="1"/>
  <c r="F114" i="9" s="1"/>
  <c r="G114" i="9" s="1"/>
  <c r="C114" i="9"/>
  <c r="D113" i="9"/>
  <c r="E113" i="9" s="1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C113" i="9"/>
  <c r="G112" i="9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D112" i="9"/>
  <c r="E112" i="9" s="1"/>
  <c r="F112" i="9" s="1"/>
  <c r="C112" i="9"/>
  <c r="M111" i="9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K111" i="9"/>
  <c r="L111" i="9" s="1"/>
  <c r="J111" i="9"/>
  <c r="F111" i="9"/>
  <c r="G111" i="9" s="1"/>
  <c r="H111" i="9" s="1"/>
  <c r="D111" i="9"/>
  <c r="E111" i="9" s="1"/>
  <c r="C111" i="9"/>
  <c r="C110" i="9"/>
  <c r="D110" i="9" s="1"/>
  <c r="E110" i="9" s="1"/>
  <c r="F110" i="9" s="1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F109" i="9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C109" i="9"/>
  <c r="D109" i="9" s="1"/>
  <c r="E109" i="9" s="1"/>
  <c r="D107" i="9"/>
  <c r="E107" i="9" s="1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C107" i="9"/>
  <c r="C106" i="9"/>
  <c r="D106" i="9" s="1"/>
  <c r="E106" i="9" s="1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E104" i="9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C104" i="9"/>
  <c r="D104" i="9" s="1"/>
  <c r="C103" i="9"/>
  <c r="D103" i="9" s="1"/>
  <c r="E103" i="9" s="1"/>
  <c r="F103" i="9" s="1"/>
  <c r="G103" i="9" s="1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D102" i="9"/>
  <c r="E102" i="9" s="1"/>
  <c r="F102" i="9" s="1"/>
  <c r="G102" i="9" s="1"/>
  <c r="H102" i="9" s="1"/>
  <c r="I102" i="9" s="1"/>
  <c r="J102" i="9" s="1"/>
  <c r="K102" i="9" s="1"/>
  <c r="L102" i="9" s="1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AE102" i="9" s="1"/>
  <c r="AF102" i="9" s="1"/>
  <c r="C102" i="9"/>
  <c r="C101" i="9"/>
  <c r="D101" i="9" s="1"/>
  <c r="E101" i="9" s="1"/>
  <c r="F101" i="9" s="1"/>
  <c r="G101" i="9" s="1"/>
  <c r="H101" i="9" s="1"/>
  <c r="I101" i="9" s="1"/>
  <c r="J101" i="9" s="1"/>
  <c r="K101" i="9" s="1"/>
  <c r="L101" i="9" s="1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X101" i="9" s="1"/>
  <c r="Y101" i="9" s="1"/>
  <c r="Z101" i="9" s="1"/>
  <c r="AA101" i="9" s="1"/>
  <c r="AB101" i="9" s="1"/>
  <c r="AC101" i="9" s="1"/>
  <c r="AD101" i="9" s="1"/>
  <c r="AE101" i="9" s="1"/>
  <c r="AF101" i="9" s="1"/>
  <c r="C100" i="9"/>
  <c r="D100" i="9" s="1"/>
  <c r="D91" i="9" s="1"/>
  <c r="C99" i="9"/>
  <c r="AH96" i="9"/>
  <c r="AI96" i="9" s="1"/>
  <c r="AH95" i="9"/>
  <c r="AI95" i="9" s="1"/>
  <c r="AH94" i="9"/>
  <c r="AI94" i="9" s="1"/>
  <c r="AH93" i="9"/>
  <c r="AI93" i="9" s="1"/>
  <c r="AH92" i="9"/>
  <c r="AI92" i="9" s="1"/>
  <c r="C91" i="9"/>
  <c r="B91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G80" i="9"/>
  <c r="AI79" i="9"/>
  <c r="AH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P80" i="9" s="1"/>
  <c r="O74" i="9"/>
  <c r="N74" i="9"/>
  <c r="M74" i="9"/>
  <c r="L74" i="9"/>
  <c r="K74" i="9"/>
  <c r="J74" i="9"/>
  <c r="I74" i="9"/>
  <c r="H74" i="9"/>
  <c r="G74" i="9"/>
  <c r="G80" i="9" s="1"/>
  <c r="F74" i="9"/>
  <c r="E74" i="9"/>
  <c r="D74" i="9"/>
  <c r="C74" i="9"/>
  <c r="B74" i="9"/>
  <c r="AI72" i="9"/>
  <c r="AH72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I69" i="9"/>
  <c r="AH69" i="9"/>
  <c r="AI68" i="9"/>
  <c r="AH68" i="9"/>
  <c r="AI67" i="9"/>
  <c r="AH67" i="9"/>
  <c r="AG66" i="9"/>
  <c r="AF66" i="9"/>
  <c r="AE66" i="9"/>
  <c r="AE5" i="9" s="1"/>
  <c r="AD66" i="9"/>
  <c r="AD5" i="9" s="1"/>
  <c r="AC66" i="9"/>
  <c r="AB66" i="9"/>
  <c r="AA66" i="9"/>
  <c r="Z66" i="9"/>
  <c r="Y66" i="9"/>
  <c r="X66" i="9"/>
  <c r="W66" i="9"/>
  <c r="W5" i="9" s="1"/>
  <c r="V66" i="9"/>
  <c r="V5" i="9" s="1"/>
  <c r="U66" i="9"/>
  <c r="T66" i="9"/>
  <c r="S66" i="9"/>
  <c r="S5" i="9" s="1"/>
  <c r="R66" i="9"/>
  <c r="Q66" i="9"/>
  <c r="P66" i="9"/>
  <c r="O66" i="9"/>
  <c r="N66" i="9"/>
  <c r="N5" i="9" s="1"/>
  <c r="M66" i="9"/>
  <c r="M5" i="9" s="1"/>
  <c r="L66" i="9"/>
  <c r="L5" i="9" s="1"/>
  <c r="K66" i="9"/>
  <c r="J66" i="9"/>
  <c r="J5" i="9" s="1"/>
  <c r="I66" i="9"/>
  <c r="H66" i="9"/>
  <c r="G66" i="9"/>
  <c r="F66" i="9"/>
  <c r="F5" i="9" s="1"/>
  <c r="E66" i="9"/>
  <c r="E5" i="9" s="1"/>
  <c r="D66" i="9"/>
  <c r="C66" i="9"/>
  <c r="C5" i="9" s="1"/>
  <c r="B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G54" i="9"/>
  <c r="AG4" i="9" s="1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I53" i="9"/>
  <c r="AH53" i="9"/>
  <c r="AI52" i="9"/>
  <c r="AH52" i="9"/>
  <c r="AI51" i="9"/>
  <c r="AH51" i="9"/>
  <c r="AG50" i="9"/>
  <c r="Y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G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G36" i="9"/>
  <c r="AG2" i="9" s="1"/>
  <c r="AG6" i="9" s="1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O73" i="9" s="1"/>
  <c r="N36" i="9"/>
  <c r="M36" i="9"/>
  <c r="L36" i="9"/>
  <c r="K36" i="9"/>
  <c r="J36" i="9"/>
  <c r="I36" i="9"/>
  <c r="H36" i="9"/>
  <c r="G36" i="9"/>
  <c r="F36" i="9"/>
  <c r="E36" i="9"/>
  <c r="D36" i="9"/>
  <c r="D71" i="9" s="1"/>
  <c r="C36" i="9"/>
  <c r="B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C5" i="9"/>
  <c r="AB5" i="9"/>
  <c r="AA5" i="9"/>
  <c r="Z5" i="9"/>
  <c r="U5" i="9"/>
  <c r="T5" i="9"/>
  <c r="R5" i="9"/>
  <c r="O5" i="9"/>
  <c r="K5" i="9"/>
  <c r="G5" i="9"/>
  <c r="D5" i="9"/>
  <c r="B5" i="9"/>
  <c r="K4" i="9"/>
  <c r="B4" i="9"/>
  <c r="AG3" i="9"/>
  <c r="AK211" i="8"/>
  <c r="AL211" i="8"/>
  <c r="AM211" i="8"/>
  <c r="AJ211" i="8"/>
  <c r="AJ14" i="8"/>
  <c r="AK14" i="8" s="1"/>
  <c r="AJ12" i="8"/>
  <c r="AK12" i="8" s="1"/>
  <c r="AJ11" i="8"/>
  <c r="AK11" i="8" s="1"/>
  <c r="AL2" i="8" s="1"/>
  <c r="E4" i="10"/>
  <c r="E4" i="9"/>
  <c r="L191" i="11" l="1"/>
  <c r="K196" i="11"/>
  <c r="J232" i="11"/>
  <c r="N99" i="11"/>
  <c r="L100" i="11"/>
  <c r="K91" i="11"/>
  <c r="K189" i="11"/>
  <c r="AE80" i="10"/>
  <c r="AC80" i="10"/>
  <c r="Y73" i="10"/>
  <c r="AQ211" i="10" s="1"/>
  <c r="Y7" i="10"/>
  <c r="P73" i="10"/>
  <c r="F80" i="10"/>
  <c r="D196" i="10"/>
  <c r="AG73" i="10"/>
  <c r="Y80" i="10"/>
  <c r="W80" i="10"/>
  <c r="C91" i="10"/>
  <c r="C197" i="10"/>
  <c r="AI70" i="10"/>
  <c r="X80" i="10"/>
  <c r="AF80" i="10"/>
  <c r="S80" i="10"/>
  <c r="O80" i="10"/>
  <c r="AB80" i="10"/>
  <c r="Y71" i="10"/>
  <c r="V80" i="10"/>
  <c r="U80" i="10"/>
  <c r="T80" i="10"/>
  <c r="S71" i="10"/>
  <c r="R73" i="10"/>
  <c r="Q80" i="10"/>
  <c r="Q73" i="10"/>
  <c r="AI211" i="10" s="1"/>
  <c r="Q71" i="10"/>
  <c r="P80" i="10"/>
  <c r="O73" i="10"/>
  <c r="P71" i="10"/>
  <c r="O71" i="10"/>
  <c r="K71" i="10"/>
  <c r="N80" i="10"/>
  <c r="AH78" i="10"/>
  <c r="N73" i="10"/>
  <c r="M80" i="10"/>
  <c r="AL3" i="10"/>
  <c r="M73" i="10"/>
  <c r="L80" i="10"/>
  <c r="L71" i="10"/>
  <c r="AI77" i="10"/>
  <c r="K80" i="10"/>
  <c r="J71" i="10"/>
  <c r="J73" i="10"/>
  <c r="I80" i="10"/>
  <c r="AI76" i="10"/>
  <c r="AH76" i="10"/>
  <c r="I73" i="10"/>
  <c r="AA211" i="10" s="1"/>
  <c r="I71" i="10"/>
  <c r="H73" i="10"/>
  <c r="H80" i="10"/>
  <c r="H71" i="10"/>
  <c r="G80" i="10"/>
  <c r="G71" i="10"/>
  <c r="F73" i="10"/>
  <c r="X211" i="10" s="1"/>
  <c r="E80" i="10"/>
  <c r="D80" i="10"/>
  <c r="D71" i="10"/>
  <c r="AI36" i="10"/>
  <c r="C80" i="10"/>
  <c r="B80" i="10"/>
  <c r="B73" i="10"/>
  <c r="B7" i="10" s="1"/>
  <c r="AI75" i="10"/>
  <c r="B71" i="10"/>
  <c r="H4" i="10"/>
  <c r="AE211" i="10"/>
  <c r="M7" i="10"/>
  <c r="AH211" i="10"/>
  <c r="P7" i="10"/>
  <c r="AF211" i="10"/>
  <c r="N7" i="10"/>
  <c r="Z211" i="10"/>
  <c r="H7" i="10"/>
  <c r="G73" i="10"/>
  <c r="AH70" i="10"/>
  <c r="Q81" i="10"/>
  <c r="AG71" i="10"/>
  <c r="AG81" i="10" s="1"/>
  <c r="S5" i="10"/>
  <c r="AH66" i="10"/>
  <c r="AI66" i="10"/>
  <c r="C73" i="10"/>
  <c r="K73" i="10"/>
  <c r="S73" i="10"/>
  <c r="AK211" i="10" s="1"/>
  <c r="AH54" i="10"/>
  <c r="AI54" i="10"/>
  <c r="D73" i="10"/>
  <c r="L73" i="10"/>
  <c r="C71" i="10"/>
  <c r="AI78" i="10"/>
  <c r="AE5" i="10"/>
  <c r="P81" i="10"/>
  <c r="AG3" i="10"/>
  <c r="AG6" i="10" s="1"/>
  <c r="W5" i="10"/>
  <c r="E5" i="10"/>
  <c r="E71" i="10"/>
  <c r="M5" i="10"/>
  <c r="M71" i="10"/>
  <c r="M81" i="10" s="1"/>
  <c r="U5" i="10"/>
  <c r="AC5" i="10"/>
  <c r="AH75" i="10"/>
  <c r="AH77" i="10"/>
  <c r="E100" i="10"/>
  <c r="D91" i="10"/>
  <c r="AA80" i="10"/>
  <c r="O5" i="10"/>
  <c r="AH36" i="10"/>
  <c r="F71" i="10"/>
  <c r="N71" i="10"/>
  <c r="N81" i="10" s="1"/>
  <c r="E73" i="10"/>
  <c r="AI74" i="10"/>
  <c r="J80" i="10"/>
  <c r="R80" i="10"/>
  <c r="Z80" i="10"/>
  <c r="C189" i="10"/>
  <c r="D99" i="10"/>
  <c r="S208" i="10"/>
  <c r="D208" i="10"/>
  <c r="AH74" i="10"/>
  <c r="G191" i="10"/>
  <c r="D197" i="10"/>
  <c r="AF80" i="9"/>
  <c r="AE80" i="9"/>
  <c r="Z80" i="9"/>
  <c r="Y80" i="9"/>
  <c r="X80" i="9"/>
  <c r="W80" i="9"/>
  <c r="S71" i="9"/>
  <c r="S73" i="9"/>
  <c r="R80" i="9"/>
  <c r="R73" i="9"/>
  <c r="AJ211" i="9" s="1"/>
  <c r="R71" i="9"/>
  <c r="Q80" i="9"/>
  <c r="P73" i="9"/>
  <c r="AH211" i="9" s="1"/>
  <c r="O80" i="9"/>
  <c r="M73" i="9"/>
  <c r="M71" i="9"/>
  <c r="L71" i="9"/>
  <c r="K71" i="9"/>
  <c r="K73" i="9"/>
  <c r="J80" i="9"/>
  <c r="J71" i="9"/>
  <c r="J81" i="9" s="1"/>
  <c r="H80" i="9"/>
  <c r="AH77" i="9"/>
  <c r="G73" i="9"/>
  <c r="Y211" i="9" s="1"/>
  <c r="AI76" i="9"/>
  <c r="E73" i="9"/>
  <c r="E71" i="9"/>
  <c r="E81" i="9" s="1"/>
  <c r="AI78" i="9"/>
  <c r="AH74" i="9"/>
  <c r="AI75" i="9"/>
  <c r="C73" i="9"/>
  <c r="U211" i="9" s="1"/>
  <c r="C71" i="9"/>
  <c r="H4" i="9"/>
  <c r="I80" i="9"/>
  <c r="N73" i="9"/>
  <c r="P7" i="9"/>
  <c r="O71" i="9"/>
  <c r="O81" i="9" s="1"/>
  <c r="C80" i="9"/>
  <c r="K80" i="9"/>
  <c r="S80" i="9"/>
  <c r="S81" i="9" s="1"/>
  <c r="AA80" i="9"/>
  <c r="T80" i="9"/>
  <c r="W211" i="9"/>
  <c r="E7" i="9"/>
  <c r="AI54" i="9"/>
  <c r="AI74" i="9"/>
  <c r="B71" i="9"/>
  <c r="AI36" i="9"/>
  <c r="D80" i="9"/>
  <c r="AB80" i="9"/>
  <c r="I73" i="9"/>
  <c r="Q73" i="9"/>
  <c r="Y73" i="9"/>
  <c r="AG73" i="9"/>
  <c r="AG81" i="9" s="1"/>
  <c r="E80" i="9"/>
  <c r="M80" i="9"/>
  <c r="M81" i="9" s="1"/>
  <c r="U80" i="9"/>
  <c r="AC80" i="9"/>
  <c r="AG211" i="9"/>
  <c r="O7" i="9"/>
  <c r="F73" i="9"/>
  <c r="AH36" i="9"/>
  <c r="F80" i="9"/>
  <c r="N80" i="9"/>
  <c r="V80" i="9"/>
  <c r="AD80" i="9"/>
  <c r="N71" i="9"/>
  <c r="L80" i="9"/>
  <c r="H5" i="9"/>
  <c r="H71" i="9"/>
  <c r="P5" i="9"/>
  <c r="P71" i="9"/>
  <c r="P81" i="9" s="1"/>
  <c r="X5" i="9"/>
  <c r="AF5" i="9"/>
  <c r="H73" i="9"/>
  <c r="Q5" i="9"/>
  <c r="Q71" i="9"/>
  <c r="J73" i="9"/>
  <c r="AE211" i="9"/>
  <c r="M7" i="9"/>
  <c r="S208" i="9"/>
  <c r="D208" i="9"/>
  <c r="I5" i="9"/>
  <c r="I71" i="9"/>
  <c r="I81" i="9" s="1"/>
  <c r="Y5" i="9"/>
  <c r="Y71" i="9"/>
  <c r="AG71" i="9"/>
  <c r="F71" i="9"/>
  <c r="F81" i="9" s="1"/>
  <c r="AH78" i="9"/>
  <c r="B80" i="9"/>
  <c r="AI66" i="9"/>
  <c r="G71" i="9"/>
  <c r="AI77" i="9"/>
  <c r="AH54" i="9"/>
  <c r="AH66" i="9"/>
  <c r="AH70" i="9"/>
  <c r="D73" i="9"/>
  <c r="L73" i="9"/>
  <c r="AH75" i="9"/>
  <c r="AI70" i="9"/>
  <c r="AH76" i="9"/>
  <c r="C189" i="9"/>
  <c r="D99" i="9"/>
  <c r="E100" i="9"/>
  <c r="D232" i="9"/>
  <c r="E196" i="9"/>
  <c r="E191" i="9"/>
  <c r="AL3" i="8"/>
  <c r="P66" i="8"/>
  <c r="M93" i="8"/>
  <c r="M35" i="8"/>
  <c r="L35" i="8"/>
  <c r="L93" i="8"/>
  <c r="AH97" i="8"/>
  <c r="AI97" i="8" s="1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AF234" i="8"/>
  <c r="AE234" i="8"/>
  <c r="AD234" i="8"/>
  <c r="AC234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D234" i="8"/>
  <c r="C234" i="8"/>
  <c r="B234" i="8"/>
  <c r="A234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B233" i="8"/>
  <c r="A233" i="8"/>
  <c r="B232" i="8"/>
  <c r="S207" i="8"/>
  <c r="AG197" i="8"/>
  <c r="B197" i="8"/>
  <c r="C196" i="8"/>
  <c r="C195" i="8"/>
  <c r="D195" i="8" s="1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K194" i="8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C194" i="8"/>
  <c r="D194" i="8" s="1"/>
  <c r="E194" i="8" s="1"/>
  <c r="F194" i="8" s="1"/>
  <c r="G194" i="8" s="1"/>
  <c r="H194" i="8" s="1"/>
  <c r="I194" i="8" s="1"/>
  <c r="J194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C193" i="8"/>
  <c r="C192" i="8"/>
  <c r="D192" i="8" s="1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C191" i="8"/>
  <c r="AG189" i="8"/>
  <c r="B189" i="8"/>
  <c r="C188" i="8"/>
  <c r="D188" i="8" s="1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C187" i="8"/>
  <c r="D187" i="8" s="1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G186" i="8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C186" i="8"/>
  <c r="D186" i="8" s="1"/>
  <c r="E186" i="8" s="1"/>
  <c r="F186" i="8" s="1"/>
  <c r="L185" i="8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C185" i="8"/>
  <c r="D185" i="8" s="1"/>
  <c r="E185" i="8" s="1"/>
  <c r="F185" i="8" s="1"/>
  <c r="G185" i="8" s="1"/>
  <c r="H185" i="8" s="1"/>
  <c r="I185" i="8" s="1"/>
  <c r="J185" i="8" s="1"/>
  <c r="K185" i="8" s="1"/>
  <c r="C184" i="8"/>
  <c r="D184" i="8" s="1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C183" i="8"/>
  <c r="D183" i="8" s="1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F182" i="8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C182" i="8"/>
  <c r="D182" i="8" s="1"/>
  <c r="E182" i="8" s="1"/>
  <c r="F181" i="8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D181" i="8"/>
  <c r="E181" i="8" s="1"/>
  <c r="C181" i="8"/>
  <c r="O180" i="8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C180" i="8"/>
  <c r="C179" i="8"/>
  <c r="D179" i="8" s="1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C178" i="8"/>
  <c r="D178" i="8" s="1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C177" i="8"/>
  <c r="D177" i="8" s="1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J176" i="8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C176" i="8"/>
  <c r="D176" i="8" s="1"/>
  <c r="E176" i="8" s="1"/>
  <c r="F176" i="8" s="1"/>
  <c r="G176" i="8" s="1"/>
  <c r="H176" i="8" s="1"/>
  <c r="I176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C174" i="8"/>
  <c r="C173" i="8"/>
  <c r="D173" i="8" s="1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C172" i="8"/>
  <c r="F171" i="8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C171" i="8"/>
  <c r="D171" i="8" s="1"/>
  <c r="E171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C170" i="8"/>
  <c r="C169" i="8"/>
  <c r="D169" i="8" s="1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C168" i="8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C167" i="8"/>
  <c r="C165" i="8"/>
  <c r="D165" i="8" s="1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C164" i="8"/>
  <c r="D164" i="8" s="1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C163" i="8"/>
  <c r="D163" i="8" s="1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C162" i="8"/>
  <c r="M161" i="8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D161" i="8"/>
  <c r="E161" i="8" s="1"/>
  <c r="F161" i="8" s="1"/>
  <c r="G161" i="8" s="1"/>
  <c r="H161" i="8" s="1"/>
  <c r="I161" i="8" s="1"/>
  <c r="J161" i="8" s="1"/>
  <c r="K161" i="8" s="1"/>
  <c r="L161" i="8" s="1"/>
  <c r="C161" i="8"/>
  <c r="N160" i="8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C160" i="8"/>
  <c r="E159" i="8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D159" i="8"/>
  <c r="C159" i="8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C158" i="8"/>
  <c r="M157" i="8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D157" i="8"/>
  <c r="E157" i="8" s="1"/>
  <c r="F157" i="8" s="1"/>
  <c r="G157" i="8" s="1"/>
  <c r="H157" i="8" s="1"/>
  <c r="I157" i="8" s="1"/>
  <c r="J157" i="8" s="1"/>
  <c r="K157" i="8" s="1"/>
  <c r="L157" i="8" s="1"/>
  <c r="C157" i="8"/>
  <c r="C156" i="8"/>
  <c r="D156" i="8" s="1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E155" i="8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D155" i="8"/>
  <c r="C155" i="8"/>
  <c r="C154" i="8"/>
  <c r="D154" i="8" s="1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C153" i="8"/>
  <c r="C151" i="8"/>
  <c r="D151" i="8" s="1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E150" i="8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C150" i="8"/>
  <c r="D150" i="8" s="1"/>
  <c r="C149" i="8"/>
  <c r="D149" i="8" s="1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C148" i="8"/>
  <c r="D148" i="8" s="1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F146" i="8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D146" i="8"/>
  <c r="E146" i="8" s="1"/>
  <c r="C146" i="8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C145" i="8"/>
  <c r="E143" i="8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C143" i="8"/>
  <c r="D143" i="8" s="1"/>
  <c r="C142" i="8"/>
  <c r="D142" i="8" s="1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C141" i="8"/>
  <c r="D141" i="8" s="1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C140" i="8"/>
  <c r="D140" i="8" s="1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F139" i="8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E139" i="8"/>
  <c r="C139" i="8"/>
  <c r="D139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C138" i="8"/>
  <c r="F137" i="8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D137" i="8"/>
  <c r="E137" i="8" s="1"/>
  <c r="C137" i="8"/>
  <c r="C135" i="8"/>
  <c r="D135" i="8" s="1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C134" i="8"/>
  <c r="D134" i="8" s="1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C133" i="8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C132" i="8"/>
  <c r="C131" i="8"/>
  <c r="D131" i="8" s="1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C130" i="8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C129" i="8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C128" i="8"/>
  <c r="C126" i="8"/>
  <c r="D126" i="8" s="1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G125" i="8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C125" i="8"/>
  <c r="D125" i="8" s="1"/>
  <c r="E125" i="8" s="1"/>
  <c r="F125" i="8" s="1"/>
  <c r="E124" i="8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D124" i="8"/>
  <c r="C124" i="8"/>
  <c r="C123" i="8"/>
  <c r="D123" i="8" s="1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C122" i="8"/>
  <c r="D122" i="8" s="1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G121" i="8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D121" i="8"/>
  <c r="E121" i="8" s="1"/>
  <c r="F121" i="8" s="1"/>
  <c r="C121" i="8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C120" i="8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C119" i="8"/>
  <c r="C118" i="8"/>
  <c r="D118" i="8" s="1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C117" i="8"/>
  <c r="D117" i="8" s="1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C116" i="8"/>
  <c r="D116" i="8" s="1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C115" i="8"/>
  <c r="D115" i="8" s="1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C114" i="8"/>
  <c r="C113" i="8"/>
  <c r="D113" i="8" s="1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C112" i="8"/>
  <c r="D112" i="8" s="1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J111" i="8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C111" i="8"/>
  <c r="D111" i="8" s="1"/>
  <c r="E111" i="8" s="1"/>
  <c r="F111" i="8" s="1"/>
  <c r="G111" i="8" s="1"/>
  <c r="H111" i="8" s="1"/>
  <c r="C110" i="8"/>
  <c r="D110" i="8" s="1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C109" i="8"/>
  <c r="D109" i="8" s="1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C107" i="8"/>
  <c r="D107" i="8" s="1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C106" i="8"/>
  <c r="D106" i="8" s="1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C104" i="8"/>
  <c r="D104" i="8" s="1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C103" i="8"/>
  <c r="D103" i="8" s="1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C102" i="8"/>
  <c r="D102" i="8" s="1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C101" i="8"/>
  <c r="C100" i="8"/>
  <c r="C99" i="8"/>
  <c r="D99" i="8" s="1"/>
  <c r="E99" i="8" s="1"/>
  <c r="AH96" i="8"/>
  <c r="AI96" i="8" s="1"/>
  <c r="AH95" i="8"/>
  <c r="AI95" i="8" s="1"/>
  <c r="AH94" i="8"/>
  <c r="AI94" i="8" s="1"/>
  <c r="AH93" i="8"/>
  <c r="AI93" i="8" s="1"/>
  <c r="AH92" i="8"/>
  <c r="AI92" i="8" s="1"/>
  <c r="B91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G80" i="8"/>
  <c r="AI79" i="8"/>
  <c r="AH79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F74" i="8"/>
  <c r="AE74" i="8"/>
  <c r="AD74" i="8"/>
  <c r="AD80" i="8" s="1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I72" i="8"/>
  <c r="AH72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I69" i="8"/>
  <c r="AH69" i="8"/>
  <c r="AI68" i="8"/>
  <c r="AH68" i="8"/>
  <c r="AI67" i="8"/>
  <c r="AH67" i="8"/>
  <c r="AG66" i="8"/>
  <c r="AF66" i="8"/>
  <c r="AF5" i="8" s="1"/>
  <c r="AE66" i="8"/>
  <c r="AE5" i="8" s="1"/>
  <c r="AD66" i="8"/>
  <c r="AD5" i="8" s="1"/>
  <c r="AC66" i="8"/>
  <c r="AB66" i="8"/>
  <c r="AA66" i="8"/>
  <c r="AA5" i="8" s="1"/>
  <c r="Z66" i="8"/>
  <c r="Z5" i="8" s="1"/>
  <c r="Y66" i="8"/>
  <c r="Y5" i="8" s="1"/>
  <c r="X66" i="8"/>
  <c r="X5" i="8" s="1"/>
  <c r="W66" i="8"/>
  <c r="W5" i="8" s="1"/>
  <c r="V66" i="8"/>
  <c r="V5" i="8" s="1"/>
  <c r="U66" i="8"/>
  <c r="T66" i="8"/>
  <c r="S66" i="8"/>
  <c r="S5" i="8" s="1"/>
  <c r="R66" i="8"/>
  <c r="R5" i="8" s="1"/>
  <c r="Q66" i="8"/>
  <c r="Q5" i="8" s="1"/>
  <c r="P5" i="8"/>
  <c r="O66" i="8"/>
  <c r="O5" i="8" s="1"/>
  <c r="N66" i="8"/>
  <c r="N5" i="8" s="1"/>
  <c r="M66" i="8"/>
  <c r="M5" i="8" s="1"/>
  <c r="L66" i="8"/>
  <c r="L5" i="8" s="1"/>
  <c r="K66" i="8"/>
  <c r="J66" i="8"/>
  <c r="J5" i="8" s="1"/>
  <c r="I66" i="8"/>
  <c r="I5" i="8" s="1"/>
  <c r="H66" i="8"/>
  <c r="H5" i="8" s="1"/>
  <c r="G66" i="8"/>
  <c r="F66" i="8"/>
  <c r="F5" i="8" s="1"/>
  <c r="E66" i="8"/>
  <c r="D66" i="8"/>
  <c r="C66" i="8"/>
  <c r="C5" i="8" s="1"/>
  <c r="B66" i="8"/>
  <c r="B5" i="8" s="1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G54" i="8"/>
  <c r="AG4" i="8" s="1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I53" i="8"/>
  <c r="AH53" i="8"/>
  <c r="AI52" i="8"/>
  <c r="AH52" i="8"/>
  <c r="AI51" i="8"/>
  <c r="AH51" i="8"/>
  <c r="Y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G49" i="8"/>
  <c r="AG50" i="8" s="1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C5" i="8"/>
  <c r="AB5" i="8"/>
  <c r="U5" i="8"/>
  <c r="T5" i="8"/>
  <c r="K5" i="8"/>
  <c r="E5" i="8"/>
  <c r="D5" i="8"/>
  <c r="K4" i="8"/>
  <c r="B4" i="8"/>
  <c r="AG2" i="8"/>
  <c r="Z35" i="7"/>
  <c r="Y35" i="7"/>
  <c r="P93" i="7"/>
  <c r="E4" i="8"/>
  <c r="M100" i="11" l="1"/>
  <c r="L189" i="11"/>
  <c r="O99" i="11"/>
  <c r="K232" i="11"/>
  <c r="L196" i="11"/>
  <c r="M191" i="11"/>
  <c r="K197" i="11"/>
  <c r="Y81" i="10"/>
  <c r="F81" i="10"/>
  <c r="H81" i="10"/>
  <c r="D232" i="10"/>
  <c r="E196" i="10"/>
  <c r="O81" i="10"/>
  <c r="R81" i="10"/>
  <c r="K81" i="10"/>
  <c r="S81" i="10"/>
  <c r="L81" i="10"/>
  <c r="O7" i="10"/>
  <c r="AG211" i="10"/>
  <c r="AJ211" i="10"/>
  <c r="R7" i="10"/>
  <c r="Q7" i="10"/>
  <c r="R7" i="9"/>
  <c r="R81" i="9"/>
  <c r="J81" i="10"/>
  <c r="E81" i="10"/>
  <c r="F7" i="10"/>
  <c r="T211" i="10"/>
  <c r="B81" i="10"/>
  <c r="B206" i="10"/>
  <c r="AB211" i="10"/>
  <c r="J7" i="10"/>
  <c r="I81" i="10"/>
  <c r="I7" i="10"/>
  <c r="G81" i="10"/>
  <c r="F100" i="10"/>
  <c r="E91" i="10"/>
  <c r="C81" i="10"/>
  <c r="AI80" i="10"/>
  <c r="AH80" i="10"/>
  <c r="AD211" i="10"/>
  <c r="L7" i="10"/>
  <c r="W211" i="10"/>
  <c r="E7" i="10"/>
  <c r="V211" i="10"/>
  <c r="D7" i="10"/>
  <c r="S7" i="10"/>
  <c r="C206" i="10"/>
  <c r="D189" i="10"/>
  <c r="E99" i="10"/>
  <c r="D81" i="10"/>
  <c r="AC211" i="10"/>
  <c r="K7" i="10"/>
  <c r="U211" i="10"/>
  <c r="C7" i="10"/>
  <c r="H191" i="10"/>
  <c r="Y211" i="10"/>
  <c r="G7" i="10"/>
  <c r="Y81" i="9"/>
  <c r="AK211" i="9"/>
  <c r="S7" i="9"/>
  <c r="Q81" i="9"/>
  <c r="N81" i="9"/>
  <c r="K81" i="9"/>
  <c r="AC211" i="9"/>
  <c r="K7" i="9"/>
  <c r="G7" i="9"/>
  <c r="H81" i="9"/>
  <c r="G81" i="9"/>
  <c r="D81" i="9"/>
  <c r="C81" i="9"/>
  <c r="C7" i="9"/>
  <c r="E232" i="9"/>
  <c r="F196" i="9"/>
  <c r="AI80" i="9"/>
  <c r="AH80" i="9"/>
  <c r="AQ211" i="9"/>
  <c r="Y7" i="9"/>
  <c r="AF211" i="9"/>
  <c r="N7" i="9"/>
  <c r="F100" i="9"/>
  <c r="E91" i="9"/>
  <c r="AD211" i="9"/>
  <c r="L7" i="9"/>
  <c r="AB211" i="9"/>
  <c r="J7" i="9"/>
  <c r="D189" i="9"/>
  <c r="E99" i="9"/>
  <c r="V211" i="9"/>
  <c r="D7" i="9"/>
  <c r="AI211" i="9"/>
  <c r="Q7" i="9"/>
  <c r="L81" i="9"/>
  <c r="Z211" i="9"/>
  <c r="H7" i="9"/>
  <c r="B206" i="9"/>
  <c r="X211" i="9"/>
  <c r="C206" i="9"/>
  <c r="F7" i="9"/>
  <c r="AA211" i="9"/>
  <c r="I7" i="9"/>
  <c r="F191" i="9"/>
  <c r="E197" i="9"/>
  <c r="B73" i="9"/>
  <c r="AF80" i="8"/>
  <c r="Z80" i="8"/>
  <c r="C91" i="8"/>
  <c r="E80" i="8"/>
  <c r="AC80" i="8"/>
  <c r="AE80" i="8"/>
  <c r="S80" i="8"/>
  <c r="AA80" i="8"/>
  <c r="C197" i="8"/>
  <c r="AG71" i="8"/>
  <c r="J80" i="8"/>
  <c r="AB80" i="8"/>
  <c r="Y80" i="8"/>
  <c r="Y73" i="8"/>
  <c r="AQ211" i="8"/>
  <c r="Y7" i="8"/>
  <c r="X80" i="8"/>
  <c r="W80" i="8"/>
  <c r="V80" i="8"/>
  <c r="U80" i="8"/>
  <c r="T80" i="8"/>
  <c r="S71" i="8"/>
  <c r="S73" i="8"/>
  <c r="R80" i="8"/>
  <c r="R73" i="8"/>
  <c r="Q80" i="8"/>
  <c r="Q73" i="8"/>
  <c r="AI211" i="8" s="1"/>
  <c r="P80" i="8"/>
  <c r="P73" i="8"/>
  <c r="O80" i="8"/>
  <c r="AI78" i="8"/>
  <c r="O73" i="8"/>
  <c r="N80" i="8"/>
  <c r="M80" i="8"/>
  <c r="N71" i="8"/>
  <c r="N73" i="8"/>
  <c r="AF211" i="8" s="1"/>
  <c r="M71" i="8"/>
  <c r="L80" i="8"/>
  <c r="L73" i="8"/>
  <c r="L71" i="8"/>
  <c r="K80" i="8"/>
  <c r="K71" i="8"/>
  <c r="K73" i="8"/>
  <c r="J73" i="8"/>
  <c r="AB211" i="8" s="1"/>
  <c r="I80" i="8"/>
  <c r="I73" i="8"/>
  <c r="AA211" i="8" s="1"/>
  <c r="H80" i="8"/>
  <c r="AI76" i="8"/>
  <c r="H73" i="8"/>
  <c r="Z211" i="8" s="1"/>
  <c r="G80" i="8"/>
  <c r="AI75" i="8"/>
  <c r="AH75" i="8"/>
  <c r="G71" i="8"/>
  <c r="G73" i="8"/>
  <c r="G7" i="8" s="1"/>
  <c r="F80" i="8"/>
  <c r="F71" i="8"/>
  <c r="F73" i="8"/>
  <c r="E71" i="8"/>
  <c r="AI77" i="8"/>
  <c r="D80" i="8"/>
  <c r="D73" i="8"/>
  <c r="V211" i="8" s="1"/>
  <c r="D71" i="8"/>
  <c r="C71" i="8"/>
  <c r="C80" i="8"/>
  <c r="AI74" i="8"/>
  <c r="AH54" i="8"/>
  <c r="AI36" i="8"/>
  <c r="C73" i="8"/>
  <c r="B80" i="8"/>
  <c r="AH77" i="8"/>
  <c r="H4" i="8"/>
  <c r="AH211" i="8"/>
  <c r="P7" i="8"/>
  <c r="AG211" i="8"/>
  <c r="O7" i="8"/>
  <c r="Y211" i="8"/>
  <c r="R7" i="8"/>
  <c r="AG6" i="8"/>
  <c r="AG3" i="8"/>
  <c r="AG73" i="8"/>
  <c r="J7" i="8"/>
  <c r="N7" i="8"/>
  <c r="F99" i="8"/>
  <c r="D100" i="8"/>
  <c r="D189" i="8" s="1"/>
  <c r="AH36" i="8"/>
  <c r="O71" i="8"/>
  <c r="O81" i="8" s="1"/>
  <c r="AH70" i="8"/>
  <c r="H71" i="8"/>
  <c r="P71" i="8"/>
  <c r="P81" i="8" s="1"/>
  <c r="G5" i="8"/>
  <c r="AI54" i="8"/>
  <c r="AI66" i="8"/>
  <c r="AI70" i="8"/>
  <c r="I71" i="8"/>
  <c r="I81" i="8" s="1"/>
  <c r="Q71" i="8"/>
  <c r="Q81" i="8" s="1"/>
  <c r="Y71" i="8"/>
  <c r="Y81" i="8" s="1"/>
  <c r="E73" i="8"/>
  <c r="M73" i="8"/>
  <c r="AH76" i="8"/>
  <c r="S208" i="8"/>
  <c r="D208" i="8"/>
  <c r="AH74" i="8"/>
  <c r="AH66" i="8"/>
  <c r="B71" i="8"/>
  <c r="J71" i="8"/>
  <c r="R71" i="8"/>
  <c r="R81" i="8" s="1"/>
  <c r="AH78" i="8"/>
  <c r="C189" i="8"/>
  <c r="C232" i="8"/>
  <c r="D196" i="8"/>
  <c r="D191" i="8"/>
  <c r="M196" i="11" l="1"/>
  <c r="L232" i="11"/>
  <c r="N191" i="11"/>
  <c r="M197" i="11"/>
  <c r="P99" i="11"/>
  <c r="L91" i="11"/>
  <c r="L197" i="11"/>
  <c r="N100" i="11"/>
  <c r="M91" i="11"/>
  <c r="M189" i="11"/>
  <c r="E232" i="10"/>
  <c r="F196" i="10"/>
  <c r="E197" i="10"/>
  <c r="K6" i="10"/>
  <c r="E189" i="10"/>
  <c r="F99" i="10"/>
  <c r="I191" i="10"/>
  <c r="G100" i="10"/>
  <c r="F91" i="10"/>
  <c r="G191" i="9"/>
  <c r="F197" i="9"/>
  <c r="T211" i="9"/>
  <c r="B7" i="9"/>
  <c r="F232" i="9"/>
  <c r="G196" i="9"/>
  <c r="G100" i="9"/>
  <c r="F91" i="9"/>
  <c r="K6" i="9"/>
  <c r="E189" i="9"/>
  <c r="F99" i="9"/>
  <c r="B81" i="9"/>
  <c r="AH80" i="8"/>
  <c r="AG81" i="8"/>
  <c r="F81" i="8"/>
  <c r="D81" i="8"/>
  <c r="D7" i="8"/>
  <c r="F7" i="8"/>
  <c r="H81" i="8"/>
  <c r="X211" i="8"/>
  <c r="N81" i="8"/>
  <c r="Q7" i="8"/>
  <c r="S81" i="8"/>
  <c r="S7" i="8"/>
  <c r="J81" i="8"/>
  <c r="L81" i="8"/>
  <c r="AD211" i="8"/>
  <c r="L7" i="8"/>
  <c r="AC211" i="8"/>
  <c r="K7" i="8"/>
  <c r="K81" i="8"/>
  <c r="I7" i="8"/>
  <c r="H7" i="8"/>
  <c r="AI80" i="8"/>
  <c r="G81" i="8"/>
  <c r="B206" i="8"/>
  <c r="U211" i="8"/>
  <c r="C7" i="8"/>
  <c r="C81" i="8"/>
  <c r="W211" i="8"/>
  <c r="E7" i="8"/>
  <c r="D197" i="8"/>
  <c r="E191" i="8"/>
  <c r="AE211" i="8"/>
  <c r="M7" i="8"/>
  <c r="E196" i="8"/>
  <c r="D232" i="8"/>
  <c r="C206" i="8"/>
  <c r="M81" i="8"/>
  <c r="E100" i="8"/>
  <c r="D91" i="8"/>
  <c r="E81" i="8"/>
  <c r="B73" i="8"/>
  <c r="G99" i="8"/>
  <c r="Q99" i="11" l="1"/>
  <c r="O191" i="11"/>
  <c r="N197" i="11"/>
  <c r="O100" i="11"/>
  <c r="N91" i="11"/>
  <c r="N189" i="11"/>
  <c r="M232" i="11"/>
  <c r="N196" i="11"/>
  <c r="F197" i="10"/>
  <c r="F232" i="10"/>
  <c r="G196" i="10"/>
  <c r="J191" i="10"/>
  <c r="F189" i="10"/>
  <c r="G99" i="10"/>
  <c r="G91" i="10"/>
  <c r="H100" i="10"/>
  <c r="H100" i="9"/>
  <c r="G91" i="9"/>
  <c r="G232" i="9"/>
  <c r="H196" i="9"/>
  <c r="F189" i="9"/>
  <c r="G99" i="9"/>
  <c r="H191" i="9"/>
  <c r="G197" i="9"/>
  <c r="K6" i="8"/>
  <c r="F191" i="8"/>
  <c r="E197" i="8"/>
  <c r="F100" i="8"/>
  <c r="E91" i="8"/>
  <c r="E189" i="8"/>
  <c r="H99" i="8"/>
  <c r="T211" i="8"/>
  <c r="B7" i="8"/>
  <c r="E232" i="8"/>
  <c r="F196" i="8"/>
  <c r="B81" i="8"/>
  <c r="P100" i="11" l="1"/>
  <c r="O189" i="11"/>
  <c r="P191" i="11"/>
  <c r="O197" i="11"/>
  <c r="R99" i="11"/>
  <c r="N232" i="11"/>
  <c r="O196" i="11"/>
  <c r="G197" i="10"/>
  <c r="H196" i="10"/>
  <c r="G232" i="10"/>
  <c r="G189" i="10"/>
  <c r="H99" i="10"/>
  <c r="K191" i="10"/>
  <c r="H91" i="10"/>
  <c r="I100" i="10"/>
  <c r="I196" i="9"/>
  <c r="H232" i="9"/>
  <c r="I191" i="9"/>
  <c r="H197" i="9"/>
  <c r="I100" i="9"/>
  <c r="H91" i="9"/>
  <c r="G189" i="9"/>
  <c r="H99" i="9"/>
  <c r="F232" i="8"/>
  <c r="G196" i="8"/>
  <c r="G100" i="8"/>
  <c r="F91" i="8"/>
  <c r="F189" i="8"/>
  <c r="G191" i="8"/>
  <c r="F197" i="8"/>
  <c r="I99" i="8"/>
  <c r="S99" i="11" l="1"/>
  <c r="P197" i="11"/>
  <c r="Q191" i="11"/>
  <c r="Q100" i="11"/>
  <c r="P91" i="11"/>
  <c r="P189" i="11"/>
  <c r="O232" i="11"/>
  <c r="P196" i="11"/>
  <c r="O91" i="11"/>
  <c r="I196" i="10"/>
  <c r="H232" i="10"/>
  <c r="H197" i="10"/>
  <c r="L191" i="10"/>
  <c r="H189" i="10"/>
  <c r="I99" i="10"/>
  <c r="J100" i="10"/>
  <c r="I91" i="10"/>
  <c r="J191" i="9"/>
  <c r="I197" i="9"/>
  <c r="J100" i="9"/>
  <c r="I91" i="9"/>
  <c r="H189" i="9"/>
  <c r="I99" i="9"/>
  <c r="I232" i="9"/>
  <c r="J196" i="9"/>
  <c r="J99" i="8"/>
  <c r="H100" i="8"/>
  <c r="G91" i="8"/>
  <c r="G189" i="8"/>
  <c r="G232" i="8"/>
  <c r="H196" i="8"/>
  <c r="H191" i="8"/>
  <c r="G197" i="8"/>
  <c r="R100" i="11" l="1"/>
  <c r="Q91" i="11"/>
  <c r="Q189" i="11"/>
  <c r="Q197" i="11"/>
  <c r="R191" i="11"/>
  <c r="T99" i="11"/>
  <c r="P232" i="11"/>
  <c r="Q196" i="11"/>
  <c r="I197" i="10"/>
  <c r="J196" i="10"/>
  <c r="I232" i="10"/>
  <c r="K100" i="10"/>
  <c r="J91" i="10"/>
  <c r="I189" i="10"/>
  <c r="J99" i="10"/>
  <c r="M191" i="10"/>
  <c r="I189" i="9"/>
  <c r="J99" i="9"/>
  <c r="K100" i="9"/>
  <c r="J91" i="9"/>
  <c r="J197" i="9"/>
  <c r="K191" i="9"/>
  <c r="K196" i="9"/>
  <c r="J232" i="9"/>
  <c r="H232" i="8"/>
  <c r="I196" i="8"/>
  <c r="I100" i="8"/>
  <c r="H91" i="8"/>
  <c r="H189" i="8"/>
  <c r="K99" i="8"/>
  <c r="I191" i="8"/>
  <c r="H197" i="8"/>
  <c r="U99" i="11" l="1"/>
  <c r="S191" i="11"/>
  <c r="R196" i="11"/>
  <c r="R197" i="11" s="1"/>
  <c r="Q232" i="11"/>
  <c r="R91" i="11"/>
  <c r="S100" i="11"/>
  <c r="R189" i="11"/>
  <c r="J197" i="10"/>
  <c r="K196" i="10"/>
  <c r="J232" i="10"/>
  <c r="J189" i="10"/>
  <c r="K99" i="10"/>
  <c r="N191" i="10"/>
  <c r="L100" i="10"/>
  <c r="K91" i="10"/>
  <c r="K197" i="9"/>
  <c r="L191" i="9"/>
  <c r="K232" i="9"/>
  <c r="L196" i="9"/>
  <c r="L100" i="9"/>
  <c r="K91" i="9"/>
  <c r="J189" i="9"/>
  <c r="K99" i="9"/>
  <c r="I197" i="8"/>
  <c r="J191" i="8"/>
  <c r="L99" i="8"/>
  <c r="J100" i="8"/>
  <c r="I91" i="8"/>
  <c r="I189" i="8"/>
  <c r="J196" i="8"/>
  <c r="I232" i="8"/>
  <c r="T191" i="11" l="1"/>
  <c r="S196" i="11"/>
  <c r="R232" i="11"/>
  <c r="V99" i="11"/>
  <c r="T100" i="11"/>
  <c r="S91" i="11"/>
  <c r="S189" i="11"/>
  <c r="L196" i="10"/>
  <c r="K232" i="10"/>
  <c r="K197" i="10"/>
  <c r="M100" i="10"/>
  <c r="L91" i="10"/>
  <c r="O191" i="10"/>
  <c r="K189" i="10"/>
  <c r="L99" i="10"/>
  <c r="K189" i="9"/>
  <c r="L99" i="9"/>
  <c r="M100" i="9"/>
  <c r="L91" i="9"/>
  <c r="L232" i="9"/>
  <c r="M196" i="9"/>
  <c r="L197" i="9"/>
  <c r="M191" i="9"/>
  <c r="J232" i="8"/>
  <c r="K196" i="8"/>
  <c r="K100" i="8"/>
  <c r="J91" i="8"/>
  <c r="J189" i="8"/>
  <c r="J197" i="8"/>
  <c r="K191" i="8"/>
  <c r="M99" i="8"/>
  <c r="U100" i="11" l="1"/>
  <c r="T189" i="11"/>
  <c r="S232" i="11"/>
  <c r="T196" i="11"/>
  <c r="W99" i="11"/>
  <c r="T197" i="11"/>
  <c r="T49" i="11" s="1"/>
  <c r="U191" i="11"/>
  <c r="S197" i="11"/>
  <c r="L197" i="10"/>
  <c r="L232" i="10"/>
  <c r="M196" i="10"/>
  <c r="P191" i="10"/>
  <c r="L189" i="10"/>
  <c r="M99" i="10"/>
  <c r="N100" i="10"/>
  <c r="M91" i="10"/>
  <c r="M197" i="9"/>
  <c r="N191" i="9"/>
  <c r="M232" i="9"/>
  <c r="N196" i="9"/>
  <c r="L189" i="9"/>
  <c r="M99" i="9"/>
  <c r="N100" i="9"/>
  <c r="M91" i="9"/>
  <c r="K197" i="8"/>
  <c r="L191" i="8"/>
  <c r="K91" i="8"/>
  <c r="L100" i="8"/>
  <c r="K189" i="8"/>
  <c r="K232" i="8"/>
  <c r="L196" i="8"/>
  <c r="N99" i="8"/>
  <c r="X99" i="11" l="1"/>
  <c r="U196" i="11"/>
  <c r="T232" i="11"/>
  <c r="T50" i="11"/>
  <c r="T91" i="11"/>
  <c r="V191" i="11"/>
  <c r="V100" i="11"/>
  <c r="U91" i="11"/>
  <c r="U189" i="11"/>
  <c r="M197" i="10"/>
  <c r="M232" i="10"/>
  <c r="N196" i="10"/>
  <c r="O100" i="10"/>
  <c r="N91" i="10"/>
  <c r="M189" i="10"/>
  <c r="N99" i="10"/>
  <c r="Q191" i="10"/>
  <c r="O100" i="9"/>
  <c r="N91" i="9"/>
  <c r="M189" i="9"/>
  <c r="N99" i="9"/>
  <c r="N232" i="9"/>
  <c r="O196" i="9"/>
  <c r="O191" i="9"/>
  <c r="N197" i="9"/>
  <c r="M196" i="8"/>
  <c r="L232" i="8"/>
  <c r="L91" i="8"/>
  <c r="M100" i="8"/>
  <c r="L189" i="8"/>
  <c r="L197" i="8"/>
  <c r="M191" i="8"/>
  <c r="O99" i="8"/>
  <c r="W100" i="11" l="1"/>
  <c r="V189" i="11"/>
  <c r="U232" i="11"/>
  <c r="V196" i="11"/>
  <c r="V91" i="11" s="1"/>
  <c r="U197" i="11"/>
  <c r="U49" i="11" s="1"/>
  <c r="Y99" i="11"/>
  <c r="T73" i="11"/>
  <c r="T71" i="11"/>
  <c r="W191" i="11"/>
  <c r="V197" i="11"/>
  <c r="V49" i="11" s="1"/>
  <c r="V50" i="11" s="1"/>
  <c r="N197" i="10"/>
  <c r="O196" i="10"/>
  <c r="N232" i="10"/>
  <c r="R191" i="10"/>
  <c r="N189" i="10"/>
  <c r="O99" i="10"/>
  <c r="O91" i="10"/>
  <c r="P100" i="10"/>
  <c r="O232" i="9"/>
  <c r="P196" i="9"/>
  <c r="O197" i="9"/>
  <c r="P191" i="9"/>
  <c r="N189" i="9"/>
  <c r="O99" i="9"/>
  <c r="O91" i="9"/>
  <c r="P100" i="9"/>
  <c r="N100" i="8"/>
  <c r="M91" i="8"/>
  <c r="M189" i="8"/>
  <c r="N191" i="8"/>
  <c r="M197" i="8"/>
  <c r="P99" i="8"/>
  <c r="M232" i="8"/>
  <c r="N196" i="8"/>
  <c r="U50" i="11" l="1"/>
  <c r="Z99" i="11"/>
  <c r="X191" i="11"/>
  <c r="W197" i="11"/>
  <c r="W49" i="11" s="1"/>
  <c r="W50" i="11" s="1"/>
  <c r="V71" i="11"/>
  <c r="V73" i="11"/>
  <c r="V232" i="11"/>
  <c r="W196" i="11"/>
  <c r="T81" i="11"/>
  <c r="AL211" i="11"/>
  <c r="T7" i="11"/>
  <c r="W91" i="11"/>
  <c r="X100" i="11"/>
  <c r="W189" i="11"/>
  <c r="P196" i="10"/>
  <c r="O197" i="10"/>
  <c r="O232" i="10"/>
  <c r="P91" i="10"/>
  <c r="Q100" i="10"/>
  <c r="O189" i="10"/>
  <c r="P99" i="10"/>
  <c r="S191" i="10"/>
  <c r="Q100" i="9"/>
  <c r="P91" i="9"/>
  <c r="O189" i="9"/>
  <c r="P99" i="9"/>
  <c r="Q191" i="9"/>
  <c r="P197" i="9"/>
  <c r="Q196" i="9"/>
  <c r="P232" i="9"/>
  <c r="Q99" i="8"/>
  <c r="O191" i="8"/>
  <c r="N197" i="8"/>
  <c r="N232" i="8"/>
  <c r="O196" i="8"/>
  <c r="N91" i="8"/>
  <c r="O100" i="8"/>
  <c r="N189" i="8"/>
  <c r="V81" i="11" l="1"/>
  <c r="Y191" i="11"/>
  <c r="X91" i="11"/>
  <c r="Y100" i="11"/>
  <c r="X189" i="11"/>
  <c r="W232" i="11"/>
  <c r="X196" i="11"/>
  <c r="W71" i="11"/>
  <c r="W81" i="11" s="1"/>
  <c r="W73" i="11"/>
  <c r="AA99" i="11"/>
  <c r="AN211" i="11"/>
  <c r="V7" i="11"/>
  <c r="U73" i="11"/>
  <c r="U71" i="11"/>
  <c r="P197" i="10"/>
  <c r="Q196" i="10"/>
  <c r="P232" i="10"/>
  <c r="T191" i="10"/>
  <c r="P189" i="10"/>
  <c r="Q99" i="10"/>
  <c r="R100" i="10"/>
  <c r="Q91" i="10"/>
  <c r="P189" i="9"/>
  <c r="Q99" i="9"/>
  <c r="Q232" i="9"/>
  <c r="R196" i="9"/>
  <c r="R191" i="9"/>
  <c r="Q197" i="9"/>
  <c r="R100" i="9"/>
  <c r="Q91" i="9"/>
  <c r="P100" i="8"/>
  <c r="O91" i="8"/>
  <c r="O189" i="8"/>
  <c r="O232" i="8"/>
  <c r="P196" i="8"/>
  <c r="P191" i="8"/>
  <c r="O197" i="8"/>
  <c r="R99" i="8"/>
  <c r="AB99" i="11" l="1"/>
  <c r="X232" i="11"/>
  <c r="Y196" i="11"/>
  <c r="U81" i="11"/>
  <c r="AM211" i="11"/>
  <c r="U7" i="11"/>
  <c r="AO211" i="11"/>
  <c r="W7" i="11"/>
  <c r="Y197" i="11"/>
  <c r="Z191" i="11"/>
  <c r="Z100" i="11"/>
  <c r="Y189" i="11"/>
  <c r="X197" i="11"/>
  <c r="R196" i="10"/>
  <c r="Q197" i="10"/>
  <c r="Q232" i="10"/>
  <c r="S100" i="10"/>
  <c r="R91" i="10"/>
  <c r="Q189" i="10"/>
  <c r="R99" i="10"/>
  <c r="U191" i="10"/>
  <c r="R232" i="9"/>
  <c r="S196" i="9"/>
  <c r="Q189" i="9"/>
  <c r="R99" i="9"/>
  <c r="R91" i="9"/>
  <c r="S100" i="9"/>
  <c r="R197" i="9"/>
  <c r="S191" i="9"/>
  <c r="P232" i="8"/>
  <c r="Q196" i="8"/>
  <c r="Q191" i="8"/>
  <c r="P197" i="8"/>
  <c r="S99" i="8"/>
  <c r="Q100" i="8"/>
  <c r="P91" i="8"/>
  <c r="P189" i="8"/>
  <c r="AA191" i="11" l="1"/>
  <c r="Z196" i="11"/>
  <c r="Y232" i="11"/>
  <c r="X50" i="11"/>
  <c r="AC99" i="11"/>
  <c r="Z91" i="11"/>
  <c r="AA100" i="11"/>
  <c r="Z189" i="11"/>
  <c r="Y91" i="11"/>
  <c r="R197" i="10"/>
  <c r="S196" i="10"/>
  <c r="R232" i="10"/>
  <c r="V191" i="10"/>
  <c r="R189" i="10"/>
  <c r="S99" i="10"/>
  <c r="T100" i="10"/>
  <c r="S91" i="10"/>
  <c r="R189" i="9"/>
  <c r="S99" i="9"/>
  <c r="T191" i="9"/>
  <c r="S197" i="9"/>
  <c r="T100" i="9"/>
  <c r="S91" i="9"/>
  <c r="T196" i="9"/>
  <c r="S232" i="9"/>
  <c r="T99" i="8"/>
  <c r="Q197" i="8"/>
  <c r="R191" i="8"/>
  <c r="R196" i="8"/>
  <c r="Q232" i="8"/>
  <c r="Q91" i="8"/>
  <c r="R100" i="8"/>
  <c r="Q189" i="8"/>
  <c r="AB100" i="11" l="1"/>
  <c r="AA189" i="11"/>
  <c r="AD99" i="11"/>
  <c r="Z232" i="11"/>
  <c r="AA196" i="11"/>
  <c r="AA197" i="11" s="1"/>
  <c r="AA49" i="11" s="1"/>
  <c r="AA50" i="11" s="1"/>
  <c r="X73" i="11"/>
  <c r="X71" i="11"/>
  <c r="AB191" i="11"/>
  <c r="Z197" i="11"/>
  <c r="Z49" i="11" s="1"/>
  <c r="S197" i="10"/>
  <c r="S232" i="10"/>
  <c r="T196" i="10"/>
  <c r="W191" i="10"/>
  <c r="S189" i="10"/>
  <c r="T99" i="10"/>
  <c r="U100" i="10"/>
  <c r="T91" i="10"/>
  <c r="T232" i="9"/>
  <c r="U196" i="9"/>
  <c r="T91" i="9"/>
  <c r="U100" i="9"/>
  <c r="T197" i="9"/>
  <c r="T49" i="9" s="1"/>
  <c r="U191" i="9"/>
  <c r="S189" i="9"/>
  <c r="T99" i="9"/>
  <c r="S100" i="8"/>
  <c r="R91" i="8"/>
  <c r="R189" i="8"/>
  <c r="R232" i="8"/>
  <c r="S196" i="8"/>
  <c r="U99" i="8"/>
  <c r="R197" i="8"/>
  <c r="S191" i="8"/>
  <c r="AA73" i="11" l="1"/>
  <c r="AA71" i="11"/>
  <c r="Z50" i="11"/>
  <c r="AE99" i="11"/>
  <c r="AA232" i="11"/>
  <c r="AB196" i="11"/>
  <c r="AC191" i="11"/>
  <c r="AB197" i="11"/>
  <c r="AB49" i="11" s="1"/>
  <c r="AB50" i="11" s="1"/>
  <c r="AC100" i="11"/>
  <c r="AB91" i="11"/>
  <c r="AB189" i="11"/>
  <c r="AP211" i="11"/>
  <c r="X7" i="11"/>
  <c r="X81" i="11"/>
  <c r="AA91" i="11"/>
  <c r="T197" i="10"/>
  <c r="T49" i="10" s="1"/>
  <c r="T50" i="10" s="1"/>
  <c r="U196" i="10"/>
  <c r="T232" i="10"/>
  <c r="V100" i="10"/>
  <c r="U91" i="10"/>
  <c r="T189" i="10"/>
  <c r="U99" i="10"/>
  <c r="X191" i="10"/>
  <c r="U197" i="9"/>
  <c r="U49" i="9" s="1"/>
  <c r="U50" i="9" s="1"/>
  <c r="V191" i="9"/>
  <c r="T50" i="9"/>
  <c r="V100" i="9"/>
  <c r="U91" i="9"/>
  <c r="U232" i="9"/>
  <c r="V196" i="9"/>
  <c r="T189" i="9"/>
  <c r="U99" i="9"/>
  <c r="V99" i="8"/>
  <c r="S232" i="8"/>
  <c r="T196" i="8"/>
  <c r="S197" i="8"/>
  <c r="T191" i="8"/>
  <c r="T100" i="8"/>
  <c r="S91" i="8"/>
  <c r="S189" i="8"/>
  <c r="AA81" i="11" l="1"/>
  <c r="AF99" i="11"/>
  <c r="AB73" i="11"/>
  <c r="AB71" i="11"/>
  <c r="Z73" i="11"/>
  <c r="Z71" i="11"/>
  <c r="AD100" i="11"/>
  <c r="AC91" i="11"/>
  <c r="AC189" i="11"/>
  <c r="AD191" i="11"/>
  <c r="AB232" i="11"/>
  <c r="AC196" i="11"/>
  <c r="AS211" i="11"/>
  <c r="AA7" i="11"/>
  <c r="U232" i="10"/>
  <c r="V196" i="10"/>
  <c r="U197" i="10"/>
  <c r="U49" i="10" s="1"/>
  <c r="U50" i="10" s="1"/>
  <c r="T73" i="10"/>
  <c r="T71" i="10"/>
  <c r="T81" i="10" s="1"/>
  <c r="U189" i="10"/>
  <c r="V99" i="10"/>
  <c r="W100" i="10"/>
  <c r="V91" i="10"/>
  <c r="Y191" i="10"/>
  <c r="W100" i="9"/>
  <c r="V91" i="9"/>
  <c r="W191" i="9"/>
  <c r="V197" i="9"/>
  <c r="V49" i="9" s="1"/>
  <c r="U189" i="9"/>
  <c r="V99" i="9"/>
  <c r="T71" i="9"/>
  <c r="T73" i="9"/>
  <c r="V232" i="9"/>
  <c r="W196" i="9"/>
  <c r="U71" i="9"/>
  <c r="U73" i="9"/>
  <c r="T197" i="8"/>
  <c r="T49" i="8" s="1"/>
  <c r="U191" i="8"/>
  <c r="T91" i="8"/>
  <c r="U100" i="8"/>
  <c r="T189" i="8"/>
  <c r="U196" i="8"/>
  <c r="T232" i="8"/>
  <c r="W99" i="8"/>
  <c r="AB81" i="11" l="1"/>
  <c r="Z81" i="11"/>
  <c r="AC232" i="11"/>
  <c r="AD196" i="11"/>
  <c r="AE100" i="11"/>
  <c r="AD91" i="11"/>
  <c r="AD189" i="11"/>
  <c r="AC197" i="11"/>
  <c r="AC49" i="11" s="1"/>
  <c r="AC50" i="11" s="1"/>
  <c r="AR211" i="11"/>
  <c r="Z7" i="11"/>
  <c r="AE191" i="11"/>
  <c r="AD197" i="11"/>
  <c r="AD49" i="11" s="1"/>
  <c r="AD50" i="11" s="1"/>
  <c r="AT211" i="11"/>
  <c r="AB7" i="11"/>
  <c r="V197" i="10"/>
  <c r="V49" i="10" s="1"/>
  <c r="V50" i="10" s="1"/>
  <c r="V232" i="10"/>
  <c r="W196" i="10"/>
  <c r="AL211" i="10"/>
  <c r="T7" i="10"/>
  <c r="U73" i="10"/>
  <c r="AM211" i="10" s="1"/>
  <c r="U71" i="10"/>
  <c r="W91" i="10"/>
  <c r="X100" i="10"/>
  <c r="U81" i="10"/>
  <c r="Z191" i="10"/>
  <c r="V189" i="10"/>
  <c r="W99" i="10"/>
  <c r="T81" i="9"/>
  <c r="V189" i="9"/>
  <c r="W99" i="9"/>
  <c r="W232" i="9"/>
  <c r="X196" i="9"/>
  <c r="W197" i="9"/>
  <c r="W50" i="9" s="1"/>
  <c r="X191" i="9"/>
  <c r="U81" i="9"/>
  <c r="AM211" i="9"/>
  <c r="U7" i="9"/>
  <c r="V50" i="9"/>
  <c r="AL211" i="9"/>
  <c r="T7" i="9"/>
  <c r="W91" i="9"/>
  <c r="X100" i="9"/>
  <c r="U232" i="8"/>
  <c r="V196" i="8"/>
  <c r="V100" i="8"/>
  <c r="U91" i="8"/>
  <c r="U189" i="8"/>
  <c r="V191" i="8"/>
  <c r="U197" i="8"/>
  <c r="U49" i="8" s="1"/>
  <c r="U50" i="8" s="1"/>
  <c r="X99" i="8"/>
  <c r="T50" i="8"/>
  <c r="AC73" i="11" l="1"/>
  <c r="AC71" i="11"/>
  <c r="AD71" i="11"/>
  <c r="AD73" i="11"/>
  <c r="AE91" i="11"/>
  <c r="AF100" i="11"/>
  <c r="AE189" i="11"/>
  <c r="AD232" i="11"/>
  <c r="AE196" i="11"/>
  <c r="AF191" i="11"/>
  <c r="AE197" i="11"/>
  <c r="AE49" i="11" s="1"/>
  <c r="AE50" i="11" s="1"/>
  <c r="W197" i="10"/>
  <c r="W50" i="10" s="1"/>
  <c r="X196" i="10"/>
  <c r="W232" i="10"/>
  <c r="U7" i="10"/>
  <c r="V73" i="10"/>
  <c r="V71" i="10"/>
  <c r="W189" i="10"/>
  <c r="X99" i="10"/>
  <c r="Y100" i="10"/>
  <c r="X91" i="10"/>
  <c r="AA191" i="10"/>
  <c r="Y196" i="9"/>
  <c r="X232" i="9"/>
  <c r="V71" i="9"/>
  <c r="V73" i="9"/>
  <c r="W73" i="9"/>
  <c r="W71" i="9"/>
  <c r="Y100" i="9"/>
  <c r="X91" i="9"/>
  <c r="W189" i="9"/>
  <c r="X99" i="9"/>
  <c r="X197" i="9"/>
  <c r="X50" i="9" s="1"/>
  <c r="Y191" i="9"/>
  <c r="U71" i="8"/>
  <c r="U73" i="8"/>
  <c r="W191" i="8"/>
  <c r="V197" i="8"/>
  <c r="V49" i="8" s="1"/>
  <c r="V50" i="8" s="1"/>
  <c r="V232" i="8"/>
  <c r="W196" i="8"/>
  <c r="T73" i="8"/>
  <c r="T71" i="8"/>
  <c r="W100" i="8"/>
  <c r="V91" i="8"/>
  <c r="V189" i="8"/>
  <c r="Y99" i="8"/>
  <c r="AC81" i="11" l="1"/>
  <c r="V81" i="10"/>
  <c r="AF189" i="11"/>
  <c r="AV211" i="11"/>
  <c r="AD7" i="11"/>
  <c r="AD81" i="11"/>
  <c r="AE71" i="11"/>
  <c r="AE73" i="11"/>
  <c r="AF197" i="11"/>
  <c r="AF49" i="11" s="1"/>
  <c r="AE232" i="11"/>
  <c r="AF196" i="11"/>
  <c r="AF232" i="11" s="1"/>
  <c r="AU211" i="11"/>
  <c r="AC7" i="11"/>
  <c r="W73" i="10"/>
  <c r="W71" i="10"/>
  <c r="AN211" i="10"/>
  <c r="V7" i="10"/>
  <c r="X197" i="10"/>
  <c r="X49" i="10" s="1"/>
  <c r="X50" i="10" s="1"/>
  <c r="X73" i="10" s="1"/>
  <c r="Y196" i="10"/>
  <c r="X232" i="10"/>
  <c r="Y91" i="10"/>
  <c r="Z100" i="10"/>
  <c r="X189" i="10"/>
  <c r="Y99" i="10"/>
  <c r="AB191" i="10"/>
  <c r="X189" i="9"/>
  <c r="Y99" i="9"/>
  <c r="AO211" i="9"/>
  <c r="W7" i="9"/>
  <c r="AN211" i="9"/>
  <c r="V7" i="9"/>
  <c r="V81" i="9"/>
  <c r="Z196" i="9"/>
  <c r="Y232" i="9"/>
  <c r="X71" i="9"/>
  <c r="X73" i="9"/>
  <c r="Z100" i="9"/>
  <c r="Y91" i="9"/>
  <c r="Y197" i="9"/>
  <c r="Z191" i="9"/>
  <c r="W81" i="9"/>
  <c r="V71" i="8"/>
  <c r="V73" i="8"/>
  <c r="W232" i="8"/>
  <c r="X196" i="8"/>
  <c r="X100" i="8"/>
  <c r="W91" i="8"/>
  <c r="W189" i="8"/>
  <c r="X191" i="8"/>
  <c r="W197" i="8"/>
  <c r="T81" i="8"/>
  <c r="U7" i="8"/>
  <c r="Z99" i="8"/>
  <c r="T7" i="8"/>
  <c r="U81" i="8"/>
  <c r="AE81" i="11" l="1"/>
  <c r="AW211" i="11"/>
  <c r="AE7" i="11"/>
  <c r="AF50" i="11"/>
  <c r="AH49" i="11"/>
  <c r="AI49" i="11"/>
  <c r="AF91" i="11"/>
  <c r="W81" i="10"/>
  <c r="X71" i="10"/>
  <c r="X81" i="10" s="1"/>
  <c r="Y197" i="10"/>
  <c r="Z196" i="10"/>
  <c r="Y232" i="10"/>
  <c r="W7" i="10"/>
  <c r="AO211" i="10"/>
  <c r="AC191" i="10"/>
  <c r="AA100" i="10"/>
  <c r="Z91" i="10"/>
  <c r="AP211" i="10"/>
  <c r="X7" i="10"/>
  <c r="Y189" i="10"/>
  <c r="Z99" i="10"/>
  <c r="Z232" i="9"/>
  <c r="AA196" i="9"/>
  <c r="Y189" i="9"/>
  <c r="Z99" i="9"/>
  <c r="AP211" i="9"/>
  <c r="X7" i="9"/>
  <c r="Z197" i="9"/>
  <c r="Z49" i="9" s="1"/>
  <c r="AA191" i="9"/>
  <c r="Z91" i="9"/>
  <c r="AA100" i="9"/>
  <c r="X81" i="9"/>
  <c r="Y100" i="8"/>
  <c r="X91" i="8"/>
  <c r="X189" i="8"/>
  <c r="AA99" i="8"/>
  <c r="X232" i="8"/>
  <c r="Y196" i="8"/>
  <c r="W50" i="8"/>
  <c r="AN211" i="8"/>
  <c r="V7" i="8"/>
  <c r="X197" i="8"/>
  <c r="Y191" i="8"/>
  <c r="V81" i="8"/>
  <c r="AH91" i="11" l="1"/>
  <c r="AI91" i="11"/>
  <c r="AF73" i="11"/>
  <c r="AF71" i="11"/>
  <c r="AH50" i="11"/>
  <c r="AI50" i="11"/>
  <c r="Z197" i="10"/>
  <c r="Z49" i="10" s="1"/>
  <c r="Z50" i="10" s="1"/>
  <c r="AA196" i="10"/>
  <c r="Z232" i="10"/>
  <c r="AB100" i="10"/>
  <c r="AA91" i="10"/>
  <c r="Z189" i="10"/>
  <c r="AA99" i="10"/>
  <c r="AD191" i="10"/>
  <c r="AB100" i="9"/>
  <c r="AA91" i="9"/>
  <c r="Z189" i="9"/>
  <c r="AA99" i="9"/>
  <c r="AA232" i="9"/>
  <c r="AB196" i="9"/>
  <c r="AB191" i="9"/>
  <c r="AA197" i="9"/>
  <c r="AA49" i="9" s="1"/>
  <c r="AA50" i="9" s="1"/>
  <c r="Z50" i="9"/>
  <c r="Z196" i="8"/>
  <c r="Y232" i="8"/>
  <c r="Y197" i="8"/>
  <c r="Z191" i="8"/>
  <c r="AB99" i="8"/>
  <c r="X50" i="8"/>
  <c r="Y91" i="8"/>
  <c r="Z100" i="8"/>
  <c r="Y189" i="8"/>
  <c r="W71" i="8"/>
  <c r="W73" i="8"/>
  <c r="AF81" i="11" l="1"/>
  <c r="AI71" i="11"/>
  <c r="AH71" i="11"/>
  <c r="AX211" i="11"/>
  <c r="AF7" i="11"/>
  <c r="A7" i="11" s="1"/>
  <c r="AH73" i="11"/>
  <c r="AI73" i="11"/>
  <c r="AB196" i="10"/>
  <c r="AA232" i="10"/>
  <c r="AA197" i="10"/>
  <c r="AA49" i="10" s="1"/>
  <c r="AA50" i="10" s="1"/>
  <c r="AA71" i="10" s="1"/>
  <c r="Z71" i="10"/>
  <c r="Z73" i="10"/>
  <c r="AE191" i="10"/>
  <c r="AC100" i="10"/>
  <c r="AB91" i="10"/>
  <c r="AA189" i="10"/>
  <c r="AB99" i="10"/>
  <c r="AC196" i="9"/>
  <c r="AB232" i="9"/>
  <c r="AA189" i="9"/>
  <c r="AB99" i="9"/>
  <c r="AC100" i="9"/>
  <c r="AB91" i="9"/>
  <c r="Z71" i="9"/>
  <c r="Z73" i="9"/>
  <c r="AA71" i="9"/>
  <c r="AA73" i="9"/>
  <c r="AC191" i="9"/>
  <c r="AB197" i="9"/>
  <c r="AB49" i="9" s="1"/>
  <c r="AB50" i="9" s="1"/>
  <c r="W81" i="8"/>
  <c r="Z197" i="8"/>
  <c r="Z49" i="8" s="1"/>
  <c r="AA191" i="8"/>
  <c r="AO211" i="8"/>
  <c r="W7" i="8"/>
  <c r="AC99" i="8"/>
  <c r="AA100" i="8"/>
  <c r="Z91" i="8"/>
  <c r="Z189" i="8"/>
  <c r="Z232" i="8"/>
  <c r="AA196" i="8"/>
  <c r="X73" i="8"/>
  <c r="X71" i="8"/>
  <c r="J93" i="7"/>
  <c r="I93" i="7"/>
  <c r="H93" i="7"/>
  <c r="G93" i="7"/>
  <c r="F93" i="7"/>
  <c r="E93" i="7"/>
  <c r="D93" i="7"/>
  <c r="D91" i="7"/>
  <c r="AH97" i="7"/>
  <c r="AI97" i="7" s="1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A234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A233" i="7"/>
  <c r="B232" i="7"/>
  <c r="S207" i="7"/>
  <c r="AG197" i="7"/>
  <c r="B197" i="7"/>
  <c r="D196" i="7"/>
  <c r="C196" i="7"/>
  <c r="C232" i="7" s="1"/>
  <c r="L195" i="7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C195" i="7"/>
  <c r="D195" i="7" s="1"/>
  <c r="E195" i="7" s="1"/>
  <c r="F195" i="7" s="1"/>
  <c r="G195" i="7" s="1"/>
  <c r="H195" i="7" s="1"/>
  <c r="I195" i="7" s="1"/>
  <c r="J195" i="7" s="1"/>
  <c r="K195" i="7" s="1"/>
  <c r="C194" i="7"/>
  <c r="D194" i="7" s="1"/>
  <c r="E194" i="7" s="1"/>
  <c r="F194" i="7" s="1"/>
  <c r="G194" i="7" s="1"/>
  <c r="H194" i="7" s="1"/>
  <c r="I194" i="7" s="1"/>
  <c r="J194" i="7" s="1"/>
  <c r="K194" i="7" s="1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W194" i="7" s="1"/>
  <c r="X194" i="7" s="1"/>
  <c r="Y194" i="7" s="1"/>
  <c r="Z194" i="7" s="1"/>
  <c r="AA194" i="7" s="1"/>
  <c r="AB194" i="7" s="1"/>
  <c r="AC194" i="7" s="1"/>
  <c r="AD194" i="7" s="1"/>
  <c r="AE194" i="7" s="1"/>
  <c r="AF194" i="7" s="1"/>
  <c r="C193" i="7"/>
  <c r="D193" i="7" s="1"/>
  <c r="E193" i="7" s="1"/>
  <c r="F193" i="7" s="1"/>
  <c r="G193" i="7" s="1"/>
  <c r="H193" i="7" s="1"/>
  <c r="I193" i="7" s="1"/>
  <c r="J193" i="7" s="1"/>
  <c r="K193" i="7" s="1"/>
  <c r="L193" i="7" s="1"/>
  <c r="M193" i="7" s="1"/>
  <c r="N193" i="7" s="1"/>
  <c r="O193" i="7" s="1"/>
  <c r="P193" i="7" s="1"/>
  <c r="Q193" i="7" s="1"/>
  <c r="R193" i="7" s="1"/>
  <c r="S193" i="7" s="1"/>
  <c r="T193" i="7" s="1"/>
  <c r="U193" i="7" s="1"/>
  <c r="V193" i="7" s="1"/>
  <c r="W193" i="7" s="1"/>
  <c r="X193" i="7" s="1"/>
  <c r="Y193" i="7" s="1"/>
  <c r="Z193" i="7" s="1"/>
  <c r="AA193" i="7" s="1"/>
  <c r="AB193" i="7" s="1"/>
  <c r="AC193" i="7" s="1"/>
  <c r="AD193" i="7" s="1"/>
  <c r="AE193" i="7" s="1"/>
  <c r="AF193" i="7" s="1"/>
  <c r="C192" i="7"/>
  <c r="D192" i="7" s="1"/>
  <c r="E192" i="7" s="1"/>
  <c r="F192" i="7" s="1"/>
  <c r="G192" i="7" s="1"/>
  <c r="H192" i="7" s="1"/>
  <c r="I192" i="7" s="1"/>
  <c r="J192" i="7" s="1"/>
  <c r="K192" i="7" s="1"/>
  <c r="L192" i="7" s="1"/>
  <c r="M192" i="7" s="1"/>
  <c r="N192" i="7" s="1"/>
  <c r="O192" i="7" s="1"/>
  <c r="P192" i="7" s="1"/>
  <c r="Q192" i="7" s="1"/>
  <c r="R192" i="7" s="1"/>
  <c r="S192" i="7" s="1"/>
  <c r="T192" i="7" s="1"/>
  <c r="U192" i="7" s="1"/>
  <c r="V192" i="7" s="1"/>
  <c r="W192" i="7" s="1"/>
  <c r="X192" i="7" s="1"/>
  <c r="Y192" i="7" s="1"/>
  <c r="Z192" i="7" s="1"/>
  <c r="AA192" i="7" s="1"/>
  <c r="AB192" i="7" s="1"/>
  <c r="AC192" i="7" s="1"/>
  <c r="AD192" i="7" s="1"/>
  <c r="AE192" i="7" s="1"/>
  <c r="AF192" i="7" s="1"/>
  <c r="C191" i="7"/>
  <c r="AG189" i="7"/>
  <c r="B189" i="7"/>
  <c r="C188" i="7"/>
  <c r="D188" i="7" s="1"/>
  <c r="E188" i="7" s="1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U187" i="7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C187" i="7"/>
  <c r="D187" i="7" s="1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E186" i="7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C186" i="7"/>
  <c r="D186" i="7" s="1"/>
  <c r="C185" i="7"/>
  <c r="D185" i="7" s="1"/>
  <c r="E185" i="7" s="1"/>
  <c r="F185" i="7" s="1"/>
  <c r="G185" i="7" s="1"/>
  <c r="H185" i="7" s="1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R184" i="7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C184" i="7"/>
  <c r="D184" i="7" s="1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F183" i="7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C183" i="7"/>
  <c r="D183" i="7" s="1"/>
  <c r="E183" i="7" s="1"/>
  <c r="C182" i="7"/>
  <c r="D182" i="7" s="1"/>
  <c r="E182" i="7" s="1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K181" i="7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C181" i="7"/>
  <c r="D181" i="7" s="1"/>
  <c r="E181" i="7" s="1"/>
  <c r="F181" i="7" s="1"/>
  <c r="G181" i="7" s="1"/>
  <c r="H181" i="7" s="1"/>
  <c r="I181" i="7" s="1"/>
  <c r="J181" i="7" s="1"/>
  <c r="H180" i="7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D180" i="7"/>
  <c r="E180" i="7" s="1"/>
  <c r="F180" i="7" s="1"/>
  <c r="G180" i="7" s="1"/>
  <c r="C180" i="7"/>
  <c r="F179" i="7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C179" i="7"/>
  <c r="D179" i="7" s="1"/>
  <c r="E179" i="7" s="1"/>
  <c r="S178" i="7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C178" i="7"/>
  <c r="D178" i="7" s="1"/>
  <c r="E178" i="7" s="1"/>
  <c r="F178" i="7" s="1"/>
  <c r="G178" i="7" s="1"/>
  <c r="H178" i="7" s="1"/>
  <c r="I178" i="7" s="1"/>
  <c r="J178" i="7" s="1"/>
  <c r="K178" i="7" s="1"/>
  <c r="L178" i="7" s="1"/>
  <c r="M178" i="7" s="1"/>
  <c r="N178" i="7" s="1"/>
  <c r="O178" i="7" s="1"/>
  <c r="P178" i="7" s="1"/>
  <c r="Q178" i="7" s="1"/>
  <c r="R178" i="7" s="1"/>
  <c r="N177" i="7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D177" i="7"/>
  <c r="E177" i="7" s="1"/>
  <c r="F177" i="7" s="1"/>
  <c r="G177" i="7" s="1"/>
  <c r="H177" i="7" s="1"/>
  <c r="I177" i="7" s="1"/>
  <c r="J177" i="7" s="1"/>
  <c r="K177" i="7" s="1"/>
  <c r="L177" i="7" s="1"/>
  <c r="M177" i="7" s="1"/>
  <c r="C177" i="7"/>
  <c r="E176" i="7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C176" i="7"/>
  <c r="D176" i="7" s="1"/>
  <c r="Q174" i="7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D174" i="7"/>
  <c r="E174" i="7" s="1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C174" i="7"/>
  <c r="C173" i="7"/>
  <c r="D173" i="7" s="1"/>
  <c r="E173" i="7" s="1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E172" i="7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C172" i="7"/>
  <c r="D172" i="7" s="1"/>
  <c r="C171" i="7"/>
  <c r="D171" i="7" s="1"/>
  <c r="E171" i="7" s="1"/>
  <c r="F171" i="7" s="1"/>
  <c r="G171" i="7" s="1"/>
  <c r="H171" i="7" s="1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I170" i="7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C170" i="7"/>
  <c r="D170" i="7" s="1"/>
  <c r="E170" i="7" s="1"/>
  <c r="F170" i="7" s="1"/>
  <c r="G170" i="7" s="1"/>
  <c r="H170" i="7" s="1"/>
  <c r="E169" i="7"/>
  <c r="F169" i="7" s="1"/>
  <c r="G169" i="7" s="1"/>
  <c r="H169" i="7" s="1"/>
  <c r="I169" i="7" s="1"/>
  <c r="J169" i="7" s="1"/>
  <c r="K169" i="7" s="1"/>
  <c r="L169" i="7" s="1"/>
  <c r="M169" i="7" s="1"/>
  <c r="N169" i="7" s="1"/>
  <c r="O169" i="7" s="1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C169" i="7"/>
  <c r="D169" i="7" s="1"/>
  <c r="C168" i="7"/>
  <c r="D168" i="7" s="1"/>
  <c r="E168" i="7" s="1"/>
  <c r="F168" i="7" s="1"/>
  <c r="G168" i="7" s="1"/>
  <c r="H168" i="7" s="1"/>
  <c r="I168" i="7" s="1"/>
  <c r="J168" i="7" s="1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I167" i="7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E167" i="7"/>
  <c r="F167" i="7" s="1"/>
  <c r="G167" i="7" s="1"/>
  <c r="H167" i="7" s="1"/>
  <c r="D167" i="7"/>
  <c r="C167" i="7"/>
  <c r="C165" i="7"/>
  <c r="D165" i="7" s="1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C164" i="7"/>
  <c r="D164" i="7" s="1"/>
  <c r="E164" i="7" s="1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K163" i="7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G163" i="7"/>
  <c r="H163" i="7" s="1"/>
  <c r="I163" i="7" s="1"/>
  <c r="J163" i="7" s="1"/>
  <c r="C163" i="7"/>
  <c r="D163" i="7" s="1"/>
  <c r="E163" i="7" s="1"/>
  <c r="F163" i="7" s="1"/>
  <c r="I162" i="7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E162" i="7"/>
  <c r="F162" i="7" s="1"/>
  <c r="G162" i="7" s="1"/>
  <c r="H162" i="7" s="1"/>
  <c r="D162" i="7"/>
  <c r="C162" i="7"/>
  <c r="C161" i="7"/>
  <c r="D161" i="7" s="1"/>
  <c r="E161" i="7" s="1"/>
  <c r="F161" i="7" s="1"/>
  <c r="G161" i="7" s="1"/>
  <c r="H161" i="7" s="1"/>
  <c r="I161" i="7" s="1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C160" i="7"/>
  <c r="D160" i="7" s="1"/>
  <c r="E160" i="7" s="1"/>
  <c r="F160" i="7" s="1"/>
  <c r="G160" i="7" s="1"/>
  <c r="H160" i="7" s="1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C159" i="7"/>
  <c r="D159" i="7" s="1"/>
  <c r="E159" i="7" s="1"/>
  <c r="F159" i="7" s="1"/>
  <c r="G159" i="7" s="1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L158" i="7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D158" i="7"/>
  <c r="E158" i="7" s="1"/>
  <c r="F158" i="7" s="1"/>
  <c r="G158" i="7" s="1"/>
  <c r="H158" i="7" s="1"/>
  <c r="I158" i="7" s="1"/>
  <c r="J158" i="7" s="1"/>
  <c r="K158" i="7" s="1"/>
  <c r="C158" i="7"/>
  <c r="W157" i="7"/>
  <c r="X157" i="7" s="1"/>
  <c r="Y157" i="7" s="1"/>
  <c r="Z157" i="7" s="1"/>
  <c r="AA157" i="7" s="1"/>
  <c r="AB157" i="7" s="1"/>
  <c r="AC157" i="7" s="1"/>
  <c r="AD157" i="7" s="1"/>
  <c r="AE157" i="7" s="1"/>
  <c r="AF157" i="7" s="1"/>
  <c r="C157" i="7"/>
  <c r="D157" i="7" s="1"/>
  <c r="E157" i="7" s="1"/>
  <c r="F157" i="7" s="1"/>
  <c r="G157" i="7" s="1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H156" i="7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C156" i="7"/>
  <c r="D156" i="7" s="1"/>
  <c r="E156" i="7" s="1"/>
  <c r="F156" i="7" s="1"/>
  <c r="G156" i="7" s="1"/>
  <c r="C155" i="7"/>
  <c r="D155" i="7" s="1"/>
  <c r="E155" i="7" s="1"/>
  <c r="F155" i="7" s="1"/>
  <c r="G155" i="7" s="1"/>
  <c r="H155" i="7" s="1"/>
  <c r="I155" i="7" s="1"/>
  <c r="J155" i="7" s="1"/>
  <c r="K155" i="7" s="1"/>
  <c r="L155" i="7" s="1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C154" i="7"/>
  <c r="D154" i="7" s="1"/>
  <c r="E154" i="7" s="1"/>
  <c r="F154" i="7" s="1"/>
  <c r="G154" i="7" s="1"/>
  <c r="H154" i="7" s="1"/>
  <c r="I154" i="7" s="1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C153" i="7"/>
  <c r="M151" i="7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F151" i="7"/>
  <c r="G151" i="7" s="1"/>
  <c r="H151" i="7" s="1"/>
  <c r="I151" i="7" s="1"/>
  <c r="J151" i="7" s="1"/>
  <c r="K151" i="7" s="1"/>
  <c r="L151" i="7" s="1"/>
  <c r="E151" i="7"/>
  <c r="C151" i="7"/>
  <c r="D151" i="7" s="1"/>
  <c r="L150" i="7"/>
  <c r="M150" i="7" s="1"/>
  <c r="N150" i="7" s="1"/>
  <c r="O150" i="7" s="1"/>
  <c r="P150" i="7" s="1"/>
  <c r="Q150" i="7" s="1"/>
  <c r="R150" i="7" s="1"/>
  <c r="S150" i="7" s="1"/>
  <c r="T150" i="7" s="1"/>
  <c r="U150" i="7" s="1"/>
  <c r="V150" i="7" s="1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E150" i="7"/>
  <c r="F150" i="7" s="1"/>
  <c r="G150" i="7" s="1"/>
  <c r="H150" i="7" s="1"/>
  <c r="I150" i="7" s="1"/>
  <c r="J150" i="7" s="1"/>
  <c r="K150" i="7" s="1"/>
  <c r="D150" i="7"/>
  <c r="C150" i="7"/>
  <c r="M149" i="7"/>
  <c r="N149" i="7" s="1"/>
  <c r="O149" i="7" s="1"/>
  <c r="P149" i="7" s="1"/>
  <c r="Q149" i="7" s="1"/>
  <c r="R149" i="7" s="1"/>
  <c r="S149" i="7" s="1"/>
  <c r="T149" i="7" s="1"/>
  <c r="U149" i="7" s="1"/>
  <c r="V149" i="7" s="1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J149" i="7"/>
  <c r="K149" i="7" s="1"/>
  <c r="L149" i="7" s="1"/>
  <c r="C149" i="7"/>
  <c r="D149" i="7" s="1"/>
  <c r="E149" i="7" s="1"/>
  <c r="F149" i="7" s="1"/>
  <c r="G149" i="7" s="1"/>
  <c r="H149" i="7" s="1"/>
  <c r="I149" i="7" s="1"/>
  <c r="R148" i="7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C148" i="7"/>
  <c r="D148" i="7" s="1"/>
  <c r="E148" i="7" s="1"/>
  <c r="F148" i="7" s="1"/>
  <c r="G148" i="7" s="1"/>
  <c r="H148" i="7" s="1"/>
  <c r="I148" i="7" s="1"/>
  <c r="J148" i="7" s="1"/>
  <c r="K148" i="7" s="1"/>
  <c r="L148" i="7" s="1"/>
  <c r="M148" i="7" s="1"/>
  <c r="N148" i="7" s="1"/>
  <c r="O148" i="7" s="1"/>
  <c r="P148" i="7" s="1"/>
  <c r="Q148" i="7" s="1"/>
  <c r="I146" i="7"/>
  <c r="J146" i="7" s="1"/>
  <c r="K146" i="7" s="1"/>
  <c r="L146" i="7" s="1"/>
  <c r="M146" i="7" s="1"/>
  <c r="N146" i="7" s="1"/>
  <c r="O146" i="7" s="1"/>
  <c r="P146" i="7" s="1"/>
  <c r="Q146" i="7" s="1"/>
  <c r="R146" i="7" s="1"/>
  <c r="S146" i="7" s="1"/>
  <c r="T146" i="7" s="1"/>
  <c r="U146" i="7" s="1"/>
  <c r="V146" i="7" s="1"/>
  <c r="W146" i="7" s="1"/>
  <c r="X146" i="7" s="1"/>
  <c r="Y146" i="7" s="1"/>
  <c r="Z146" i="7" s="1"/>
  <c r="AA146" i="7" s="1"/>
  <c r="AB146" i="7" s="1"/>
  <c r="AC146" i="7" s="1"/>
  <c r="AD146" i="7" s="1"/>
  <c r="AE146" i="7" s="1"/>
  <c r="AF146" i="7" s="1"/>
  <c r="F146" i="7"/>
  <c r="G146" i="7" s="1"/>
  <c r="H146" i="7" s="1"/>
  <c r="C146" i="7"/>
  <c r="D146" i="7" s="1"/>
  <c r="E146" i="7" s="1"/>
  <c r="E145" i="7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C145" i="7"/>
  <c r="D145" i="7" s="1"/>
  <c r="R143" i="7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C143" i="7"/>
  <c r="D143" i="7" s="1"/>
  <c r="E143" i="7" s="1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E142" i="7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C142" i="7"/>
  <c r="D142" i="7" s="1"/>
  <c r="F141" i="7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C141" i="7"/>
  <c r="D141" i="7" s="1"/>
  <c r="E141" i="7" s="1"/>
  <c r="D140" i="7"/>
  <c r="E140" i="7" s="1"/>
  <c r="F140" i="7" s="1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C140" i="7"/>
  <c r="C139" i="7"/>
  <c r="D139" i="7" s="1"/>
  <c r="E139" i="7" s="1"/>
  <c r="F139" i="7" s="1"/>
  <c r="G139" i="7" s="1"/>
  <c r="H139" i="7" s="1"/>
  <c r="I139" i="7" s="1"/>
  <c r="J139" i="7" s="1"/>
  <c r="K139" i="7" s="1"/>
  <c r="L139" i="7" s="1"/>
  <c r="M139" i="7" s="1"/>
  <c r="N139" i="7" s="1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C138" i="7"/>
  <c r="D138" i="7" s="1"/>
  <c r="E138" i="7" s="1"/>
  <c r="F138" i="7" s="1"/>
  <c r="G138" i="7" s="1"/>
  <c r="H138" i="7" s="1"/>
  <c r="I138" i="7" s="1"/>
  <c r="J138" i="7" s="1"/>
  <c r="K138" i="7" s="1"/>
  <c r="L138" i="7" s="1"/>
  <c r="M138" i="7" s="1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C137" i="7"/>
  <c r="D137" i="7" s="1"/>
  <c r="E137" i="7" s="1"/>
  <c r="F137" i="7" s="1"/>
  <c r="G137" i="7" s="1"/>
  <c r="H137" i="7" s="1"/>
  <c r="I137" i="7" s="1"/>
  <c r="J137" i="7" s="1"/>
  <c r="K137" i="7" s="1"/>
  <c r="L137" i="7" s="1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AC135" i="7"/>
  <c r="AD135" i="7" s="1"/>
  <c r="AE135" i="7" s="1"/>
  <c r="AF135" i="7" s="1"/>
  <c r="I135" i="7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C135" i="7"/>
  <c r="D135" i="7" s="1"/>
  <c r="E135" i="7" s="1"/>
  <c r="F135" i="7" s="1"/>
  <c r="G135" i="7" s="1"/>
  <c r="H135" i="7" s="1"/>
  <c r="C134" i="7"/>
  <c r="D134" i="7" s="1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F133" i="7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E133" i="7"/>
  <c r="C133" i="7"/>
  <c r="D133" i="7" s="1"/>
  <c r="E132" i="7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D132" i="7"/>
  <c r="C132" i="7"/>
  <c r="C131" i="7"/>
  <c r="D131" i="7" s="1"/>
  <c r="E131" i="7" s="1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G130" i="7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D130" i="7"/>
  <c r="E130" i="7" s="1"/>
  <c r="F130" i="7" s="1"/>
  <c r="C130" i="7"/>
  <c r="E129" i="7"/>
  <c r="F129" i="7" s="1"/>
  <c r="G129" i="7" s="1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C129" i="7"/>
  <c r="D129" i="7" s="1"/>
  <c r="G128" i="7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C128" i="7"/>
  <c r="D128" i="7" s="1"/>
  <c r="E128" i="7" s="1"/>
  <c r="F128" i="7" s="1"/>
  <c r="U126" i="7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C126" i="7"/>
  <c r="D126" i="7" s="1"/>
  <c r="E126" i="7" s="1"/>
  <c r="F126" i="7" s="1"/>
  <c r="G126" i="7" s="1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D125" i="7"/>
  <c r="E125" i="7" s="1"/>
  <c r="F125" i="7" s="1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C125" i="7"/>
  <c r="G124" i="7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C124" i="7"/>
  <c r="D124" i="7" s="1"/>
  <c r="E124" i="7" s="1"/>
  <c r="F124" i="7" s="1"/>
  <c r="C123" i="7"/>
  <c r="D123" i="7" s="1"/>
  <c r="E123" i="7" s="1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D122" i="7"/>
  <c r="E122" i="7" s="1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C122" i="7"/>
  <c r="D121" i="7"/>
  <c r="E121" i="7" s="1"/>
  <c r="F121" i="7" s="1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C121" i="7"/>
  <c r="C120" i="7"/>
  <c r="D120" i="7" s="1"/>
  <c r="E120" i="7" s="1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AC119" i="7"/>
  <c r="AD119" i="7" s="1"/>
  <c r="AE119" i="7" s="1"/>
  <c r="AF119" i="7" s="1"/>
  <c r="O119" i="7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C119" i="7"/>
  <c r="D119" i="7" s="1"/>
  <c r="E119" i="7" s="1"/>
  <c r="F119" i="7" s="1"/>
  <c r="G119" i="7" s="1"/>
  <c r="H119" i="7" s="1"/>
  <c r="I119" i="7" s="1"/>
  <c r="J119" i="7" s="1"/>
  <c r="K119" i="7" s="1"/>
  <c r="L119" i="7" s="1"/>
  <c r="M119" i="7" s="1"/>
  <c r="N119" i="7" s="1"/>
  <c r="E118" i="7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C118" i="7"/>
  <c r="D118" i="7" s="1"/>
  <c r="K117" i="7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C117" i="7"/>
  <c r="D117" i="7" s="1"/>
  <c r="E117" i="7" s="1"/>
  <c r="F117" i="7" s="1"/>
  <c r="G117" i="7" s="1"/>
  <c r="H117" i="7" s="1"/>
  <c r="I117" i="7" s="1"/>
  <c r="J117" i="7" s="1"/>
  <c r="E116" i="7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C116" i="7"/>
  <c r="D116" i="7" s="1"/>
  <c r="D115" i="7"/>
  <c r="E115" i="7" s="1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C115" i="7"/>
  <c r="D114" i="7"/>
  <c r="E114" i="7" s="1"/>
  <c r="F114" i="7" s="1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C114" i="7"/>
  <c r="G113" i="7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D113" i="7"/>
  <c r="E113" i="7" s="1"/>
  <c r="F113" i="7" s="1"/>
  <c r="C113" i="7"/>
  <c r="F112" i="7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E112" i="7"/>
  <c r="C112" i="7"/>
  <c r="D112" i="7" s="1"/>
  <c r="X111" i="7"/>
  <c r="Y111" i="7" s="1"/>
  <c r="Z111" i="7" s="1"/>
  <c r="AA111" i="7" s="1"/>
  <c r="AB111" i="7" s="1"/>
  <c r="AC111" i="7" s="1"/>
  <c r="AD111" i="7" s="1"/>
  <c r="AE111" i="7" s="1"/>
  <c r="AF111" i="7" s="1"/>
  <c r="M111" i="7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K111" i="7"/>
  <c r="L111" i="7" s="1"/>
  <c r="J111" i="7"/>
  <c r="C111" i="7"/>
  <c r="D111" i="7" s="1"/>
  <c r="E111" i="7" s="1"/>
  <c r="F111" i="7" s="1"/>
  <c r="G111" i="7" s="1"/>
  <c r="H111" i="7" s="1"/>
  <c r="E110" i="7"/>
  <c r="F110" i="7" s="1"/>
  <c r="G110" i="7" s="1"/>
  <c r="H110" i="7" s="1"/>
  <c r="I110" i="7" s="1"/>
  <c r="J110" i="7" s="1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D110" i="7"/>
  <c r="C110" i="7"/>
  <c r="C109" i="7"/>
  <c r="D109" i="7" s="1"/>
  <c r="E109" i="7" s="1"/>
  <c r="F109" i="7" s="1"/>
  <c r="G109" i="7" s="1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D107" i="7"/>
  <c r="E107" i="7" s="1"/>
  <c r="F107" i="7" s="1"/>
  <c r="G107" i="7" s="1"/>
  <c r="H107" i="7" s="1"/>
  <c r="I107" i="7" s="1"/>
  <c r="J107" i="7" s="1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U107" i="7" s="1"/>
  <c r="V107" i="7" s="1"/>
  <c r="W107" i="7" s="1"/>
  <c r="X107" i="7" s="1"/>
  <c r="Y107" i="7" s="1"/>
  <c r="Z107" i="7" s="1"/>
  <c r="AA107" i="7" s="1"/>
  <c r="AB107" i="7" s="1"/>
  <c r="AC107" i="7" s="1"/>
  <c r="AD107" i="7" s="1"/>
  <c r="AE107" i="7" s="1"/>
  <c r="AF107" i="7" s="1"/>
  <c r="C107" i="7"/>
  <c r="C106" i="7"/>
  <c r="D106" i="7" s="1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I104" i="7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E104" i="7"/>
  <c r="F104" i="7" s="1"/>
  <c r="G104" i="7" s="1"/>
  <c r="H104" i="7" s="1"/>
  <c r="D104" i="7"/>
  <c r="C104" i="7"/>
  <c r="C103" i="7"/>
  <c r="D103" i="7" s="1"/>
  <c r="E103" i="7" s="1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E102" i="7"/>
  <c r="F102" i="7" s="1"/>
  <c r="G102" i="7" s="1"/>
  <c r="H102" i="7" s="1"/>
  <c r="I102" i="7" s="1"/>
  <c r="J102" i="7" s="1"/>
  <c r="K102" i="7" s="1"/>
  <c r="L102" i="7" s="1"/>
  <c r="M102" i="7" s="1"/>
  <c r="N102" i="7" s="1"/>
  <c r="O102" i="7" s="1"/>
  <c r="P102" i="7" s="1"/>
  <c r="Q102" i="7" s="1"/>
  <c r="R102" i="7" s="1"/>
  <c r="S102" i="7" s="1"/>
  <c r="T102" i="7" s="1"/>
  <c r="U102" i="7" s="1"/>
  <c r="V102" i="7" s="1"/>
  <c r="W102" i="7" s="1"/>
  <c r="X102" i="7" s="1"/>
  <c r="Y102" i="7" s="1"/>
  <c r="Z102" i="7" s="1"/>
  <c r="AA102" i="7" s="1"/>
  <c r="AB102" i="7" s="1"/>
  <c r="AC102" i="7" s="1"/>
  <c r="AD102" i="7" s="1"/>
  <c r="AE102" i="7" s="1"/>
  <c r="AF102" i="7" s="1"/>
  <c r="D102" i="7"/>
  <c r="C102" i="7"/>
  <c r="S101" i="7"/>
  <c r="T101" i="7" s="1"/>
  <c r="U101" i="7" s="1"/>
  <c r="V101" i="7" s="1"/>
  <c r="W101" i="7" s="1"/>
  <c r="X101" i="7" s="1"/>
  <c r="Y101" i="7" s="1"/>
  <c r="Z101" i="7" s="1"/>
  <c r="AA101" i="7" s="1"/>
  <c r="AB101" i="7" s="1"/>
  <c r="AC101" i="7" s="1"/>
  <c r="AD101" i="7" s="1"/>
  <c r="AE101" i="7" s="1"/>
  <c r="AF101" i="7" s="1"/>
  <c r="K101" i="7"/>
  <c r="L101" i="7" s="1"/>
  <c r="M101" i="7" s="1"/>
  <c r="N101" i="7" s="1"/>
  <c r="O101" i="7" s="1"/>
  <c r="P101" i="7" s="1"/>
  <c r="Q101" i="7" s="1"/>
  <c r="R101" i="7" s="1"/>
  <c r="C101" i="7"/>
  <c r="D101" i="7" s="1"/>
  <c r="E101" i="7" s="1"/>
  <c r="F101" i="7" s="1"/>
  <c r="G101" i="7" s="1"/>
  <c r="H101" i="7" s="1"/>
  <c r="I101" i="7" s="1"/>
  <c r="J101" i="7" s="1"/>
  <c r="D100" i="7"/>
  <c r="E100" i="7" s="1"/>
  <c r="C100" i="7"/>
  <c r="C99" i="7"/>
  <c r="AH96" i="7"/>
  <c r="AI96" i="7" s="1"/>
  <c r="AH95" i="7"/>
  <c r="AI95" i="7" s="1"/>
  <c r="AH94" i="7"/>
  <c r="AI94" i="7" s="1"/>
  <c r="AH93" i="7"/>
  <c r="AI93" i="7" s="1"/>
  <c r="AH92" i="7"/>
  <c r="AI92" i="7" s="1"/>
  <c r="B91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G80" i="7"/>
  <c r="AI79" i="7"/>
  <c r="AH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F74" i="7"/>
  <c r="AE74" i="7"/>
  <c r="AD74" i="7"/>
  <c r="AC74" i="7"/>
  <c r="AB74" i="7"/>
  <c r="AA74" i="7"/>
  <c r="Z74" i="7"/>
  <c r="Y74" i="7"/>
  <c r="Y80" i="7" s="1"/>
  <c r="X74" i="7"/>
  <c r="W74" i="7"/>
  <c r="V74" i="7"/>
  <c r="U74" i="7"/>
  <c r="T74" i="7"/>
  <c r="T80" i="7" s="1"/>
  <c r="S74" i="7"/>
  <c r="R74" i="7"/>
  <c r="Q74" i="7"/>
  <c r="Q80" i="7" s="1"/>
  <c r="P74" i="7"/>
  <c r="O74" i="7"/>
  <c r="N74" i="7"/>
  <c r="M74" i="7"/>
  <c r="L74" i="7"/>
  <c r="K74" i="7"/>
  <c r="J74" i="7"/>
  <c r="J80" i="7" s="1"/>
  <c r="I74" i="7"/>
  <c r="H74" i="7"/>
  <c r="G74" i="7"/>
  <c r="F74" i="7"/>
  <c r="E74" i="7"/>
  <c r="D74" i="7"/>
  <c r="C74" i="7"/>
  <c r="B74" i="7"/>
  <c r="AI72" i="7"/>
  <c r="AH72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I70" i="7" s="1"/>
  <c r="AI69" i="7"/>
  <c r="AH69" i="7"/>
  <c r="AI68" i="7"/>
  <c r="AH68" i="7"/>
  <c r="AI67" i="7"/>
  <c r="AH67" i="7"/>
  <c r="AG66" i="7"/>
  <c r="AG71" i="7" s="1"/>
  <c r="AF66" i="7"/>
  <c r="AF5" i="7" s="1"/>
  <c r="AE66" i="7"/>
  <c r="AD66" i="7"/>
  <c r="AC66" i="7"/>
  <c r="AB66" i="7"/>
  <c r="AB5" i="7" s="1"/>
  <c r="AA66" i="7"/>
  <c r="AA5" i="7" s="1"/>
  <c r="Z66" i="7"/>
  <c r="Y66" i="7"/>
  <c r="X66" i="7"/>
  <c r="X5" i="7" s="1"/>
  <c r="W66" i="7"/>
  <c r="V66" i="7"/>
  <c r="U66" i="7"/>
  <c r="T66" i="7"/>
  <c r="T5" i="7" s="1"/>
  <c r="S66" i="7"/>
  <c r="S5" i="7" s="1"/>
  <c r="R66" i="7"/>
  <c r="Q66" i="7"/>
  <c r="P66" i="7"/>
  <c r="P5" i="7" s="1"/>
  <c r="O66" i="7"/>
  <c r="O5" i="7" s="1"/>
  <c r="N66" i="7"/>
  <c r="N5" i="7" s="1"/>
  <c r="M66" i="7"/>
  <c r="L66" i="7"/>
  <c r="L5" i="7" s="1"/>
  <c r="K66" i="7"/>
  <c r="J66" i="7"/>
  <c r="I66" i="7"/>
  <c r="H66" i="7"/>
  <c r="H5" i="7" s="1"/>
  <c r="G66" i="7"/>
  <c r="F66" i="7"/>
  <c r="E66" i="7"/>
  <c r="D66" i="7"/>
  <c r="C66" i="7"/>
  <c r="C5" i="7" s="1"/>
  <c r="B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I53" i="7"/>
  <c r="AH53" i="7"/>
  <c r="AI52" i="7"/>
  <c r="AH52" i="7"/>
  <c r="AI51" i="7"/>
  <c r="AH51" i="7"/>
  <c r="AG50" i="7"/>
  <c r="Y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G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G36" i="7"/>
  <c r="AG2" i="7" s="1"/>
  <c r="AG6" i="7" s="1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G71" i="7" s="1"/>
  <c r="F36" i="7"/>
  <c r="E36" i="7"/>
  <c r="D36" i="7"/>
  <c r="C36" i="7"/>
  <c r="B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E5" i="7"/>
  <c r="AD5" i="7"/>
  <c r="Z5" i="7"/>
  <c r="Y5" i="7"/>
  <c r="W5" i="7"/>
  <c r="V5" i="7"/>
  <c r="R5" i="7"/>
  <c r="Q5" i="7"/>
  <c r="K5" i="7"/>
  <c r="J5" i="7"/>
  <c r="I5" i="7"/>
  <c r="G5" i="7"/>
  <c r="F5" i="7"/>
  <c r="D5" i="7"/>
  <c r="AG4" i="7"/>
  <c r="K4" i="7"/>
  <c r="B4" i="7"/>
  <c r="AG3" i="7"/>
  <c r="AD93" i="6"/>
  <c r="AC93" i="6"/>
  <c r="AB93" i="6"/>
  <c r="AB35" i="6"/>
  <c r="AA93" i="6"/>
  <c r="AA35" i="6"/>
  <c r="Z35" i="6"/>
  <c r="Y35" i="6"/>
  <c r="X35" i="6"/>
  <c r="V35" i="6"/>
  <c r="E4" i="7"/>
  <c r="AH81" i="11" l="1"/>
  <c r="AI81" i="11"/>
  <c r="AA73" i="10"/>
  <c r="AA81" i="10" s="1"/>
  <c r="AR211" i="10"/>
  <c r="Z7" i="10"/>
  <c r="Z81" i="10"/>
  <c r="AB197" i="10"/>
  <c r="AB49" i="10" s="1"/>
  <c r="AB50" i="10" s="1"/>
  <c r="AB232" i="10"/>
  <c r="AC196" i="10"/>
  <c r="AD100" i="10"/>
  <c r="AC91" i="10"/>
  <c r="AF191" i="10"/>
  <c r="AB189" i="10"/>
  <c r="AC99" i="10"/>
  <c r="AS211" i="10"/>
  <c r="AA7" i="10"/>
  <c r="AR211" i="9"/>
  <c r="Z7" i="9"/>
  <c r="Z81" i="9"/>
  <c r="AD100" i="9"/>
  <c r="AC91" i="9"/>
  <c r="AB71" i="9"/>
  <c r="AB73" i="9"/>
  <c r="AB189" i="9"/>
  <c r="AC99" i="9"/>
  <c r="AD191" i="9"/>
  <c r="AC197" i="9"/>
  <c r="AC49" i="9" s="1"/>
  <c r="AC50" i="9" s="1"/>
  <c r="AS211" i="9"/>
  <c r="AA7" i="9"/>
  <c r="AA81" i="9"/>
  <c r="AC232" i="9"/>
  <c r="AD196" i="9"/>
  <c r="AA232" i="8"/>
  <c r="AB196" i="8"/>
  <c r="AA197" i="8"/>
  <c r="AA49" i="8" s="1"/>
  <c r="AA50" i="8" s="1"/>
  <c r="AB191" i="8"/>
  <c r="AB100" i="8"/>
  <c r="AA91" i="8"/>
  <c r="AA189" i="8"/>
  <c r="Z50" i="8"/>
  <c r="AD99" i="8"/>
  <c r="X81" i="8"/>
  <c r="AP211" i="8"/>
  <c r="X7" i="8"/>
  <c r="AF80" i="7"/>
  <c r="AD80" i="7"/>
  <c r="AC80" i="7"/>
  <c r="AB80" i="7"/>
  <c r="Z80" i="7"/>
  <c r="Y71" i="7"/>
  <c r="X80" i="7"/>
  <c r="V80" i="7"/>
  <c r="U80" i="7"/>
  <c r="S71" i="7"/>
  <c r="S73" i="7"/>
  <c r="Q71" i="7"/>
  <c r="R80" i="7"/>
  <c r="R73" i="7"/>
  <c r="AJ211" i="7" s="1"/>
  <c r="R71" i="7"/>
  <c r="R81" i="7" s="1"/>
  <c r="P80" i="7"/>
  <c r="O71" i="7"/>
  <c r="O73" i="7"/>
  <c r="N80" i="7"/>
  <c r="N71" i="7"/>
  <c r="M80" i="7"/>
  <c r="M71" i="7"/>
  <c r="L80" i="7"/>
  <c r="L73" i="7"/>
  <c r="L71" i="7"/>
  <c r="K71" i="7"/>
  <c r="AH76" i="7"/>
  <c r="J73" i="7"/>
  <c r="AB211" i="7" s="1"/>
  <c r="K73" i="7"/>
  <c r="K7" i="7" s="1"/>
  <c r="J71" i="7"/>
  <c r="I80" i="7"/>
  <c r="I71" i="7"/>
  <c r="AH77" i="7"/>
  <c r="H80" i="7"/>
  <c r="G73" i="7"/>
  <c r="F80" i="7"/>
  <c r="AI54" i="7"/>
  <c r="F71" i="7"/>
  <c r="F73" i="7"/>
  <c r="X211" i="7" s="1"/>
  <c r="E80" i="7"/>
  <c r="E71" i="7"/>
  <c r="AI76" i="7"/>
  <c r="D80" i="7"/>
  <c r="D71" i="7"/>
  <c r="D81" i="7" s="1"/>
  <c r="D73" i="7"/>
  <c r="V211" i="7" s="1"/>
  <c r="C71" i="7"/>
  <c r="AI66" i="7"/>
  <c r="AI36" i="7"/>
  <c r="C73" i="7"/>
  <c r="U211" i="7" s="1"/>
  <c r="AI75" i="7"/>
  <c r="B5" i="7"/>
  <c r="B71" i="7"/>
  <c r="B73" i="7" s="1"/>
  <c r="H4" i="7"/>
  <c r="D7" i="7"/>
  <c r="AC211" i="7"/>
  <c r="AK211" i="7"/>
  <c r="S7" i="7"/>
  <c r="E5" i="7"/>
  <c r="AH36" i="7"/>
  <c r="AH74" i="7"/>
  <c r="S208" i="7"/>
  <c r="D208" i="7"/>
  <c r="U5" i="7"/>
  <c r="AH54" i="7"/>
  <c r="AH66" i="7"/>
  <c r="AH70" i="7"/>
  <c r="H71" i="7"/>
  <c r="P71" i="7"/>
  <c r="AI74" i="7"/>
  <c r="B80" i="7"/>
  <c r="AH75" i="7"/>
  <c r="M5" i="7"/>
  <c r="AC5" i="7"/>
  <c r="E73" i="7"/>
  <c r="M73" i="7"/>
  <c r="M81" i="7" s="1"/>
  <c r="C80" i="7"/>
  <c r="K80" i="7"/>
  <c r="S80" i="7"/>
  <c r="S81" i="7" s="1"/>
  <c r="AA80" i="7"/>
  <c r="AI77" i="7"/>
  <c r="AI78" i="7"/>
  <c r="AH78" i="7"/>
  <c r="F81" i="7"/>
  <c r="D153" i="7"/>
  <c r="C91" i="7"/>
  <c r="N73" i="7"/>
  <c r="F100" i="7"/>
  <c r="H73" i="7"/>
  <c r="P73" i="7"/>
  <c r="I73" i="7"/>
  <c r="I81" i="7" s="1"/>
  <c r="Q73" i="7"/>
  <c r="Q81" i="7" s="1"/>
  <c r="Y73" i="7"/>
  <c r="AG73" i="7"/>
  <c r="AG81" i="7" s="1"/>
  <c r="G80" i="7"/>
  <c r="G81" i="7" s="1"/>
  <c r="O80" i="7"/>
  <c r="O81" i="7" s="1"/>
  <c r="W80" i="7"/>
  <c r="AE80" i="7"/>
  <c r="C189" i="7"/>
  <c r="D99" i="7"/>
  <c r="D232" i="7"/>
  <c r="E196" i="7"/>
  <c r="C197" i="7"/>
  <c r="D191" i="7"/>
  <c r="AC197" i="10" l="1"/>
  <c r="AC49" i="10" s="1"/>
  <c r="AC50" i="10" s="1"/>
  <c r="AC232" i="10"/>
  <c r="AD196" i="10"/>
  <c r="AB73" i="10"/>
  <c r="AB71" i="10"/>
  <c r="AC189" i="10"/>
  <c r="AD99" i="10"/>
  <c r="AE100" i="10"/>
  <c r="AD91" i="10"/>
  <c r="AE191" i="9"/>
  <c r="AD197" i="9"/>
  <c r="AD49" i="9" s="1"/>
  <c r="AD50" i="9" s="1"/>
  <c r="AC71" i="9"/>
  <c r="AC73" i="9"/>
  <c r="AC189" i="9"/>
  <c r="AD99" i="9"/>
  <c r="AD232" i="9"/>
  <c r="AE196" i="9"/>
  <c r="AT211" i="9"/>
  <c r="AB7" i="9"/>
  <c r="AB81" i="9"/>
  <c r="AE100" i="9"/>
  <c r="AD91" i="9"/>
  <c r="AC100" i="8"/>
  <c r="AB91" i="8"/>
  <c r="AB189" i="8"/>
  <c r="AE99" i="8"/>
  <c r="AB197" i="8"/>
  <c r="AB49" i="8" s="1"/>
  <c r="AB50" i="8" s="1"/>
  <c r="AC191" i="8"/>
  <c r="AA71" i="8"/>
  <c r="AA73" i="8"/>
  <c r="AC196" i="8"/>
  <c r="AB232" i="8"/>
  <c r="Z73" i="8"/>
  <c r="Z71" i="8"/>
  <c r="R7" i="7"/>
  <c r="P81" i="7"/>
  <c r="K81" i="7"/>
  <c r="C81" i="7"/>
  <c r="J81" i="7"/>
  <c r="E81" i="7"/>
  <c r="AG211" i="7"/>
  <c r="O7" i="7"/>
  <c r="L81" i="7"/>
  <c r="L7" i="7"/>
  <c r="AD211" i="7"/>
  <c r="J7" i="7"/>
  <c r="C206" i="7"/>
  <c r="Y211" i="7"/>
  <c r="G7" i="7"/>
  <c r="F7" i="7"/>
  <c r="B206" i="7"/>
  <c r="C7" i="7"/>
  <c r="G100" i="7"/>
  <c r="H81" i="7"/>
  <c r="F196" i="7"/>
  <c r="E232" i="7"/>
  <c r="E153" i="7"/>
  <c r="D189" i="7"/>
  <c r="E99" i="7"/>
  <c r="AQ211" i="7"/>
  <c r="Y7" i="7"/>
  <c r="AF211" i="7"/>
  <c r="N7" i="7"/>
  <c r="AE211" i="7"/>
  <c r="M7" i="7"/>
  <c r="AI80" i="7"/>
  <c r="AH80" i="7"/>
  <c r="B81" i="7"/>
  <c r="T211" i="7"/>
  <c r="B7" i="7"/>
  <c r="AI211" i="7"/>
  <c r="Q7" i="7"/>
  <c r="W211" i="7"/>
  <c r="E7" i="7"/>
  <c r="AA211" i="7"/>
  <c r="I7" i="7"/>
  <c r="AH211" i="7"/>
  <c r="P7" i="7"/>
  <c r="Z211" i="7"/>
  <c r="H7" i="7"/>
  <c r="Y81" i="7"/>
  <c r="N81" i="7"/>
  <c r="E191" i="7"/>
  <c r="D197" i="7"/>
  <c r="AB81" i="10" l="1"/>
  <c r="AT211" i="10"/>
  <c r="AB7" i="10"/>
  <c r="AD197" i="10"/>
  <c r="AD49" i="10" s="1"/>
  <c r="AD50" i="10" s="1"/>
  <c r="AE196" i="10"/>
  <c r="AD232" i="10"/>
  <c r="AC73" i="10"/>
  <c r="AC71" i="10"/>
  <c r="AC81" i="10" s="1"/>
  <c r="AE91" i="10"/>
  <c r="AF100" i="10"/>
  <c r="AD189" i="10"/>
  <c r="AE99" i="10"/>
  <c r="AD189" i="9"/>
  <c r="AE99" i="9"/>
  <c r="AE91" i="9"/>
  <c r="AF100" i="9"/>
  <c r="AU211" i="9"/>
  <c r="AC7" i="9"/>
  <c r="AC81" i="9"/>
  <c r="AD73" i="9"/>
  <c r="AD71" i="9"/>
  <c r="AE232" i="9"/>
  <c r="AF196" i="9"/>
  <c r="AF232" i="9" s="1"/>
  <c r="AE197" i="9"/>
  <c r="AE49" i="9" s="1"/>
  <c r="AE50" i="9" s="1"/>
  <c r="AF191" i="9"/>
  <c r="AF197" i="9" s="1"/>
  <c r="AF49" i="9" s="1"/>
  <c r="AD191" i="8"/>
  <c r="AC197" i="8"/>
  <c r="AC49" i="8" s="1"/>
  <c r="AC50" i="8" s="1"/>
  <c r="Z81" i="8"/>
  <c r="AB73" i="8"/>
  <c r="AB71" i="8"/>
  <c r="AF99" i="8"/>
  <c r="AC232" i="8"/>
  <c r="AD196" i="8"/>
  <c r="AS211" i="8"/>
  <c r="AA7" i="8"/>
  <c r="AR211" i="8"/>
  <c r="Z7" i="8"/>
  <c r="AA81" i="8"/>
  <c r="AD100" i="8"/>
  <c r="AC91" i="8"/>
  <c r="AC189" i="8"/>
  <c r="K6" i="7"/>
  <c r="E197" i="7"/>
  <c r="F191" i="7"/>
  <c r="F232" i="7"/>
  <c r="G196" i="7"/>
  <c r="E189" i="7"/>
  <c r="F99" i="7"/>
  <c r="H100" i="7"/>
  <c r="F153" i="7"/>
  <c r="E91" i="7"/>
  <c r="AU211" i="10" l="1"/>
  <c r="AC7" i="10"/>
  <c r="AE197" i="10"/>
  <c r="AE49" i="10" s="1"/>
  <c r="AE50" i="10" s="1"/>
  <c r="AE232" i="10"/>
  <c r="AF196" i="10"/>
  <c r="AD71" i="10"/>
  <c r="AD73" i="10"/>
  <c r="AE189" i="10"/>
  <c r="AF99" i="10"/>
  <c r="AF189" i="10" s="1"/>
  <c r="AD81" i="9"/>
  <c r="AE73" i="9"/>
  <c r="AE71" i="9"/>
  <c r="AE81" i="9" s="1"/>
  <c r="AF91" i="9"/>
  <c r="AF50" i="9"/>
  <c r="AJ50" i="9" s="1"/>
  <c r="AK50" i="9" s="1"/>
  <c r="AL4" i="9" s="1"/>
  <c r="AL6" i="9" s="1"/>
  <c r="AI49" i="9"/>
  <c r="AH49" i="9"/>
  <c r="AV211" i="9"/>
  <c r="AD7" i="9"/>
  <c r="AE189" i="9"/>
  <c r="AF99" i="9"/>
  <c r="AF189" i="9" s="1"/>
  <c r="AB81" i="8"/>
  <c r="AT211" i="8"/>
  <c r="AB7" i="8"/>
  <c r="AC71" i="8"/>
  <c r="AC73" i="8"/>
  <c r="AE100" i="8"/>
  <c r="AD91" i="8"/>
  <c r="AD189" i="8"/>
  <c r="AD232" i="8"/>
  <c r="AE196" i="8"/>
  <c r="AE191" i="8"/>
  <c r="AD197" i="8"/>
  <c r="AD49" i="8" s="1"/>
  <c r="AD50" i="8" s="1"/>
  <c r="G153" i="7"/>
  <c r="F91" i="7"/>
  <c r="I100" i="7"/>
  <c r="G232" i="7"/>
  <c r="H196" i="7"/>
  <c r="G191" i="7"/>
  <c r="F197" i="7"/>
  <c r="F189" i="7"/>
  <c r="G99" i="7"/>
  <c r="AD81" i="10" l="1"/>
  <c r="AF232" i="10"/>
  <c r="AF197" i="10"/>
  <c r="AF49" i="10" s="1"/>
  <c r="AE73" i="10"/>
  <c r="AE71" i="10"/>
  <c r="AV211" i="10"/>
  <c r="AD7" i="10"/>
  <c r="AF91" i="10"/>
  <c r="AF73" i="9"/>
  <c r="AF71" i="9"/>
  <c r="AH50" i="9"/>
  <c r="AI50" i="9"/>
  <c r="AH91" i="9"/>
  <c r="AI91" i="9"/>
  <c r="AW211" i="9"/>
  <c r="AE7" i="9"/>
  <c r="AF100" i="8"/>
  <c r="AE91" i="8"/>
  <c r="AE189" i="8"/>
  <c r="AU211" i="8"/>
  <c r="AC7" i="8"/>
  <c r="AD71" i="8"/>
  <c r="AD73" i="8"/>
  <c r="AE232" i="8"/>
  <c r="AF196" i="8"/>
  <c r="AF232" i="8" s="1"/>
  <c r="AC81" i="8"/>
  <c r="AF191" i="8"/>
  <c r="AE197" i="8"/>
  <c r="AE49" i="8" s="1"/>
  <c r="AE50" i="8" s="1"/>
  <c r="G189" i="7"/>
  <c r="H99" i="7"/>
  <c r="H232" i="7"/>
  <c r="I196" i="7"/>
  <c r="J100" i="7"/>
  <c r="H191" i="7"/>
  <c r="G197" i="7"/>
  <c r="H153" i="7"/>
  <c r="G91" i="7"/>
  <c r="AE81" i="10" l="1"/>
  <c r="AW211" i="10"/>
  <c r="AE7" i="10"/>
  <c r="AH91" i="10"/>
  <c r="AI91" i="10"/>
  <c r="AF50" i="10"/>
  <c r="AH49" i="10"/>
  <c r="AI49" i="10"/>
  <c r="AF81" i="9"/>
  <c r="AI71" i="9"/>
  <c r="AH71" i="9"/>
  <c r="AX211" i="9"/>
  <c r="AF7" i="9"/>
  <c r="A7" i="9" s="1"/>
  <c r="AH73" i="9"/>
  <c r="AI73" i="9"/>
  <c r="AF197" i="8"/>
  <c r="AF49" i="8" s="1"/>
  <c r="AD81" i="8"/>
  <c r="AE73" i="8"/>
  <c r="AE71" i="8"/>
  <c r="AE81" i="8" s="1"/>
  <c r="AF50" i="8"/>
  <c r="AJ50" i="8" s="1"/>
  <c r="AH49" i="8"/>
  <c r="AI49" i="8"/>
  <c r="AV211" i="8"/>
  <c r="AD7" i="8"/>
  <c r="AF91" i="8"/>
  <c r="AF189" i="8"/>
  <c r="K100" i="7"/>
  <c r="J196" i="7"/>
  <c r="I232" i="7"/>
  <c r="H189" i="7"/>
  <c r="I99" i="7"/>
  <c r="I191" i="7"/>
  <c r="H197" i="7"/>
  <c r="I153" i="7"/>
  <c r="H91" i="7"/>
  <c r="AJ50" i="10" l="1"/>
  <c r="AK50" i="10" s="1"/>
  <c r="AL4" i="10" s="1"/>
  <c r="AL6" i="10" s="1"/>
  <c r="AF73" i="10"/>
  <c r="AF71" i="10"/>
  <c r="AI50" i="10"/>
  <c r="AH50" i="10"/>
  <c r="AH81" i="9"/>
  <c r="AI81" i="9"/>
  <c r="AK50" i="8"/>
  <c r="AL4" i="8" s="1"/>
  <c r="AL6" i="8" s="1"/>
  <c r="AF73" i="8"/>
  <c r="AF71" i="8"/>
  <c r="AI50" i="8"/>
  <c r="AH50" i="8"/>
  <c r="AW211" i="8"/>
  <c r="AE7" i="8"/>
  <c r="AI91" i="8"/>
  <c r="AH91" i="8"/>
  <c r="I197" i="7"/>
  <c r="J191" i="7"/>
  <c r="I189" i="7"/>
  <c r="J99" i="7"/>
  <c r="J232" i="7"/>
  <c r="K196" i="7"/>
  <c r="J153" i="7"/>
  <c r="I91" i="7"/>
  <c r="L100" i="7"/>
  <c r="AH71" i="10" l="1"/>
  <c r="AI71" i="10"/>
  <c r="AF81" i="10"/>
  <c r="AX211" i="10"/>
  <c r="AF7" i="10"/>
  <c r="A7" i="10" s="1"/>
  <c r="AH73" i="10"/>
  <c r="AI73" i="10"/>
  <c r="AF81" i="8"/>
  <c r="AI71" i="8"/>
  <c r="AH71" i="8"/>
  <c r="AX211" i="8"/>
  <c r="AF7" i="8"/>
  <c r="A7" i="8" s="1"/>
  <c r="AH73" i="8"/>
  <c r="AI73" i="8"/>
  <c r="K153" i="7"/>
  <c r="J91" i="7"/>
  <c r="K232" i="7"/>
  <c r="L196" i="7"/>
  <c r="J189" i="7"/>
  <c r="K99" i="7"/>
  <c r="J197" i="7"/>
  <c r="K191" i="7"/>
  <c r="M100" i="7"/>
  <c r="AH81" i="10" l="1"/>
  <c r="AI81" i="10"/>
  <c r="AI81" i="8"/>
  <c r="AH81" i="8"/>
  <c r="K197" i="7"/>
  <c r="L191" i="7"/>
  <c r="L232" i="7"/>
  <c r="M196" i="7"/>
  <c r="K189" i="7"/>
  <c r="L99" i="7"/>
  <c r="N100" i="7"/>
  <c r="L153" i="7"/>
  <c r="K91" i="7"/>
  <c r="O100" i="7" l="1"/>
  <c r="L189" i="7"/>
  <c r="M99" i="7"/>
  <c r="L197" i="7"/>
  <c r="M191" i="7"/>
  <c r="M232" i="7"/>
  <c r="N196" i="7"/>
  <c r="M153" i="7"/>
  <c r="L91" i="7"/>
  <c r="N232" i="7" l="1"/>
  <c r="O196" i="7"/>
  <c r="M189" i="7"/>
  <c r="N99" i="7"/>
  <c r="M197" i="7"/>
  <c r="N191" i="7"/>
  <c r="N153" i="7"/>
  <c r="M91" i="7"/>
  <c r="P100" i="7"/>
  <c r="O191" i="7" l="1"/>
  <c r="N197" i="7"/>
  <c r="O153" i="7"/>
  <c r="N91" i="7"/>
  <c r="N189" i="7"/>
  <c r="O99" i="7"/>
  <c r="Q100" i="7"/>
  <c r="O232" i="7"/>
  <c r="P196" i="7"/>
  <c r="R100" i="7" l="1"/>
  <c r="O189" i="7"/>
  <c r="P99" i="7"/>
  <c r="P153" i="7"/>
  <c r="O91" i="7"/>
  <c r="P232" i="7"/>
  <c r="Q196" i="7"/>
  <c r="P191" i="7"/>
  <c r="O197" i="7"/>
  <c r="R196" i="7" l="1"/>
  <c r="Q232" i="7"/>
  <c r="P189" i="7"/>
  <c r="Q99" i="7"/>
  <c r="Q153" i="7"/>
  <c r="P91" i="7"/>
  <c r="P197" i="7"/>
  <c r="Q191" i="7"/>
  <c r="S100" i="7"/>
  <c r="R191" i="7" l="1"/>
  <c r="Q197" i="7"/>
  <c r="R153" i="7"/>
  <c r="Q91" i="7"/>
  <c r="Q189" i="7"/>
  <c r="R99" i="7"/>
  <c r="T100" i="7"/>
  <c r="R232" i="7"/>
  <c r="S196" i="7"/>
  <c r="R189" i="7" l="1"/>
  <c r="S99" i="7"/>
  <c r="U100" i="7"/>
  <c r="T196" i="7"/>
  <c r="S232" i="7"/>
  <c r="S153" i="7"/>
  <c r="R91" i="7"/>
  <c r="R197" i="7"/>
  <c r="S191" i="7"/>
  <c r="S197" i="7" l="1"/>
  <c r="T191" i="7"/>
  <c r="S189" i="7"/>
  <c r="T99" i="7"/>
  <c r="T153" i="7"/>
  <c r="S91" i="7"/>
  <c r="U196" i="7"/>
  <c r="T232" i="7"/>
  <c r="V100" i="7"/>
  <c r="V196" i="7" l="1"/>
  <c r="U232" i="7"/>
  <c r="T197" i="7"/>
  <c r="T49" i="7" s="1"/>
  <c r="U191" i="7"/>
  <c r="U153" i="7"/>
  <c r="T91" i="7"/>
  <c r="T189" i="7"/>
  <c r="U99" i="7"/>
  <c r="W100" i="7"/>
  <c r="U189" i="7" l="1"/>
  <c r="V99" i="7"/>
  <c r="V153" i="7"/>
  <c r="U91" i="7"/>
  <c r="U197" i="7"/>
  <c r="U49" i="7" s="1"/>
  <c r="U50" i="7" s="1"/>
  <c r="V191" i="7"/>
  <c r="T50" i="7"/>
  <c r="X100" i="7"/>
  <c r="V232" i="7"/>
  <c r="W196" i="7"/>
  <c r="T71" i="7" l="1"/>
  <c r="T73" i="7"/>
  <c r="W232" i="7"/>
  <c r="X196" i="7"/>
  <c r="W191" i="7"/>
  <c r="V197" i="7"/>
  <c r="V49" i="7" s="1"/>
  <c r="U71" i="7"/>
  <c r="U73" i="7"/>
  <c r="W153" i="7"/>
  <c r="V91" i="7"/>
  <c r="Y100" i="7"/>
  <c r="V189" i="7"/>
  <c r="W99" i="7"/>
  <c r="X232" i="7" l="1"/>
  <c r="Y196" i="7"/>
  <c r="AL211" i="7"/>
  <c r="T7" i="7"/>
  <c r="W189" i="7"/>
  <c r="X99" i="7"/>
  <c r="V50" i="7"/>
  <c r="X191" i="7"/>
  <c r="W197" i="7"/>
  <c r="W50" i="7" s="1"/>
  <c r="Z100" i="7"/>
  <c r="AM211" i="7"/>
  <c r="U7" i="7"/>
  <c r="T81" i="7"/>
  <c r="X153" i="7"/>
  <c r="W91" i="7"/>
  <c r="U81" i="7"/>
  <c r="X189" i="7" l="1"/>
  <c r="Y99" i="7"/>
  <c r="Y153" i="7"/>
  <c r="X91" i="7"/>
  <c r="X197" i="7"/>
  <c r="Y191" i="7"/>
  <c r="Z196" i="7"/>
  <c r="Y232" i="7"/>
  <c r="AA100" i="7"/>
  <c r="W73" i="7"/>
  <c r="W71" i="7"/>
  <c r="W81" i="7" s="1"/>
  <c r="V71" i="7"/>
  <c r="V73" i="7"/>
  <c r="Y197" i="7" l="1"/>
  <c r="Z191" i="7"/>
  <c r="AO211" i="7"/>
  <c r="W7" i="7"/>
  <c r="Z153" i="7"/>
  <c r="Y91" i="7"/>
  <c r="X50" i="7"/>
  <c r="AB100" i="7"/>
  <c r="AN211" i="7"/>
  <c r="V7" i="7"/>
  <c r="Y189" i="7"/>
  <c r="Z99" i="7"/>
  <c r="V81" i="7"/>
  <c r="AA196" i="7"/>
  <c r="Z232" i="7"/>
  <c r="X71" i="7" l="1"/>
  <c r="X73" i="7"/>
  <c r="Z189" i="7"/>
  <c r="AA99" i="7"/>
  <c r="AA153" i="7"/>
  <c r="Z91" i="7"/>
  <c r="AB196" i="7"/>
  <c r="AA232" i="7"/>
  <c r="Z197" i="7"/>
  <c r="Z49" i="7" s="1"/>
  <c r="AA191" i="7"/>
  <c r="AC100" i="7"/>
  <c r="AB153" i="7" l="1"/>
  <c r="AA91" i="7"/>
  <c r="AD100" i="7"/>
  <c r="Z50" i="7"/>
  <c r="AB232" i="7"/>
  <c r="AC196" i="7"/>
  <c r="AP211" i="7"/>
  <c r="X7" i="7"/>
  <c r="AA189" i="7"/>
  <c r="AB99" i="7"/>
  <c r="AA197" i="7"/>
  <c r="AA49" i="7" s="1"/>
  <c r="AA50" i="7" s="1"/>
  <c r="AB191" i="7"/>
  <c r="X81" i="7"/>
  <c r="AA71" i="7" l="1"/>
  <c r="AA73" i="7"/>
  <c r="Z71" i="7"/>
  <c r="Z73" i="7"/>
  <c r="AE100" i="7"/>
  <c r="AB189" i="7"/>
  <c r="AC99" i="7"/>
  <c r="AB197" i="7"/>
  <c r="AB49" i="7" s="1"/>
  <c r="AB50" i="7" s="1"/>
  <c r="AC191" i="7"/>
  <c r="AC232" i="7"/>
  <c r="AD196" i="7"/>
  <c r="AC153" i="7"/>
  <c r="AB91" i="7"/>
  <c r="AB71" i="7" l="1"/>
  <c r="AB73" i="7"/>
  <c r="AR211" i="7"/>
  <c r="Z7" i="7"/>
  <c r="AF100" i="7"/>
  <c r="Z81" i="7"/>
  <c r="AS211" i="7"/>
  <c r="AA7" i="7"/>
  <c r="AA81" i="7"/>
  <c r="AC197" i="7"/>
  <c r="AC49" i="7" s="1"/>
  <c r="AC50" i="7" s="1"/>
  <c r="AD191" i="7"/>
  <c r="AC189" i="7"/>
  <c r="AD99" i="7"/>
  <c r="AD153" i="7"/>
  <c r="AC91" i="7"/>
  <c r="AD232" i="7"/>
  <c r="AE196" i="7"/>
  <c r="AE191" i="7" l="1"/>
  <c r="AD197" i="7"/>
  <c r="AD49" i="7" s="1"/>
  <c r="AD50" i="7" s="1"/>
  <c r="AE232" i="7"/>
  <c r="AF196" i="7"/>
  <c r="AF232" i="7" s="1"/>
  <c r="AC73" i="7"/>
  <c r="AC71" i="7"/>
  <c r="AD189" i="7"/>
  <c r="AE99" i="7"/>
  <c r="AT211" i="7"/>
  <c r="AB7" i="7"/>
  <c r="AE153" i="7"/>
  <c r="AD91" i="7"/>
  <c r="AB81" i="7"/>
  <c r="AC81" i="7" l="1"/>
  <c r="AU211" i="7"/>
  <c r="AC7" i="7"/>
  <c r="AD71" i="7"/>
  <c r="AD73" i="7"/>
  <c r="AF153" i="7"/>
  <c r="AF91" i="7" s="1"/>
  <c r="AE91" i="7"/>
  <c r="AE189" i="7"/>
  <c r="AF99" i="7"/>
  <c r="AF189" i="7" s="1"/>
  <c r="AF191" i="7"/>
  <c r="AF197" i="7" s="1"/>
  <c r="AF49" i="7" s="1"/>
  <c r="AE197" i="7"/>
  <c r="AE49" i="7" s="1"/>
  <c r="AE50" i="7" s="1"/>
  <c r="AV211" i="7" l="1"/>
  <c r="AD7" i="7"/>
  <c r="AE73" i="7"/>
  <c r="AE71" i="7"/>
  <c r="AI91" i="7"/>
  <c r="AH91" i="7"/>
  <c r="AD81" i="7"/>
  <c r="AF50" i="7"/>
  <c r="AI49" i="7"/>
  <c r="AH49" i="7"/>
  <c r="AE81" i="7" l="1"/>
  <c r="AW211" i="7"/>
  <c r="AE7" i="7"/>
  <c r="AF71" i="7"/>
  <c r="AF73" i="7"/>
  <c r="AI50" i="7"/>
  <c r="AH50" i="7"/>
  <c r="AX211" i="7" l="1"/>
  <c r="AF7" i="7"/>
  <c r="A7" i="7" s="1"/>
  <c r="AH73" i="7"/>
  <c r="AI73" i="7"/>
  <c r="AF81" i="7"/>
  <c r="AH71" i="7"/>
  <c r="AI71" i="7"/>
  <c r="AI81" i="7" l="1"/>
  <c r="AH81" i="7"/>
  <c r="U35" i="6" l="1"/>
  <c r="U93" i="6"/>
  <c r="S35" i="6"/>
  <c r="R35" i="6"/>
  <c r="Q35" i="6"/>
  <c r="AJ14" i="6"/>
  <c r="AK14" i="6" s="1"/>
  <c r="AJ12" i="6"/>
  <c r="AK12" i="6" s="1"/>
  <c r="AJ11" i="6"/>
  <c r="AK11" i="6" s="1"/>
  <c r="AL2" i="6" s="1"/>
  <c r="O35" i="6"/>
  <c r="N35" i="6"/>
  <c r="M35" i="6"/>
  <c r="AL3" i="6" l="1"/>
  <c r="L66" i="6" l="1"/>
  <c r="L35" i="6"/>
  <c r="AK12" i="5"/>
  <c r="AH97" i="6" l="1"/>
  <c r="AI97" i="6" s="1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AF234" i="6"/>
  <c r="AE234" i="6"/>
  <c r="AD234" i="6"/>
  <c r="AC234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A234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C233" i="6"/>
  <c r="B233" i="6"/>
  <c r="A233" i="6"/>
  <c r="B232" i="6"/>
  <c r="S207" i="6"/>
  <c r="AG197" i="6"/>
  <c r="B197" i="6"/>
  <c r="D196" i="6"/>
  <c r="C196" i="6"/>
  <c r="C232" i="6" s="1"/>
  <c r="F195" i="6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D195" i="6"/>
  <c r="E195" i="6" s="1"/>
  <c r="C195" i="6"/>
  <c r="C194" i="6"/>
  <c r="D194" i="6" s="1"/>
  <c r="E194" i="6" s="1"/>
  <c r="F194" i="6" s="1"/>
  <c r="G194" i="6" s="1"/>
  <c r="H194" i="6" s="1"/>
  <c r="I194" i="6" s="1"/>
  <c r="J194" i="6" s="1"/>
  <c r="K194" i="6" s="1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W193" i="6"/>
  <c r="X193" i="6" s="1"/>
  <c r="Y193" i="6" s="1"/>
  <c r="Z193" i="6" s="1"/>
  <c r="AA193" i="6" s="1"/>
  <c r="AB193" i="6" s="1"/>
  <c r="AC193" i="6" s="1"/>
  <c r="AD193" i="6" s="1"/>
  <c r="AE193" i="6" s="1"/>
  <c r="AF193" i="6" s="1"/>
  <c r="E193" i="6"/>
  <c r="F193" i="6" s="1"/>
  <c r="G193" i="6" s="1"/>
  <c r="H193" i="6" s="1"/>
  <c r="I193" i="6" s="1"/>
  <c r="J193" i="6" s="1"/>
  <c r="K193" i="6" s="1"/>
  <c r="L193" i="6" s="1"/>
  <c r="M193" i="6" s="1"/>
  <c r="N193" i="6" s="1"/>
  <c r="O193" i="6" s="1"/>
  <c r="P193" i="6" s="1"/>
  <c r="Q193" i="6" s="1"/>
  <c r="R193" i="6" s="1"/>
  <c r="S193" i="6" s="1"/>
  <c r="T193" i="6" s="1"/>
  <c r="U193" i="6" s="1"/>
  <c r="V193" i="6" s="1"/>
  <c r="D193" i="6"/>
  <c r="C193" i="6"/>
  <c r="D192" i="6"/>
  <c r="E192" i="6" s="1"/>
  <c r="F192" i="6" s="1"/>
  <c r="G192" i="6" s="1"/>
  <c r="H192" i="6" s="1"/>
  <c r="I192" i="6" s="1"/>
  <c r="J192" i="6" s="1"/>
  <c r="K192" i="6" s="1"/>
  <c r="L192" i="6" s="1"/>
  <c r="M192" i="6" s="1"/>
  <c r="N192" i="6" s="1"/>
  <c r="O192" i="6" s="1"/>
  <c r="P192" i="6" s="1"/>
  <c r="Q192" i="6" s="1"/>
  <c r="R192" i="6" s="1"/>
  <c r="S192" i="6" s="1"/>
  <c r="T192" i="6" s="1"/>
  <c r="U192" i="6" s="1"/>
  <c r="V192" i="6" s="1"/>
  <c r="W192" i="6" s="1"/>
  <c r="X192" i="6" s="1"/>
  <c r="Y192" i="6" s="1"/>
  <c r="Z192" i="6" s="1"/>
  <c r="AA192" i="6" s="1"/>
  <c r="AB192" i="6" s="1"/>
  <c r="AC192" i="6" s="1"/>
  <c r="AD192" i="6" s="1"/>
  <c r="AE192" i="6" s="1"/>
  <c r="AF192" i="6" s="1"/>
  <c r="C192" i="6"/>
  <c r="D191" i="6"/>
  <c r="E191" i="6" s="1"/>
  <c r="C191" i="6"/>
  <c r="C197" i="6" s="1"/>
  <c r="AG189" i="6"/>
  <c r="B189" i="6"/>
  <c r="F188" i="6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D188" i="6"/>
  <c r="E188" i="6" s="1"/>
  <c r="C188" i="6"/>
  <c r="E187" i="6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D187" i="6"/>
  <c r="C187" i="6"/>
  <c r="C186" i="6"/>
  <c r="D186" i="6" s="1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D185" i="6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C185" i="6"/>
  <c r="D184" i="6"/>
  <c r="E184" i="6" s="1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C184" i="6"/>
  <c r="T183" i="6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E183" i="6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D183" i="6"/>
  <c r="C183" i="6"/>
  <c r="D182" i="6"/>
  <c r="E182" i="6" s="1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C182" i="6"/>
  <c r="K181" i="6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D181" i="6"/>
  <c r="E181" i="6" s="1"/>
  <c r="F181" i="6" s="1"/>
  <c r="G181" i="6" s="1"/>
  <c r="H181" i="6" s="1"/>
  <c r="I181" i="6" s="1"/>
  <c r="J181" i="6" s="1"/>
  <c r="C181" i="6"/>
  <c r="D180" i="6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C180" i="6"/>
  <c r="E179" i="6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D179" i="6"/>
  <c r="C179" i="6"/>
  <c r="R178" i="6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F178" i="6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D178" i="6"/>
  <c r="E178" i="6" s="1"/>
  <c r="C178" i="6"/>
  <c r="I177" i="6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D177" i="6"/>
  <c r="E177" i="6" s="1"/>
  <c r="F177" i="6" s="1"/>
  <c r="G177" i="6" s="1"/>
  <c r="H177" i="6" s="1"/>
  <c r="C177" i="6"/>
  <c r="C176" i="6"/>
  <c r="D176" i="6" s="1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D174" i="6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C174" i="6"/>
  <c r="M173" i="6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D173" i="6"/>
  <c r="E173" i="6" s="1"/>
  <c r="F173" i="6" s="1"/>
  <c r="G173" i="6" s="1"/>
  <c r="H173" i="6" s="1"/>
  <c r="I173" i="6" s="1"/>
  <c r="J173" i="6" s="1"/>
  <c r="K173" i="6" s="1"/>
  <c r="L173" i="6" s="1"/>
  <c r="C173" i="6"/>
  <c r="H172" i="6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F172" i="6"/>
  <c r="G172" i="6" s="1"/>
  <c r="D172" i="6"/>
  <c r="E172" i="6" s="1"/>
  <c r="C172" i="6"/>
  <c r="D171" i="6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C171" i="6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C170" i="6"/>
  <c r="F169" i="6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E169" i="6"/>
  <c r="D169" i="6"/>
  <c r="C169" i="6"/>
  <c r="X168" i="6"/>
  <c r="Y168" i="6" s="1"/>
  <c r="Z168" i="6" s="1"/>
  <c r="AA168" i="6" s="1"/>
  <c r="AB168" i="6" s="1"/>
  <c r="AC168" i="6" s="1"/>
  <c r="AD168" i="6" s="1"/>
  <c r="AE168" i="6" s="1"/>
  <c r="AF168" i="6" s="1"/>
  <c r="D168" i="6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C168" i="6"/>
  <c r="D167" i="6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C167" i="6"/>
  <c r="AF165" i="6"/>
  <c r="D165" i="6"/>
  <c r="E165" i="6" s="1"/>
  <c r="F165" i="6" s="1"/>
  <c r="G165" i="6" s="1"/>
  <c r="H165" i="6" s="1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C165" i="6"/>
  <c r="D164" i="6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C164" i="6"/>
  <c r="H163" i="6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D163" i="6"/>
  <c r="E163" i="6" s="1"/>
  <c r="F163" i="6" s="1"/>
  <c r="G163" i="6" s="1"/>
  <c r="C163" i="6"/>
  <c r="J162" i="6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F162" i="6"/>
  <c r="G162" i="6" s="1"/>
  <c r="H162" i="6" s="1"/>
  <c r="I162" i="6" s="1"/>
  <c r="E162" i="6"/>
  <c r="D162" i="6"/>
  <c r="C162" i="6"/>
  <c r="J161" i="6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C161" i="6"/>
  <c r="D161" i="6" s="1"/>
  <c r="E161" i="6" s="1"/>
  <c r="F161" i="6" s="1"/>
  <c r="G161" i="6" s="1"/>
  <c r="H161" i="6" s="1"/>
  <c r="I161" i="6" s="1"/>
  <c r="X160" i="6"/>
  <c r="Y160" i="6" s="1"/>
  <c r="Z160" i="6" s="1"/>
  <c r="AA160" i="6" s="1"/>
  <c r="AB160" i="6" s="1"/>
  <c r="AC160" i="6" s="1"/>
  <c r="AD160" i="6" s="1"/>
  <c r="AE160" i="6" s="1"/>
  <c r="AF160" i="6" s="1"/>
  <c r="D160" i="6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C160" i="6"/>
  <c r="D159" i="6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C159" i="6"/>
  <c r="T158" i="6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C158" i="6"/>
  <c r="D158" i="6" s="1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C157" i="6"/>
  <c r="D157" i="6" s="1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L156" i="6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D156" i="6"/>
  <c r="E156" i="6" s="1"/>
  <c r="F156" i="6" s="1"/>
  <c r="G156" i="6" s="1"/>
  <c r="H156" i="6" s="1"/>
  <c r="I156" i="6" s="1"/>
  <c r="J156" i="6" s="1"/>
  <c r="K156" i="6" s="1"/>
  <c r="C156" i="6"/>
  <c r="C155" i="6"/>
  <c r="D155" i="6" s="1"/>
  <c r="E155" i="6" s="1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R154" i="6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C154" i="6"/>
  <c r="D154" i="6" s="1"/>
  <c r="E154" i="6" s="1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C153" i="6"/>
  <c r="D153" i="6" s="1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H151" i="6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C151" i="6"/>
  <c r="D151" i="6" s="1"/>
  <c r="E151" i="6" s="1"/>
  <c r="F151" i="6" s="1"/>
  <c r="G151" i="6" s="1"/>
  <c r="N150" i="6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C150" i="6"/>
  <c r="D150" i="6" s="1"/>
  <c r="E150" i="6" s="1"/>
  <c r="F150" i="6" s="1"/>
  <c r="G150" i="6" s="1"/>
  <c r="H150" i="6" s="1"/>
  <c r="I150" i="6" s="1"/>
  <c r="J150" i="6" s="1"/>
  <c r="K150" i="6" s="1"/>
  <c r="L150" i="6" s="1"/>
  <c r="M150" i="6" s="1"/>
  <c r="T149" i="6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L149" i="6"/>
  <c r="M149" i="6" s="1"/>
  <c r="N149" i="6" s="1"/>
  <c r="O149" i="6" s="1"/>
  <c r="P149" i="6" s="1"/>
  <c r="Q149" i="6" s="1"/>
  <c r="R149" i="6" s="1"/>
  <c r="S149" i="6" s="1"/>
  <c r="D149" i="6"/>
  <c r="E149" i="6" s="1"/>
  <c r="F149" i="6" s="1"/>
  <c r="G149" i="6" s="1"/>
  <c r="H149" i="6" s="1"/>
  <c r="I149" i="6" s="1"/>
  <c r="J149" i="6" s="1"/>
  <c r="K149" i="6" s="1"/>
  <c r="C149" i="6"/>
  <c r="Z148" i="6"/>
  <c r="AA148" i="6" s="1"/>
  <c r="AB148" i="6" s="1"/>
  <c r="AC148" i="6" s="1"/>
  <c r="AD148" i="6" s="1"/>
  <c r="AE148" i="6" s="1"/>
  <c r="AF148" i="6" s="1"/>
  <c r="J148" i="6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C148" i="6"/>
  <c r="D148" i="6" s="1"/>
  <c r="E148" i="6" s="1"/>
  <c r="F148" i="6" s="1"/>
  <c r="G148" i="6" s="1"/>
  <c r="H148" i="6" s="1"/>
  <c r="I148" i="6" s="1"/>
  <c r="C146" i="6"/>
  <c r="D146" i="6" s="1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F145" i="6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C145" i="6"/>
  <c r="D145" i="6" s="1"/>
  <c r="E145" i="6" s="1"/>
  <c r="L143" i="6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D143" i="6"/>
  <c r="E143" i="6" s="1"/>
  <c r="F143" i="6" s="1"/>
  <c r="G143" i="6" s="1"/>
  <c r="H143" i="6" s="1"/>
  <c r="I143" i="6" s="1"/>
  <c r="J143" i="6" s="1"/>
  <c r="K143" i="6" s="1"/>
  <c r="C143" i="6"/>
  <c r="C142" i="6"/>
  <c r="D142" i="6" s="1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D141" i="6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C141" i="6"/>
  <c r="W140" i="6"/>
  <c r="X140" i="6" s="1"/>
  <c r="Y140" i="6" s="1"/>
  <c r="Z140" i="6" s="1"/>
  <c r="AA140" i="6" s="1"/>
  <c r="AB140" i="6" s="1"/>
  <c r="AC140" i="6" s="1"/>
  <c r="AD140" i="6" s="1"/>
  <c r="AE140" i="6" s="1"/>
  <c r="AF140" i="6" s="1"/>
  <c r="C140" i="6"/>
  <c r="D140" i="6" s="1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M139" i="6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D139" i="6"/>
  <c r="E139" i="6" s="1"/>
  <c r="F139" i="6" s="1"/>
  <c r="G139" i="6" s="1"/>
  <c r="H139" i="6" s="1"/>
  <c r="I139" i="6" s="1"/>
  <c r="J139" i="6" s="1"/>
  <c r="K139" i="6" s="1"/>
  <c r="L139" i="6" s="1"/>
  <c r="C139" i="6"/>
  <c r="C138" i="6"/>
  <c r="D138" i="6" s="1"/>
  <c r="E138" i="6" s="1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C137" i="6"/>
  <c r="D137" i="6" s="1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M135" i="6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C135" i="6"/>
  <c r="D135" i="6" s="1"/>
  <c r="E135" i="6" s="1"/>
  <c r="F135" i="6" s="1"/>
  <c r="G135" i="6" s="1"/>
  <c r="H135" i="6" s="1"/>
  <c r="I135" i="6" s="1"/>
  <c r="J135" i="6" s="1"/>
  <c r="K135" i="6" s="1"/>
  <c r="L135" i="6" s="1"/>
  <c r="D134" i="6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C134" i="6"/>
  <c r="C133" i="6"/>
  <c r="D133" i="6" s="1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O132" i="6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C132" i="6"/>
  <c r="D132" i="6" s="1"/>
  <c r="E132" i="6" s="1"/>
  <c r="F132" i="6" s="1"/>
  <c r="G132" i="6" s="1"/>
  <c r="H132" i="6" s="1"/>
  <c r="I132" i="6" s="1"/>
  <c r="J132" i="6" s="1"/>
  <c r="K132" i="6" s="1"/>
  <c r="L132" i="6" s="1"/>
  <c r="M132" i="6" s="1"/>
  <c r="N132" i="6" s="1"/>
  <c r="C131" i="6"/>
  <c r="D131" i="6" s="1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C130" i="6"/>
  <c r="D130" i="6" s="1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E129" i="6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C129" i="6"/>
  <c r="D129" i="6" s="1"/>
  <c r="C128" i="6"/>
  <c r="D128" i="6" s="1"/>
  <c r="E128" i="6" s="1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C126" i="6"/>
  <c r="D126" i="6" s="1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D125" i="6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C125" i="6"/>
  <c r="D124" i="6"/>
  <c r="E124" i="6" s="1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C124" i="6"/>
  <c r="E123" i="6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C123" i="6"/>
  <c r="D123" i="6" s="1"/>
  <c r="C122" i="6"/>
  <c r="D122" i="6" s="1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C121" i="6"/>
  <c r="D121" i="6" s="1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C120" i="6"/>
  <c r="D120" i="6" s="1"/>
  <c r="E120" i="6" s="1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C119" i="6"/>
  <c r="D119" i="6" s="1"/>
  <c r="E119" i="6" s="1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E118" i="6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D118" i="6"/>
  <c r="C118" i="6"/>
  <c r="D117" i="6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C117" i="6"/>
  <c r="I116" i="6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D116" i="6"/>
  <c r="E116" i="6" s="1"/>
  <c r="F116" i="6" s="1"/>
  <c r="G116" i="6" s="1"/>
  <c r="H116" i="6" s="1"/>
  <c r="C116" i="6"/>
  <c r="F115" i="6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D115" i="6"/>
  <c r="E115" i="6" s="1"/>
  <c r="C115" i="6"/>
  <c r="D114" i="6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C114" i="6"/>
  <c r="C113" i="6"/>
  <c r="D113" i="6" s="1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D112" i="6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C112" i="6"/>
  <c r="J111" i="6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E111" i="6"/>
  <c r="F111" i="6" s="1"/>
  <c r="G111" i="6" s="1"/>
  <c r="H111" i="6" s="1"/>
  <c r="C111" i="6"/>
  <c r="D111" i="6" s="1"/>
  <c r="D110" i="6"/>
  <c r="E110" i="6" s="1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C110" i="6"/>
  <c r="R109" i="6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E109" i="6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C109" i="6"/>
  <c r="D109" i="6" s="1"/>
  <c r="S107" i="6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J107" i="6"/>
  <c r="K107" i="6" s="1"/>
  <c r="L107" i="6" s="1"/>
  <c r="M107" i="6" s="1"/>
  <c r="N107" i="6" s="1"/>
  <c r="O107" i="6" s="1"/>
  <c r="P107" i="6" s="1"/>
  <c r="Q107" i="6" s="1"/>
  <c r="R107" i="6" s="1"/>
  <c r="C107" i="6"/>
  <c r="D107" i="6" s="1"/>
  <c r="E107" i="6" s="1"/>
  <c r="F107" i="6" s="1"/>
  <c r="G107" i="6" s="1"/>
  <c r="H107" i="6" s="1"/>
  <c r="I107" i="6" s="1"/>
  <c r="E106" i="6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D106" i="6"/>
  <c r="C106" i="6"/>
  <c r="M104" i="6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E104" i="6"/>
  <c r="F104" i="6" s="1"/>
  <c r="G104" i="6" s="1"/>
  <c r="H104" i="6" s="1"/>
  <c r="I104" i="6" s="1"/>
  <c r="J104" i="6" s="1"/>
  <c r="K104" i="6" s="1"/>
  <c r="L104" i="6" s="1"/>
  <c r="C104" i="6"/>
  <c r="D104" i="6" s="1"/>
  <c r="S103" i="6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K103" i="6"/>
  <c r="L103" i="6" s="1"/>
  <c r="M103" i="6" s="1"/>
  <c r="N103" i="6" s="1"/>
  <c r="O103" i="6" s="1"/>
  <c r="P103" i="6" s="1"/>
  <c r="Q103" i="6" s="1"/>
  <c r="R103" i="6" s="1"/>
  <c r="C103" i="6"/>
  <c r="D103" i="6" s="1"/>
  <c r="E103" i="6" s="1"/>
  <c r="F103" i="6" s="1"/>
  <c r="G103" i="6" s="1"/>
  <c r="H103" i="6" s="1"/>
  <c r="I103" i="6" s="1"/>
  <c r="J103" i="6" s="1"/>
  <c r="Q102" i="6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I102" i="6"/>
  <c r="J102" i="6" s="1"/>
  <c r="K102" i="6" s="1"/>
  <c r="L102" i="6" s="1"/>
  <c r="M102" i="6" s="1"/>
  <c r="N102" i="6" s="1"/>
  <c r="O102" i="6" s="1"/>
  <c r="P102" i="6" s="1"/>
  <c r="C102" i="6"/>
  <c r="D102" i="6" s="1"/>
  <c r="E102" i="6" s="1"/>
  <c r="F102" i="6" s="1"/>
  <c r="G102" i="6" s="1"/>
  <c r="H102" i="6" s="1"/>
  <c r="E101" i="6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D101" i="6"/>
  <c r="C101" i="6"/>
  <c r="E100" i="6"/>
  <c r="F100" i="6" s="1"/>
  <c r="C100" i="6"/>
  <c r="D100" i="6" s="1"/>
  <c r="D91" i="6" s="1"/>
  <c r="C99" i="6"/>
  <c r="AH96" i="6"/>
  <c r="AI96" i="6" s="1"/>
  <c r="AH95" i="6"/>
  <c r="AI95" i="6" s="1"/>
  <c r="AH94" i="6"/>
  <c r="AI94" i="6" s="1"/>
  <c r="AH93" i="6"/>
  <c r="AI93" i="6" s="1"/>
  <c r="AH92" i="6"/>
  <c r="AI92" i="6" s="1"/>
  <c r="C91" i="6"/>
  <c r="B91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G80" i="6"/>
  <c r="AI79" i="6"/>
  <c r="AH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F75" i="6"/>
  <c r="AE75" i="6"/>
  <c r="AD75" i="6"/>
  <c r="AC75" i="6"/>
  <c r="AB75" i="6"/>
  <c r="AA75" i="6"/>
  <c r="Z75" i="6"/>
  <c r="Y75" i="6"/>
  <c r="X75" i="6"/>
  <c r="W75" i="6"/>
  <c r="W80" i="6" s="1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F74" i="6"/>
  <c r="AF80" i="6" s="1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J80" i="6" s="1"/>
  <c r="I74" i="6"/>
  <c r="H74" i="6"/>
  <c r="G74" i="6"/>
  <c r="F74" i="6"/>
  <c r="E74" i="6"/>
  <c r="D74" i="6"/>
  <c r="C74" i="6"/>
  <c r="C80" i="6" s="1"/>
  <c r="B74" i="6"/>
  <c r="AI72" i="6"/>
  <c r="AH72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I69" i="6"/>
  <c r="AH69" i="6"/>
  <c r="AI68" i="6"/>
  <c r="AH68" i="6"/>
  <c r="AI67" i="6"/>
  <c r="AH67" i="6"/>
  <c r="AG66" i="6"/>
  <c r="AG71" i="6" s="1"/>
  <c r="AF66" i="6"/>
  <c r="AE66" i="6"/>
  <c r="AD66" i="6"/>
  <c r="AC66" i="6"/>
  <c r="AB66" i="6"/>
  <c r="AA66" i="6"/>
  <c r="Z66" i="6"/>
  <c r="Y66" i="6"/>
  <c r="Y5" i="6" s="1"/>
  <c r="X66" i="6"/>
  <c r="W66" i="6"/>
  <c r="V66" i="6"/>
  <c r="U66" i="6"/>
  <c r="T66" i="6"/>
  <c r="S66" i="6"/>
  <c r="R66" i="6"/>
  <c r="Q66" i="6"/>
  <c r="P66" i="6"/>
  <c r="O66" i="6"/>
  <c r="N66" i="6"/>
  <c r="M66" i="6"/>
  <c r="M5" i="6" s="1"/>
  <c r="L5" i="6"/>
  <c r="K66" i="6"/>
  <c r="J66" i="6"/>
  <c r="I66" i="6"/>
  <c r="H66" i="6"/>
  <c r="G66" i="6"/>
  <c r="F66" i="6"/>
  <c r="E66" i="6"/>
  <c r="D66" i="6"/>
  <c r="D5" i="6" s="1"/>
  <c r="C66" i="6"/>
  <c r="B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I53" i="6"/>
  <c r="AH53" i="6"/>
  <c r="AI52" i="6"/>
  <c r="AH52" i="6"/>
  <c r="AI51" i="6"/>
  <c r="AH51" i="6"/>
  <c r="AG50" i="6"/>
  <c r="Y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G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G36" i="6"/>
  <c r="AG2" i="6" s="1"/>
  <c r="AG6" i="6" s="1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E5" i="6"/>
  <c r="AD5" i="6"/>
  <c r="AC5" i="6"/>
  <c r="AB5" i="6"/>
  <c r="AA5" i="6"/>
  <c r="Z5" i="6"/>
  <c r="W5" i="6"/>
  <c r="V5" i="6"/>
  <c r="U5" i="6"/>
  <c r="T5" i="6"/>
  <c r="S5" i="6"/>
  <c r="R5" i="6"/>
  <c r="Q5" i="6"/>
  <c r="O5" i="6"/>
  <c r="N5" i="6"/>
  <c r="K5" i="6"/>
  <c r="J5" i="6"/>
  <c r="I5" i="6"/>
  <c r="G5" i="6"/>
  <c r="F5" i="6"/>
  <c r="E5" i="6"/>
  <c r="C5" i="6"/>
  <c r="B5" i="6"/>
  <c r="AG4" i="6"/>
  <c r="K4" i="6"/>
  <c r="B4" i="6"/>
  <c r="AG3" i="6"/>
  <c r="E4" i="6"/>
  <c r="AE80" i="6" l="1"/>
  <c r="AC80" i="6"/>
  <c r="AA80" i="6"/>
  <c r="Z80" i="6"/>
  <c r="Y80" i="6"/>
  <c r="Y71" i="6"/>
  <c r="X80" i="6"/>
  <c r="U80" i="6"/>
  <c r="R80" i="6"/>
  <c r="S80" i="6"/>
  <c r="R73" i="6"/>
  <c r="AJ211" i="6" s="1"/>
  <c r="R71" i="6"/>
  <c r="S71" i="6"/>
  <c r="Q80" i="6"/>
  <c r="Q71" i="6"/>
  <c r="P80" i="6"/>
  <c r="O80" i="6"/>
  <c r="O73" i="6"/>
  <c r="AG211" i="6" s="1"/>
  <c r="O71" i="6"/>
  <c r="N71" i="6"/>
  <c r="N73" i="6"/>
  <c r="N7" i="6" s="1"/>
  <c r="M80" i="6"/>
  <c r="M73" i="6"/>
  <c r="M7" i="6" s="1"/>
  <c r="L71" i="6"/>
  <c r="L73" i="6"/>
  <c r="AD211" i="6" s="1"/>
  <c r="K80" i="6"/>
  <c r="AI75" i="6"/>
  <c r="K71" i="6"/>
  <c r="J73" i="6"/>
  <c r="J7" i="6" s="1"/>
  <c r="J71" i="6"/>
  <c r="J81" i="6" s="1"/>
  <c r="I80" i="6"/>
  <c r="I71" i="6"/>
  <c r="H80" i="6"/>
  <c r="G80" i="6"/>
  <c r="G71" i="6"/>
  <c r="G73" i="6"/>
  <c r="Y211" i="6" s="1"/>
  <c r="F71" i="6"/>
  <c r="F73" i="6"/>
  <c r="E80" i="6"/>
  <c r="E73" i="6"/>
  <c r="E7" i="6" s="1"/>
  <c r="AI76" i="6"/>
  <c r="AI77" i="6"/>
  <c r="D71" i="6"/>
  <c r="D73" i="6"/>
  <c r="V211" i="6" s="1"/>
  <c r="AH75" i="6"/>
  <c r="B71" i="6"/>
  <c r="B73" i="6" s="1"/>
  <c r="B81" i="6" s="1"/>
  <c r="C71" i="6"/>
  <c r="H4" i="6"/>
  <c r="AI74" i="6"/>
  <c r="C189" i="6"/>
  <c r="D99" i="6"/>
  <c r="AI54" i="6"/>
  <c r="D80" i="6"/>
  <c r="AB80" i="6"/>
  <c r="T80" i="6"/>
  <c r="H73" i="6"/>
  <c r="AH36" i="6"/>
  <c r="L80" i="6"/>
  <c r="AI36" i="6"/>
  <c r="L7" i="6"/>
  <c r="P73" i="6"/>
  <c r="F80" i="6"/>
  <c r="N80" i="6"/>
  <c r="V80" i="6"/>
  <c r="AD80" i="6"/>
  <c r="AH78" i="6"/>
  <c r="H5" i="6"/>
  <c r="H71" i="6"/>
  <c r="P5" i="6"/>
  <c r="P71" i="6"/>
  <c r="X5" i="6"/>
  <c r="AF5" i="6"/>
  <c r="G100" i="6"/>
  <c r="AI78" i="6"/>
  <c r="E71" i="6"/>
  <c r="M71" i="6"/>
  <c r="M81" i="6" s="1"/>
  <c r="I73" i="6"/>
  <c r="Q73" i="6"/>
  <c r="Y73" i="6"/>
  <c r="AG73" i="6"/>
  <c r="AG81" i="6" s="1"/>
  <c r="D208" i="6"/>
  <c r="S208" i="6"/>
  <c r="C73" i="6"/>
  <c r="K73" i="6"/>
  <c r="S73" i="6"/>
  <c r="AH74" i="6"/>
  <c r="B80" i="6"/>
  <c r="AH54" i="6"/>
  <c r="AH66" i="6"/>
  <c r="AH70" i="6"/>
  <c r="AI66" i="6"/>
  <c r="AI70" i="6"/>
  <c r="AH76" i="6"/>
  <c r="AH77" i="6"/>
  <c r="E196" i="6"/>
  <c r="E197" i="6" s="1"/>
  <c r="D232" i="6"/>
  <c r="F191" i="6"/>
  <c r="D197" i="6"/>
  <c r="R81" i="6" l="1"/>
  <c r="R7" i="6"/>
  <c r="P81" i="6"/>
  <c r="O7" i="6"/>
  <c r="O81" i="6"/>
  <c r="AF211" i="6"/>
  <c r="N81" i="6"/>
  <c r="AE211" i="6"/>
  <c r="L81" i="6"/>
  <c r="AB211" i="6"/>
  <c r="I81" i="6"/>
  <c r="H81" i="6"/>
  <c r="G7" i="6"/>
  <c r="B206" i="6"/>
  <c r="G81" i="6"/>
  <c r="X211" i="6"/>
  <c r="F81" i="6"/>
  <c r="F7" i="6"/>
  <c r="E81" i="6"/>
  <c r="W211" i="6"/>
  <c r="D7" i="6"/>
  <c r="D81" i="6"/>
  <c r="C81" i="6"/>
  <c r="G191" i="6"/>
  <c r="AK211" i="6"/>
  <c r="S7" i="6"/>
  <c r="AH211" i="6"/>
  <c r="P7" i="6"/>
  <c r="AC211" i="6"/>
  <c r="K7" i="6"/>
  <c r="Z211" i="6"/>
  <c r="H7" i="6"/>
  <c r="K81" i="6"/>
  <c r="U211" i="6"/>
  <c r="C7" i="6"/>
  <c r="AQ211" i="6"/>
  <c r="Y7" i="6"/>
  <c r="D189" i="6"/>
  <c r="E99" i="6"/>
  <c r="E232" i="6"/>
  <c r="F196" i="6"/>
  <c r="E91" i="6"/>
  <c r="AI211" i="6"/>
  <c r="Q7" i="6"/>
  <c r="AA211" i="6"/>
  <c r="I7" i="6"/>
  <c r="T211" i="6"/>
  <c r="B7" i="6"/>
  <c r="AI80" i="6"/>
  <c r="AH80" i="6"/>
  <c r="Y81" i="6"/>
  <c r="H100" i="6"/>
  <c r="Q81" i="6"/>
  <c r="S81" i="6"/>
  <c r="C206" i="6"/>
  <c r="K6" i="6" s="1"/>
  <c r="F232" i="6" l="1"/>
  <c r="G196" i="6"/>
  <c r="F91" i="6"/>
  <c r="E189" i="6"/>
  <c r="F99" i="6"/>
  <c r="F197" i="6"/>
  <c r="I100" i="6"/>
  <c r="H191" i="6"/>
  <c r="I191" i="6" l="1"/>
  <c r="H196" i="6"/>
  <c r="G232" i="6"/>
  <c r="G91" i="6"/>
  <c r="G197" i="6"/>
  <c r="H91" i="6"/>
  <c r="J100" i="6"/>
  <c r="F189" i="6"/>
  <c r="G99" i="6"/>
  <c r="I196" i="6" l="1"/>
  <c r="H232" i="6"/>
  <c r="I197" i="6"/>
  <c r="J191" i="6"/>
  <c r="K100" i="6"/>
  <c r="H197" i="6"/>
  <c r="G189" i="6"/>
  <c r="H99" i="6"/>
  <c r="K191" i="6" l="1"/>
  <c r="L100" i="6"/>
  <c r="H189" i="6"/>
  <c r="I99" i="6"/>
  <c r="J196" i="6"/>
  <c r="I232" i="6"/>
  <c r="I91" i="6"/>
  <c r="J232" i="6" l="1"/>
  <c r="K196" i="6"/>
  <c r="J91" i="6"/>
  <c r="I189" i="6"/>
  <c r="J99" i="6"/>
  <c r="M100" i="6"/>
  <c r="L191" i="6"/>
  <c r="J197" i="6"/>
  <c r="M191" i="6" l="1"/>
  <c r="N100" i="6"/>
  <c r="J189" i="6"/>
  <c r="K99" i="6"/>
  <c r="L196" i="6"/>
  <c r="K232" i="6"/>
  <c r="K91" i="6"/>
  <c r="K197" i="6"/>
  <c r="K189" i="6" l="1"/>
  <c r="L99" i="6"/>
  <c r="L232" i="6"/>
  <c r="M196" i="6"/>
  <c r="M197" i="6" s="1"/>
  <c r="L91" i="6"/>
  <c r="O100" i="6"/>
  <c r="L197" i="6"/>
  <c r="N191" i="6"/>
  <c r="L189" i="6" l="1"/>
  <c r="M99" i="6"/>
  <c r="P100" i="6"/>
  <c r="N196" i="6"/>
  <c r="M232" i="6"/>
  <c r="M91" i="6"/>
  <c r="O191" i="6"/>
  <c r="P191" i="6" l="1"/>
  <c r="N232" i="6"/>
  <c r="O196" i="6"/>
  <c r="O197" i="6" s="1"/>
  <c r="N91" i="6"/>
  <c r="Q100" i="6"/>
  <c r="M189" i="6"/>
  <c r="N99" i="6"/>
  <c r="N197" i="6"/>
  <c r="R100" i="6" l="1"/>
  <c r="P196" i="6"/>
  <c r="O232" i="6"/>
  <c r="O91" i="6"/>
  <c r="N189" i="6"/>
  <c r="O99" i="6"/>
  <c r="P197" i="6"/>
  <c r="Q191" i="6"/>
  <c r="O189" i="6" l="1"/>
  <c r="P99" i="6"/>
  <c r="Q196" i="6"/>
  <c r="P232" i="6"/>
  <c r="P91" i="6"/>
  <c r="Q197" i="6"/>
  <c r="R191" i="6"/>
  <c r="S100" i="6"/>
  <c r="S191" i="6" l="1"/>
  <c r="R196" i="6"/>
  <c r="Q232" i="6"/>
  <c r="Q91" i="6"/>
  <c r="P189" i="6"/>
  <c r="Q99" i="6"/>
  <c r="T100" i="6"/>
  <c r="U100" i="6" l="1"/>
  <c r="S196" i="6"/>
  <c r="R232" i="6"/>
  <c r="R91" i="6"/>
  <c r="S197" i="6"/>
  <c r="T191" i="6"/>
  <c r="Q189" i="6"/>
  <c r="R99" i="6"/>
  <c r="R197" i="6"/>
  <c r="V100" i="6" l="1"/>
  <c r="U191" i="6"/>
  <c r="S232" i="6"/>
  <c r="T196" i="6"/>
  <c r="S91" i="6"/>
  <c r="R189" i="6"/>
  <c r="S99" i="6"/>
  <c r="U196" i="6" l="1"/>
  <c r="T232" i="6"/>
  <c r="T197" i="6"/>
  <c r="T49" i="6" s="1"/>
  <c r="V191" i="6"/>
  <c r="U197" i="6"/>
  <c r="U49" i="6" s="1"/>
  <c r="U50" i="6" s="1"/>
  <c r="T91" i="6"/>
  <c r="S189" i="6"/>
  <c r="T99" i="6"/>
  <c r="W100" i="6"/>
  <c r="U71" i="6" l="1"/>
  <c r="U73" i="6"/>
  <c r="T189" i="6"/>
  <c r="U99" i="6"/>
  <c r="W191" i="6"/>
  <c r="V197" i="6"/>
  <c r="V49" i="6" s="1"/>
  <c r="V50" i="6" s="1"/>
  <c r="T50" i="6"/>
  <c r="X100" i="6"/>
  <c r="U232" i="6"/>
  <c r="V196" i="6"/>
  <c r="U91" i="6"/>
  <c r="T71" i="6" l="1"/>
  <c r="T73" i="6"/>
  <c r="Y100" i="6"/>
  <c r="AM211" i="6"/>
  <c r="U7" i="6"/>
  <c r="V71" i="6"/>
  <c r="V73" i="6"/>
  <c r="V232" i="6"/>
  <c r="W196" i="6"/>
  <c r="V91" i="6"/>
  <c r="W197" i="6"/>
  <c r="X191" i="6"/>
  <c r="U189" i="6"/>
  <c r="V99" i="6"/>
  <c r="U81" i="6"/>
  <c r="Y191" i="6" l="1"/>
  <c r="W50" i="6"/>
  <c r="Z100" i="6"/>
  <c r="AL211" i="6"/>
  <c r="T7" i="6"/>
  <c r="W232" i="6"/>
  <c r="X196" i="6"/>
  <c r="W91" i="6"/>
  <c r="AN211" i="6"/>
  <c r="V7" i="6"/>
  <c r="V189" i="6"/>
  <c r="W99" i="6"/>
  <c r="V81" i="6"/>
  <c r="T81" i="6"/>
  <c r="W71" i="6" l="1"/>
  <c r="W73" i="6"/>
  <c r="W189" i="6"/>
  <c r="X99" i="6"/>
  <c r="Z191" i="6"/>
  <c r="AA100" i="6"/>
  <c r="Y196" i="6"/>
  <c r="X232" i="6"/>
  <c r="X91" i="6"/>
  <c r="X197" i="6"/>
  <c r="X49" i="6" s="1"/>
  <c r="X189" i="6" l="1"/>
  <c r="Y99" i="6"/>
  <c r="W81" i="6"/>
  <c r="Y232" i="6"/>
  <c r="Z196" i="6"/>
  <c r="Y91" i="6"/>
  <c r="AB100" i="6"/>
  <c r="AO211" i="6"/>
  <c r="W7" i="6"/>
  <c r="Z197" i="6"/>
  <c r="Z49" i="6" s="1"/>
  <c r="Z50" i="6" s="1"/>
  <c r="AA191" i="6"/>
  <c r="X50" i="6"/>
  <c r="Y197" i="6"/>
  <c r="AB191" i="6" l="1"/>
  <c r="Z73" i="6"/>
  <c r="Z71" i="6"/>
  <c r="Z81" i="6" s="1"/>
  <c r="AA196" i="6"/>
  <c r="AA197" i="6" s="1"/>
  <c r="AA49" i="6" s="1"/>
  <c r="Z232" i="6"/>
  <c r="Z91" i="6"/>
  <c r="Y189" i="6"/>
  <c r="Z99" i="6"/>
  <c r="X71" i="6"/>
  <c r="X73" i="6"/>
  <c r="AC100" i="6"/>
  <c r="AA50" i="6" l="1"/>
  <c r="X81" i="6"/>
  <c r="Z189" i="6"/>
  <c r="AA99" i="6"/>
  <c r="AA91" i="6"/>
  <c r="AR211" i="6"/>
  <c r="Z7" i="6"/>
  <c r="AB196" i="6"/>
  <c r="AA232" i="6"/>
  <c r="AD100" i="6"/>
  <c r="AP211" i="6"/>
  <c r="X7" i="6"/>
  <c r="AB197" i="6"/>
  <c r="AB49" i="6" s="1"/>
  <c r="AB50" i="6" s="1"/>
  <c r="AC191" i="6"/>
  <c r="AA189" i="6" l="1"/>
  <c r="AB99" i="6"/>
  <c r="AE100" i="6"/>
  <c r="AD191" i="6"/>
  <c r="AB232" i="6"/>
  <c r="AC196" i="6"/>
  <c r="AB91" i="6"/>
  <c r="AB71" i="6"/>
  <c r="AB73" i="6"/>
  <c r="AA71" i="6"/>
  <c r="AA73" i="6"/>
  <c r="S35" i="5"/>
  <c r="AA81" i="6" l="1"/>
  <c r="AC232" i="6"/>
  <c r="AD196" i="6"/>
  <c r="AC91" i="6"/>
  <c r="AT211" i="6"/>
  <c r="AB7" i="6"/>
  <c r="AF100" i="6"/>
  <c r="AS211" i="6"/>
  <c r="AA7" i="6"/>
  <c r="AC197" i="6"/>
  <c r="AC49" i="6" s="1"/>
  <c r="AC50" i="6" s="1"/>
  <c r="AE191" i="6"/>
  <c r="AD197" i="6"/>
  <c r="AD49" i="6" s="1"/>
  <c r="AD50" i="6" s="1"/>
  <c r="AB81" i="6"/>
  <c r="AB189" i="6"/>
  <c r="AC99" i="6"/>
  <c r="AD232" i="6" l="1"/>
  <c r="AE196" i="6"/>
  <c r="AD91" i="6"/>
  <c r="AD71" i="6"/>
  <c r="AD73" i="6"/>
  <c r="AE197" i="6"/>
  <c r="AE49" i="6" s="1"/>
  <c r="AE50" i="6" s="1"/>
  <c r="AF191" i="6"/>
  <c r="AC73" i="6"/>
  <c r="AC71" i="6"/>
  <c r="AC189" i="6"/>
  <c r="AD99" i="6"/>
  <c r="AC81" i="6" l="1"/>
  <c r="AE71" i="6"/>
  <c r="AE73" i="6"/>
  <c r="AF197" i="6"/>
  <c r="AF49" i="6" s="1"/>
  <c r="AV211" i="6"/>
  <c r="AD7" i="6"/>
  <c r="AD81" i="6"/>
  <c r="AD189" i="6"/>
  <c r="AE99" i="6"/>
  <c r="AE232" i="6"/>
  <c r="AF196" i="6"/>
  <c r="AF232" i="6" s="1"/>
  <c r="AE91" i="6"/>
  <c r="AU211" i="6"/>
  <c r="AC7" i="6"/>
  <c r="AF91" i="6"/>
  <c r="AI91" i="6" l="1"/>
  <c r="AH91" i="6"/>
  <c r="AW211" i="6"/>
  <c r="AE7" i="6"/>
  <c r="AE189" i="6"/>
  <c r="AF99" i="6"/>
  <c r="AF189" i="6" s="1"/>
  <c r="AF50" i="6"/>
  <c r="AJ50" i="6" s="1"/>
  <c r="AK50" i="6" s="1"/>
  <c r="AL4" i="6" s="1"/>
  <c r="AL6" i="6" s="1"/>
  <c r="AH49" i="6"/>
  <c r="AI49" i="6"/>
  <c r="AE81" i="6"/>
  <c r="AF73" i="6" l="1"/>
  <c r="AF71" i="6"/>
  <c r="AI50" i="6"/>
  <c r="AH50" i="6"/>
  <c r="AF81" i="6" l="1"/>
  <c r="AI71" i="6"/>
  <c r="AH71" i="6"/>
  <c r="AX211" i="6"/>
  <c r="AF7" i="6"/>
  <c r="A7" i="6" s="1"/>
  <c r="AI73" i="6"/>
  <c r="AH73" i="6"/>
  <c r="AI81" i="6" l="1"/>
  <c r="AH81" i="6"/>
  <c r="R35" i="5" l="1"/>
  <c r="Q35" i="5"/>
  <c r="P35" i="5"/>
  <c r="O93" i="5"/>
  <c r="O35" i="5"/>
  <c r="N35" i="5"/>
  <c r="M93" i="5"/>
  <c r="L66" i="5" l="1"/>
  <c r="L35" i="5"/>
  <c r="K35" i="5"/>
  <c r="J35" i="5"/>
  <c r="I35" i="5"/>
  <c r="H35" i="5"/>
  <c r="F66" i="5"/>
  <c r="F35" i="5"/>
  <c r="E35" i="5"/>
  <c r="B4" i="4"/>
  <c r="B4" i="5"/>
  <c r="D35" i="5"/>
  <c r="AH97" i="5"/>
  <c r="AI97" i="5" s="1"/>
  <c r="C35" i="5"/>
  <c r="B93" i="5"/>
  <c r="B91" i="5"/>
  <c r="B78" i="5"/>
  <c r="B77" i="5"/>
  <c r="B80" i="5" s="1"/>
  <c r="B76" i="5"/>
  <c r="B75" i="5"/>
  <c r="B74" i="5"/>
  <c r="B70" i="5"/>
  <c r="B66" i="5"/>
  <c r="B54" i="5"/>
  <c r="B50" i="5"/>
  <c r="B49" i="5"/>
  <c r="B36" i="5"/>
  <c r="B35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B232" i="5"/>
  <c r="S207" i="5"/>
  <c r="AG197" i="5"/>
  <c r="B197" i="5"/>
  <c r="C196" i="5"/>
  <c r="C232" i="5" s="1"/>
  <c r="C195" i="5"/>
  <c r="D195" i="5" s="1"/>
  <c r="E195" i="5" s="1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D194" i="5"/>
  <c r="E194" i="5" s="1"/>
  <c r="F194" i="5" s="1"/>
  <c r="G194" i="5" s="1"/>
  <c r="H194" i="5" s="1"/>
  <c r="I194" i="5" s="1"/>
  <c r="J194" i="5" s="1"/>
  <c r="K194" i="5" s="1"/>
  <c r="L194" i="5" s="1"/>
  <c r="M194" i="5" s="1"/>
  <c r="N194" i="5" s="1"/>
  <c r="O194" i="5" s="1"/>
  <c r="P194" i="5" s="1"/>
  <c r="Q194" i="5" s="1"/>
  <c r="R194" i="5" s="1"/>
  <c r="S194" i="5" s="1"/>
  <c r="T194" i="5" s="1"/>
  <c r="U194" i="5" s="1"/>
  <c r="V194" i="5" s="1"/>
  <c r="W194" i="5" s="1"/>
  <c r="X194" i="5" s="1"/>
  <c r="Y194" i="5" s="1"/>
  <c r="Z194" i="5" s="1"/>
  <c r="AA194" i="5" s="1"/>
  <c r="AB194" i="5" s="1"/>
  <c r="AC194" i="5" s="1"/>
  <c r="AD194" i="5" s="1"/>
  <c r="AE194" i="5" s="1"/>
  <c r="AF194" i="5" s="1"/>
  <c r="C194" i="5"/>
  <c r="C193" i="5"/>
  <c r="D193" i="5" s="1"/>
  <c r="E193" i="5" s="1"/>
  <c r="F193" i="5" s="1"/>
  <c r="G193" i="5" s="1"/>
  <c r="H193" i="5" s="1"/>
  <c r="I193" i="5" s="1"/>
  <c r="J193" i="5" s="1"/>
  <c r="K193" i="5" s="1"/>
  <c r="L193" i="5" s="1"/>
  <c r="M193" i="5" s="1"/>
  <c r="N193" i="5" s="1"/>
  <c r="O193" i="5" s="1"/>
  <c r="P193" i="5" s="1"/>
  <c r="Q193" i="5" s="1"/>
  <c r="R193" i="5" s="1"/>
  <c r="S193" i="5" s="1"/>
  <c r="T193" i="5" s="1"/>
  <c r="U193" i="5" s="1"/>
  <c r="V193" i="5" s="1"/>
  <c r="W193" i="5" s="1"/>
  <c r="X193" i="5" s="1"/>
  <c r="Y193" i="5" s="1"/>
  <c r="Z193" i="5" s="1"/>
  <c r="AA193" i="5" s="1"/>
  <c r="AB193" i="5" s="1"/>
  <c r="AC193" i="5" s="1"/>
  <c r="AD193" i="5" s="1"/>
  <c r="AE193" i="5" s="1"/>
  <c r="AF193" i="5" s="1"/>
  <c r="D192" i="5"/>
  <c r="E192" i="5" s="1"/>
  <c r="F192" i="5" s="1"/>
  <c r="G192" i="5" s="1"/>
  <c r="H192" i="5" s="1"/>
  <c r="I192" i="5" s="1"/>
  <c r="J192" i="5" s="1"/>
  <c r="K192" i="5" s="1"/>
  <c r="L192" i="5" s="1"/>
  <c r="M192" i="5" s="1"/>
  <c r="N192" i="5" s="1"/>
  <c r="O192" i="5" s="1"/>
  <c r="P192" i="5" s="1"/>
  <c r="Q192" i="5" s="1"/>
  <c r="R192" i="5" s="1"/>
  <c r="S192" i="5" s="1"/>
  <c r="T192" i="5" s="1"/>
  <c r="U192" i="5" s="1"/>
  <c r="V192" i="5" s="1"/>
  <c r="W192" i="5" s="1"/>
  <c r="X192" i="5" s="1"/>
  <c r="Y192" i="5" s="1"/>
  <c r="Z192" i="5" s="1"/>
  <c r="AA192" i="5" s="1"/>
  <c r="AB192" i="5" s="1"/>
  <c r="AC192" i="5" s="1"/>
  <c r="AD192" i="5" s="1"/>
  <c r="AE192" i="5" s="1"/>
  <c r="AF192" i="5" s="1"/>
  <c r="C192" i="5"/>
  <c r="C191" i="5"/>
  <c r="C197" i="5" s="1"/>
  <c r="AG189" i="5"/>
  <c r="B189" i="5"/>
  <c r="F188" i="5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E188" i="5"/>
  <c r="D188" i="5"/>
  <c r="C188" i="5"/>
  <c r="E187" i="5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C187" i="5"/>
  <c r="D187" i="5" s="1"/>
  <c r="C186" i="5"/>
  <c r="D186" i="5" s="1"/>
  <c r="E186" i="5" s="1"/>
  <c r="F186" i="5" s="1"/>
  <c r="G186" i="5" s="1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C185" i="5"/>
  <c r="D185" i="5" s="1"/>
  <c r="E185" i="5" s="1"/>
  <c r="F185" i="5" s="1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C184" i="5"/>
  <c r="C183" i="5"/>
  <c r="D183" i="5" s="1"/>
  <c r="E183" i="5" s="1"/>
  <c r="F183" i="5" s="1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C182" i="5"/>
  <c r="D182" i="5" s="1"/>
  <c r="E182" i="5" s="1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F181" i="5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C181" i="5"/>
  <c r="D181" i="5" s="1"/>
  <c r="E181" i="5" s="1"/>
  <c r="M180" i="5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D180" i="5"/>
  <c r="E180" i="5" s="1"/>
  <c r="F180" i="5" s="1"/>
  <c r="G180" i="5" s="1"/>
  <c r="H180" i="5" s="1"/>
  <c r="I180" i="5" s="1"/>
  <c r="J180" i="5" s="1"/>
  <c r="K180" i="5" s="1"/>
  <c r="L180" i="5" s="1"/>
  <c r="C180" i="5"/>
  <c r="N179" i="5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C179" i="5"/>
  <c r="D179" i="5" s="1"/>
  <c r="E179" i="5" s="1"/>
  <c r="F179" i="5" s="1"/>
  <c r="G179" i="5" s="1"/>
  <c r="H179" i="5" s="1"/>
  <c r="I179" i="5" s="1"/>
  <c r="J179" i="5" s="1"/>
  <c r="K179" i="5" s="1"/>
  <c r="L179" i="5" s="1"/>
  <c r="M179" i="5" s="1"/>
  <c r="E178" i="5"/>
  <c r="F178" i="5" s="1"/>
  <c r="G178" i="5" s="1"/>
  <c r="H178" i="5" s="1"/>
  <c r="I178" i="5" s="1"/>
  <c r="J178" i="5" s="1"/>
  <c r="K178" i="5" s="1"/>
  <c r="L178" i="5" s="1"/>
  <c r="M178" i="5" s="1"/>
  <c r="N178" i="5" s="1"/>
  <c r="O178" i="5" s="1"/>
  <c r="P178" i="5" s="1"/>
  <c r="Q178" i="5" s="1"/>
  <c r="R178" i="5" s="1"/>
  <c r="S178" i="5" s="1"/>
  <c r="T178" i="5" s="1"/>
  <c r="U178" i="5" s="1"/>
  <c r="V178" i="5" s="1"/>
  <c r="W178" i="5" s="1"/>
  <c r="X178" i="5" s="1"/>
  <c r="Y178" i="5" s="1"/>
  <c r="Z178" i="5" s="1"/>
  <c r="AA178" i="5" s="1"/>
  <c r="AB178" i="5" s="1"/>
  <c r="AC178" i="5" s="1"/>
  <c r="AD178" i="5" s="1"/>
  <c r="AE178" i="5" s="1"/>
  <c r="AF178" i="5" s="1"/>
  <c r="C178" i="5"/>
  <c r="D178" i="5" s="1"/>
  <c r="D177" i="5"/>
  <c r="E177" i="5" s="1"/>
  <c r="F177" i="5" s="1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C177" i="5"/>
  <c r="D176" i="5"/>
  <c r="E176" i="5" s="1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C176" i="5"/>
  <c r="D174" i="5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C174" i="5"/>
  <c r="F173" i="5"/>
  <c r="G173" i="5" s="1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C173" i="5"/>
  <c r="D173" i="5" s="1"/>
  <c r="E173" i="5" s="1"/>
  <c r="I172" i="5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D172" i="5"/>
  <c r="E172" i="5" s="1"/>
  <c r="F172" i="5" s="1"/>
  <c r="G172" i="5" s="1"/>
  <c r="H172" i="5" s="1"/>
  <c r="C172" i="5"/>
  <c r="D171" i="5"/>
  <c r="E171" i="5" s="1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C171" i="5"/>
  <c r="C170" i="5"/>
  <c r="D170" i="5" s="1"/>
  <c r="E170" i="5" s="1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I169" i="5"/>
  <c r="J169" i="5" s="1"/>
  <c r="K169" i="5" s="1"/>
  <c r="L169" i="5" s="1"/>
  <c r="M169" i="5" s="1"/>
  <c r="N169" i="5" s="1"/>
  <c r="O169" i="5" s="1"/>
  <c r="P169" i="5" s="1"/>
  <c r="Q169" i="5" s="1"/>
  <c r="R169" i="5" s="1"/>
  <c r="S169" i="5" s="1"/>
  <c r="T169" i="5" s="1"/>
  <c r="U169" i="5" s="1"/>
  <c r="V169" i="5" s="1"/>
  <c r="W169" i="5" s="1"/>
  <c r="X169" i="5" s="1"/>
  <c r="Y169" i="5" s="1"/>
  <c r="Z169" i="5" s="1"/>
  <c r="AA169" i="5" s="1"/>
  <c r="AB169" i="5" s="1"/>
  <c r="AC169" i="5" s="1"/>
  <c r="AD169" i="5" s="1"/>
  <c r="AE169" i="5" s="1"/>
  <c r="AF169" i="5" s="1"/>
  <c r="D169" i="5"/>
  <c r="E169" i="5" s="1"/>
  <c r="F169" i="5" s="1"/>
  <c r="G169" i="5" s="1"/>
  <c r="H169" i="5" s="1"/>
  <c r="C169" i="5"/>
  <c r="J168" i="5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F168" i="5"/>
  <c r="G168" i="5" s="1"/>
  <c r="H168" i="5" s="1"/>
  <c r="I168" i="5" s="1"/>
  <c r="C168" i="5"/>
  <c r="D168" i="5" s="1"/>
  <c r="E168" i="5" s="1"/>
  <c r="L167" i="5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H167" i="5"/>
  <c r="I167" i="5" s="1"/>
  <c r="J167" i="5" s="1"/>
  <c r="K167" i="5" s="1"/>
  <c r="D167" i="5"/>
  <c r="E167" i="5" s="1"/>
  <c r="F167" i="5" s="1"/>
  <c r="G167" i="5" s="1"/>
  <c r="C167" i="5"/>
  <c r="AD165" i="5"/>
  <c r="AE165" i="5" s="1"/>
  <c r="AF165" i="5" s="1"/>
  <c r="N165" i="5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C165" i="5"/>
  <c r="D165" i="5" s="1"/>
  <c r="E165" i="5" s="1"/>
  <c r="F165" i="5" s="1"/>
  <c r="G165" i="5" s="1"/>
  <c r="H165" i="5" s="1"/>
  <c r="I165" i="5" s="1"/>
  <c r="J165" i="5" s="1"/>
  <c r="K165" i="5" s="1"/>
  <c r="L165" i="5" s="1"/>
  <c r="M165" i="5" s="1"/>
  <c r="I164" i="5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D164" i="5"/>
  <c r="E164" i="5" s="1"/>
  <c r="F164" i="5" s="1"/>
  <c r="G164" i="5" s="1"/>
  <c r="H164" i="5" s="1"/>
  <c r="C164" i="5"/>
  <c r="C163" i="5"/>
  <c r="D163" i="5" s="1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U162" i="5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L162" i="5"/>
  <c r="M162" i="5" s="1"/>
  <c r="N162" i="5" s="1"/>
  <c r="O162" i="5" s="1"/>
  <c r="P162" i="5" s="1"/>
  <c r="Q162" i="5" s="1"/>
  <c r="R162" i="5" s="1"/>
  <c r="S162" i="5" s="1"/>
  <c r="T162" i="5" s="1"/>
  <c r="E162" i="5"/>
  <c r="F162" i="5" s="1"/>
  <c r="G162" i="5" s="1"/>
  <c r="H162" i="5" s="1"/>
  <c r="I162" i="5" s="1"/>
  <c r="J162" i="5" s="1"/>
  <c r="K162" i="5" s="1"/>
  <c r="D162" i="5"/>
  <c r="C162" i="5"/>
  <c r="C161" i="5"/>
  <c r="D161" i="5" s="1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D160" i="5"/>
  <c r="E160" i="5" s="1"/>
  <c r="F160" i="5" s="1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C160" i="5"/>
  <c r="F159" i="5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C159" i="5"/>
  <c r="D159" i="5" s="1"/>
  <c r="E159" i="5" s="1"/>
  <c r="C158" i="5"/>
  <c r="D158" i="5" s="1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U157" i="5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C157" i="5"/>
  <c r="D157" i="5" s="1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C156" i="5"/>
  <c r="D156" i="5" s="1"/>
  <c r="E156" i="5" s="1"/>
  <c r="F156" i="5" s="1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M155" i="5"/>
  <c r="N155" i="5" s="1"/>
  <c r="O155" i="5" s="1"/>
  <c r="P155" i="5" s="1"/>
  <c r="Q155" i="5" s="1"/>
  <c r="R155" i="5" s="1"/>
  <c r="S155" i="5" s="1"/>
  <c r="T155" i="5" s="1"/>
  <c r="U155" i="5" s="1"/>
  <c r="V155" i="5" s="1"/>
  <c r="W155" i="5" s="1"/>
  <c r="X155" i="5" s="1"/>
  <c r="Y155" i="5" s="1"/>
  <c r="Z155" i="5" s="1"/>
  <c r="AA155" i="5" s="1"/>
  <c r="AB155" i="5" s="1"/>
  <c r="AC155" i="5" s="1"/>
  <c r="AD155" i="5" s="1"/>
  <c r="AE155" i="5" s="1"/>
  <c r="AF155" i="5" s="1"/>
  <c r="E155" i="5"/>
  <c r="F155" i="5" s="1"/>
  <c r="G155" i="5" s="1"/>
  <c r="H155" i="5" s="1"/>
  <c r="I155" i="5" s="1"/>
  <c r="J155" i="5" s="1"/>
  <c r="K155" i="5" s="1"/>
  <c r="L155" i="5" s="1"/>
  <c r="D155" i="5"/>
  <c r="C155" i="5"/>
  <c r="S154" i="5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C154" i="5"/>
  <c r="D154" i="5" s="1"/>
  <c r="E154" i="5" s="1"/>
  <c r="F154" i="5" s="1"/>
  <c r="G154" i="5" s="1"/>
  <c r="H154" i="5" s="1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C153" i="5"/>
  <c r="D153" i="5" s="1"/>
  <c r="E153" i="5" s="1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W151" i="5"/>
  <c r="X151" i="5" s="1"/>
  <c r="Y151" i="5" s="1"/>
  <c r="Z151" i="5" s="1"/>
  <c r="AA151" i="5" s="1"/>
  <c r="AB151" i="5" s="1"/>
  <c r="AC151" i="5" s="1"/>
  <c r="AD151" i="5" s="1"/>
  <c r="AE151" i="5" s="1"/>
  <c r="AF151" i="5" s="1"/>
  <c r="I151" i="5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G151" i="5"/>
  <c r="H151" i="5" s="1"/>
  <c r="C151" i="5"/>
  <c r="D151" i="5" s="1"/>
  <c r="E151" i="5" s="1"/>
  <c r="F151" i="5" s="1"/>
  <c r="AE150" i="5"/>
  <c r="AF150" i="5" s="1"/>
  <c r="I150" i="5"/>
  <c r="J150" i="5" s="1"/>
  <c r="K150" i="5" s="1"/>
  <c r="L150" i="5" s="1"/>
  <c r="M150" i="5" s="1"/>
  <c r="N150" i="5" s="1"/>
  <c r="O150" i="5" s="1"/>
  <c r="P150" i="5" s="1"/>
  <c r="Q150" i="5" s="1"/>
  <c r="R150" i="5" s="1"/>
  <c r="S150" i="5" s="1"/>
  <c r="T150" i="5" s="1"/>
  <c r="U150" i="5" s="1"/>
  <c r="V150" i="5" s="1"/>
  <c r="W150" i="5" s="1"/>
  <c r="X150" i="5" s="1"/>
  <c r="Y150" i="5" s="1"/>
  <c r="Z150" i="5" s="1"/>
  <c r="AA150" i="5" s="1"/>
  <c r="AB150" i="5" s="1"/>
  <c r="AC150" i="5" s="1"/>
  <c r="AD150" i="5" s="1"/>
  <c r="E150" i="5"/>
  <c r="F150" i="5" s="1"/>
  <c r="G150" i="5" s="1"/>
  <c r="H150" i="5" s="1"/>
  <c r="D150" i="5"/>
  <c r="C150" i="5"/>
  <c r="W149" i="5"/>
  <c r="X149" i="5" s="1"/>
  <c r="Y149" i="5" s="1"/>
  <c r="Z149" i="5" s="1"/>
  <c r="AA149" i="5" s="1"/>
  <c r="AB149" i="5" s="1"/>
  <c r="AC149" i="5" s="1"/>
  <c r="AD149" i="5" s="1"/>
  <c r="AE149" i="5" s="1"/>
  <c r="AF149" i="5" s="1"/>
  <c r="C149" i="5"/>
  <c r="D149" i="5" s="1"/>
  <c r="E149" i="5" s="1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C148" i="5"/>
  <c r="D148" i="5" s="1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S146" i="5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G146" i="5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C146" i="5"/>
  <c r="D146" i="5" s="1"/>
  <c r="E146" i="5" s="1"/>
  <c r="F146" i="5" s="1"/>
  <c r="AC145" i="5"/>
  <c r="AD145" i="5" s="1"/>
  <c r="AE145" i="5" s="1"/>
  <c r="AF145" i="5" s="1"/>
  <c r="G145" i="5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E145" i="5"/>
  <c r="F145" i="5" s="1"/>
  <c r="D145" i="5"/>
  <c r="C145" i="5"/>
  <c r="U143" i="5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G143" i="5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E143" i="5"/>
  <c r="F143" i="5" s="1"/>
  <c r="C143" i="5"/>
  <c r="D143" i="5" s="1"/>
  <c r="AC142" i="5"/>
  <c r="AD142" i="5" s="1"/>
  <c r="AE142" i="5" s="1"/>
  <c r="AF142" i="5" s="1"/>
  <c r="I142" i="5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E142" i="5"/>
  <c r="F142" i="5" s="1"/>
  <c r="G142" i="5" s="1"/>
  <c r="H142" i="5" s="1"/>
  <c r="C142" i="5"/>
  <c r="D142" i="5" s="1"/>
  <c r="Q141" i="5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C141" i="5"/>
  <c r="D141" i="5" s="1"/>
  <c r="E141" i="5" s="1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E140" i="5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D140" i="5"/>
  <c r="C140" i="5"/>
  <c r="E139" i="5"/>
  <c r="F139" i="5" s="1"/>
  <c r="G139" i="5" s="1"/>
  <c r="H139" i="5" s="1"/>
  <c r="I139" i="5" s="1"/>
  <c r="J139" i="5" s="1"/>
  <c r="K139" i="5" s="1"/>
  <c r="L139" i="5" s="1"/>
  <c r="M139" i="5" s="1"/>
  <c r="N139" i="5" s="1"/>
  <c r="O139" i="5" s="1"/>
  <c r="P139" i="5" s="1"/>
  <c r="Q139" i="5" s="1"/>
  <c r="R139" i="5" s="1"/>
  <c r="S139" i="5" s="1"/>
  <c r="T139" i="5" s="1"/>
  <c r="U139" i="5" s="1"/>
  <c r="V139" i="5" s="1"/>
  <c r="W139" i="5" s="1"/>
  <c r="X139" i="5" s="1"/>
  <c r="Y139" i="5" s="1"/>
  <c r="Z139" i="5" s="1"/>
  <c r="AA139" i="5" s="1"/>
  <c r="AB139" i="5" s="1"/>
  <c r="AC139" i="5" s="1"/>
  <c r="AD139" i="5" s="1"/>
  <c r="AE139" i="5" s="1"/>
  <c r="AF139" i="5" s="1"/>
  <c r="C139" i="5"/>
  <c r="D139" i="5" s="1"/>
  <c r="E138" i="5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C138" i="5"/>
  <c r="D138" i="5" s="1"/>
  <c r="C137" i="5"/>
  <c r="D137" i="5" s="1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I135" i="5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C135" i="5"/>
  <c r="D135" i="5" s="1"/>
  <c r="E135" i="5" s="1"/>
  <c r="F135" i="5" s="1"/>
  <c r="G135" i="5" s="1"/>
  <c r="H135" i="5" s="1"/>
  <c r="L134" i="5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D134" i="5"/>
  <c r="E134" i="5" s="1"/>
  <c r="F134" i="5" s="1"/>
  <c r="G134" i="5" s="1"/>
  <c r="H134" i="5" s="1"/>
  <c r="I134" i="5" s="1"/>
  <c r="J134" i="5" s="1"/>
  <c r="K134" i="5" s="1"/>
  <c r="C134" i="5"/>
  <c r="C133" i="5"/>
  <c r="D133" i="5" s="1"/>
  <c r="E133" i="5" s="1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C132" i="5"/>
  <c r="D132" i="5" s="1"/>
  <c r="E132" i="5" s="1"/>
  <c r="F132" i="5" s="1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C131" i="5"/>
  <c r="D131" i="5" s="1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D130" i="5"/>
  <c r="E130" i="5" s="1"/>
  <c r="F130" i="5" s="1"/>
  <c r="G130" i="5" s="1"/>
  <c r="H130" i="5" s="1"/>
  <c r="I130" i="5" s="1"/>
  <c r="J130" i="5" s="1"/>
  <c r="K130" i="5" s="1"/>
  <c r="L130" i="5" s="1"/>
  <c r="M130" i="5" s="1"/>
  <c r="N130" i="5" s="1"/>
  <c r="O130" i="5" s="1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AA130" i="5" s="1"/>
  <c r="AB130" i="5" s="1"/>
  <c r="AC130" i="5" s="1"/>
  <c r="AD130" i="5" s="1"/>
  <c r="AE130" i="5" s="1"/>
  <c r="AF130" i="5" s="1"/>
  <c r="C130" i="5"/>
  <c r="C129" i="5"/>
  <c r="D129" i="5" s="1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C128" i="5"/>
  <c r="D128" i="5" s="1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V126" i="5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C126" i="5"/>
  <c r="D126" i="5" s="1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C125" i="5"/>
  <c r="C124" i="5"/>
  <c r="D124" i="5" s="1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L123" i="5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C123" i="5"/>
  <c r="D123" i="5" s="1"/>
  <c r="E123" i="5" s="1"/>
  <c r="F123" i="5" s="1"/>
  <c r="G123" i="5" s="1"/>
  <c r="H123" i="5" s="1"/>
  <c r="I123" i="5" s="1"/>
  <c r="J123" i="5" s="1"/>
  <c r="K123" i="5" s="1"/>
  <c r="C122" i="5"/>
  <c r="D122" i="5" s="1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L121" i="5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D121" i="5"/>
  <c r="E121" i="5" s="1"/>
  <c r="F121" i="5" s="1"/>
  <c r="G121" i="5" s="1"/>
  <c r="H121" i="5" s="1"/>
  <c r="I121" i="5" s="1"/>
  <c r="J121" i="5" s="1"/>
  <c r="K121" i="5" s="1"/>
  <c r="C121" i="5"/>
  <c r="C120" i="5"/>
  <c r="D120" i="5" s="1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C119" i="5"/>
  <c r="D119" i="5" s="1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F118" i="5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C118" i="5"/>
  <c r="D118" i="5" s="1"/>
  <c r="E118" i="5" s="1"/>
  <c r="F117" i="5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E117" i="5"/>
  <c r="D117" i="5"/>
  <c r="C117" i="5"/>
  <c r="E116" i="5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D116" i="5"/>
  <c r="C116" i="5"/>
  <c r="I115" i="5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C115" i="5"/>
  <c r="D115" i="5" s="1"/>
  <c r="E115" i="5" s="1"/>
  <c r="F115" i="5" s="1"/>
  <c r="G115" i="5" s="1"/>
  <c r="H115" i="5" s="1"/>
  <c r="C114" i="5"/>
  <c r="D114" i="5" s="1"/>
  <c r="E114" i="5" s="1"/>
  <c r="F114" i="5" s="1"/>
  <c r="G114" i="5" s="1"/>
  <c r="H114" i="5" s="1"/>
  <c r="I114" i="5" s="1"/>
  <c r="J114" i="5" s="1"/>
  <c r="K114" i="5" s="1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E113" i="5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D113" i="5"/>
  <c r="C113" i="5"/>
  <c r="D112" i="5"/>
  <c r="E112" i="5" s="1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C112" i="5"/>
  <c r="L111" i="5"/>
  <c r="M111" i="5" s="1"/>
  <c r="N111" i="5" s="1"/>
  <c r="O111" i="5" s="1"/>
  <c r="P111" i="5" s="1"/>
  <c r="Q111" i="5" s="1"/>
  <c r="R111" i="5" s="1"/>
  <c r="S111" i="5" s="1"/>
  <c r="T111" i="5" s="1"/>
  <c r="U111" i="5" s="1"/>
  <c r="V111" i="5" s="1"/>
  <c r="W111" i="5" s="1"/>
  <c r="X111" i="5" s="1"/>
  <c r="Y111" i="5" s="1"/>
  <c r="Z111" i="5" s="1"/>
  <c r="AA111" i="5" s="1"/>
  <c r="AB111" i="5" s="1"/>
  <c r="AC111" i="5" s="1"/>
  <c r="AD111" i="5" s="1"/>
  <c r="AE111" i="5" s="1"/>
  <c r="AF111" i="5" s="1"/>
  <c r="J111" i="5"/>
  <c r="K111" i="5" s="1"/>
  <c r="G111" i="5"/>
  <c r="H111" i="5" s="1"/>
  <c r="D111" i="5"/>
  <c r="E111" i="5" s="1"/>
  <c r="F111" i="5" s="1"/>
  <c r="C111" i="5"/>
  <c r="E110" i="5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C110" i="5"/>
  <c r="D110" i="5" s="1"/>
  <c r="D109" i="5"/>
  <c r="E109" i="5" s="1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C109" i="5"/>
  <c r="R107" i="5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F107" i="5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C107" i="5"/>
  <c r="D107" i="5" s="1"/>
  <c r="E107" i="5" s="1"/>
  <c r="D106" i="5"/>
  <c r="E106" i="5" s="1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C106" i="5"/>
  <c r="N104" i="5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E104" i="5"/>
  <c r="F104" i="5" s="1"/>
  <c r="G104" i="5" s="1"/>
  <c r="H104" i="5" s="1"/>
  <c r="I104" i="5" s="1"/>
  <c r="J104" i="5" s="1"/>
  <c r="K104" i="5" s="1"/>
  <c r="L104" i="5" s="1"/>
  <c r="M104" i="5" s="1"/>
  <c r="D104" i="5"/>
  <c r="C104" i="5"/>
  <c r="N103" i="5"/>
  <c r="O103" i="5" s="1"/>
  <c r="P103" i="5" s="1"/>
  <c r="Q103" i="5" s="1"/>
  <c r="R103" i="5" s="1"/>
  <c r="S103" i="5" s="1"/>
  <c r="T103" i="5" s="1"/>
  <c r="U103" i="5" s="1"/>
  <c r="V103" i="5" s="1"/>
  <c r="W103" i="5" s="1"/>
  <c r="X103" i="5" s="1"/>
  <c r="Y103" i="5" s="1"/>
  <c r="Z103" i="5" s="1"/>
  <c r="AA103" i="5" s="1"/>
  <c r="AB103" i="5" s="1"/>
  <c r="AC103" i="5" s="1"/>
  <c r="AD103" i="5" s="1"/>
  <c r="AE103" i="5" s="1"/>
  <c r="AF103" i="5" s="1"/>
  <c r="D103" i="5"/>
  <c r="E103" i="5" s="1"/>
  <c r="F103" i="5" s="1"/>
  <c r="G103" i="5" s="1"/>
  <c r="H103" i="5" s="1"/>
  <c r="I103" i="5" s="1"/>
  <c r="J103" i="5" s="1"/>
  <c r="K103" i="5" s="1"/>
  <c r="L103" i="5" s="1"/>
  <c r="M103" i="5" s="1"/>
  <c r="C103" i="5"/>
  <c r="V102" i="5"/>
  <c r="W102" i="5" s="1"/>
  <c r="X102" i="5" s="1"/>
  <c r="Y102" i="5" s="1"/>
  <c r="Z102" i="5" s="1"/>
  <c r="AA102" i="5" s="1"/>
  <c r="AB102" i="5" s="1"/>
  <c r="AC102" i="5" s="1"/>
  <c r="AD102" i="5" s="1"/>
  <c r="AE102" i="5" s="1"/>
  <c r="AF102" i="5" s="1"/>
  <c r="L102" i="5"/>
  <c r="M102" i="5" s="1"/>
  <c r="N102" i="5" s="1"/>
  <c r="O102" i="5" s="1"/>
  <c r="P102" i="5" s="1"/>
  <c r="Q102" i="5" s="1"/>
  <c r="R102" i="5" s="1"/>
  <c r="S102" i="5" s="1"/>
  <c r="T102" i="5" s="1"/>
  <c r="U102" i="5" s="1"/>
  <c r="C102" i="5"/>
  <c r="D102" i="5" s="1"/>
  <c r="E102" i="5" s="1"/>
  <c r="F102" i="5" s="1"/>
  <c r="G102" i="5" s="1"/>
  <c r="H102" i="5" s="1"/>
  <c r="I102" i="5" s="1"/>
  <c r="J102" i="5" s="1"/>
  <c r="K102" i="5" s="1"/>
  <c r="J101" i="5"/>
  <c r="K101" i="5" s="1"/>
  <c r="L101" i="5" s="1"/>
  <c r="M101" i="5" s="1"/>
  <c r="N101" i="5" s="1"/>
  <c r="O101" i="5" s="1"/>
  <c r="P101" i="5" s="1"/>
  <c r="Q101" i="5" s="1"/>
  <c r="R101" i="5" s="1"/>
  <c r="S101" i="5" s="1"/>
  <c r="T101" i="5" s="1"/>
  <c r="U101" i="5" s="1"/>
  <c r="V101" i="5" s="1"/>
  <c r="W101" i="5" s="1"/>
  <c r="X101" i="5" s="1"/>
  <c r="Y101" i="5" s="1"/>
  <c r="Z101" i="5" s="1"/>
  <c r="AA101" i="5" s="1"/>
  <c r="AB101" i="5" s="1"/>
  <c r="AC101" i="5" s="1"/>
  <c r="AD101" i="5" s="1"/>
  <c r="AE101" i="5" s="1"/>
  <c r="AF101" i="5" s="1"/>
  <c r="D101" i="5"/>
  <c r="E101" i="5" s="1"/>
  <c r="F101" i="5" s="1"/>
  <c r="G101" i="5" s="1"/>
  <c r="H101" i="5" s="1"/>
  <c r="I101" i="5" s="1"/>
  <c r="C101" i="5"/>
  <c r="C100" i="5"/>
  <c r="D100" i="5" s="1"/>
  <c r="C99" i="5"/>
  <c r="C189" i="5" s="1"/>
  <c r="AH96" i="5"/>
  <c r="AI96" i="5" s="1"/>
  <c r="AH95" i="5"/>
  <c r="AI95" i="5" s="1"/>
  <c r="AH94" i="5"/>
  <c r="AI94" i="5" s="1"/>
  <c r="AH93" i="5"/>
  <c r="AI93" i="5" s="1"/>
  <c r="AH92" i="5"/>
  <c r="AI92" i="5" s="1"/>
  <c r="AI89" i="5"/>
  <c r="AH89" i="5"/>
  <c r="AI88" i="5"/>
  <c r="AH88" i="5"/>
  <c r="AI87" i="5"/>
  <c r="AH87" i="5"/>
  <c r="AI86" i="5"/>
  <c r="AH86" i="5"/>
  <c r="AI85" i="5"/>
  <c r="AH85" i="5"/>
  <c r="AI84" i="5"/>
  <c r="AH84" i="5"/>
  <c r="AI83" i="5"/>
  <c r="AH83" i="5"/>
  <c r="AI82" i="5"/>
  <c r="AH82" i="5"/>
  <c r="AG80" i="5"/>
  <c r="AI79" i="5"/>
  <c r="AH79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M80" i="5" s="1"/>
  <c r="L74" i="5"/>
  <c r="K74" i="5"/>
  <c r="J74" i="5"/>
  <c r="I74" i="5"/>
  <c r="H74" i="5"/>
  <c r="G74" i="5"/>
  <c r="F74" i="5"/>
  <c r="E74" i="5"/>
  <c r="E80" i="5" s="1"/>
  <c r="D74" i="5"/>
  <c r="C74" i="5"/>
  <c r="AI72" i="5"/>
  <c r="AH72" i="5"/>
  <c r="AG70" i="5"/>
  <c r="AG73" i="5" s="1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I69" i="5"/>
  <c r="AH69" i="5"/>
  <c r="AI68" i="5"/>
  <c r="AH68" i="5"/>
  <c r="AI67" i="5"/>
  <c r="AH67" i="5"/>
  <c r="AG66" i="5"/>
  <c r="AF66" i="5"/>
  <c r="AF5" i="5" s="1"/>
  <c r="AE66" i="5"/>
  <c r="AE5" i="5" s="1"/>
  <c r="AD66" i="5"/>
  <c r="AD5" i="5" s="1"/>
  <c r="AC66" i="5"/>
  <c r="AC5" i="5" s="1"/>
  <c r="AB66" i="5"/>
  <c r="AA66" i="5"/>
  <c r="AA5" i="5" s="1"/>
  <c r="Z66" i="5"/>
  <c r="Z5" i="5" s="1"/>
  <c r="Y66" i="5"/>
  <c r="X66" i="5"/>
  <c r="W66" i="5"/>
  <c r="W5" i="5" s="1"/>
  <c r="V66" i="5"/>
  <c r="V5" i="5" s="1"/>
  <c r="U66" i="5"/>
  <c r="U5" i="5" s="1"/>
  <c r="T66" i="5"/>
  <c r="T5" i="5" s="1"/>
  <c r="S66" i="5"/>
  <c r="S5" i="5" s="1"/>
  <c r="R66" i="5"/>
  <c r="R5" i="5" s="1"/>
  <c r="Q66" i="5"/>
  <c r="Q5" i="5" s="1"/>
  <c r="P66" i="5"/>
  <c r="P5" i="5" s="1"/>
  <c r="O66" i="5"/>
  <c r="N66" i="5"/>
  <c r="N5" i="5" s="1"/>
  <c r="M66" i="5"/>
  <c r="L5" i="5"/>
  <c r="K66" i="5"/>
  <c r="K5" i="5" s="1"/>
  <c r="J66" i="5"/>
  <c r="I66" i="5"/>
  <c r="H66" i="5"/>
  <c r="G66" i="5"/>
  <c r="G5" i="5" s="1"/>
  <c r="F5" i="5"/>
  <c r="E66" i="5"/>
  <c r="E5" i="5" s="1"/>
  <c r="D66" i="5"/>
  <c r="C66" i="5"/>
  <c r="C5" i="5" s="1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I53" i="5"/>
  <c r="AH53" i="5"/>
  <c r="AI52" i="5"/>
  <c r="AH52" i="5"/>
  <c r="AI51" i="5"/>
  <c r="AH51" i="5"/>
  <c r="AG50" i="5"/>
  <c r="Y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G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Y5" i="5"/>
  <c r="X5" i="5"/>
  <c r="M5" i="5"/>
  <c r="J5" i="5"/>
  <c r="I5" i="5"/>
  <c r="H5" i="5"/>
  <c r="B5" i="5"/>
  <c r="AG4" i="5"/>
  <c r="K4" i="5"/>
  <c r="AG3" i="5"/>
  <c r="AG2" i="5"/>
  <c r="AG6" i="5" s="1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B233" i="4"/>
  <c r="S208" i="4"/>
  <c r="AG198" i="4"/>
  <c r="B198" i="4"/>
  <c r="C197" i="4"/>
  <c r="D197" i="4" s="1"/>
  <c r="C196" i="4"/>
  <c r="D196" i="4" s="1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C195" i="4"/>
  <c r="D195" i="4" s="1"/>
  <c r="E195" i="4" s="1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W194" i="4"/>
  <c r="X194" i="4" s="1"/>
  <c r="Y194" i="4" s="1"/>
  <c r="Z194" i="4" s="1"/>
  <c r="AA194" i="4" s="1"/>
  <c r="AB194" i="4" s="1"/>
  <c r="AC194" i="4" s="1"/>
  <c r="AD194" i="4" s="1"/>
  <c r="AE194" i="4" s="1"/>
  <c r="AF194" i="4" s="1"/>
  <c r="L194" i="4"/>
  <c r="M194" i="4" s="1"/>
  <c r="N194" i="4" s="1"/>
  <c r="O194" i="4" s="1"/>
  <c r="P194" i="4" s="1"/>
  <c r="Q194" i="4" s="1"/>
  <c r="R194" i="4" s="1"/>
  <c r="S194" i="4" s="1"/>
  <c r="T194" i="4" s="1"/>
  <c r="U194" i="4" s="1"/>
  <c r="V194" i="4" s="1"/>
  <c r="C194" i="4"/>
  <c r="D194" i="4" s="1"/>
  <c r="E194" i="4" s="1"/>
  <c r="F194" i="4" s="1"/>
  <c r="G194" i="4" s="1"/>
  <c r="H194" i="4" s="1"/>
  <c r="I194" i="4" s="1"/>
  <c r="J194" i="4" s="1"/>
  <c r="K194" i="4" s="1"/>
  <c r="U193" i="4"/>
  <c r="V193" i="4" s="1"/>
  <c r="W193" i="4" s="1"/>
  <c r="X193" i="4" s="1"/>
  <c r="Y193" i="4" s="1"/>
  <c r="Z193" i="4" s="1"/>
  <c r="AA193" i="4" s="1"/>
  <c r="AB193" i="4" s="1"/>
  <c r="AC193" i="4" s="1"/>
  <c r="AD193" i="4" s="1"/>
  <c r="AE193" i="4" s="1"/>
  <c r="AF193" i="4" s="1"/>
  <c r="J193" i="4"/>
  <c r="K193" i="4" s="1"/>
  <c r="L193" i="4" s="1"/>
  <c r="M193" i="4" s="1"/>
  <c r="N193" i="4" s="1"/>
  <c r="O193" i="4" s="1"/>
  <c r="P193" i="4" s="1"/>
  <c r="Q193" i="4" s="1"/>
  <c r="R193" i="4" s="1"/>
  <c r="S193" i="4" s="1"/>
  <c r="T193" i="4" s="1"/>
  <c r="F193" i="4"/>
  <c r="G193" i="4" s="1"/>
  <c r="H193" i="4" s="1"/>
  <c r="I193" i="4" s="1"/>
  <c r="E193" i="4"/>
  <c r="C193" i="4"/>
  <c r="D193" i="4" s="1"/>
  <c r="C192" i="4"/>
  <c r="D192" i="4" s="1"/>
  <c r="AG190" i="4"/>
  <c r="B190" i="4"/>
  <c r="C189" i="4"/>
  <c r="D189" i="4" s="1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S188" i="4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L188" i="4"/>
  <c r="M188" i="4" s="1"/>
  <c r="N188" i="4" s="1"/>
  <c r="O188" i="4" s="1"/>
  <c r="P188" i="4" s="1"/>
  <c r="Q188" i="4" s="1"/>
  <c r="R188" i="4" s="1"/>
  <c r="E188" i="4"/>
  <c r="F188" i="4" s="1"/>
  <c r="G188" i="4" s="1"/>
  <c r="H188" i="4" s="1"/>
  <c r="I188" i="4" s="1"/>
  <c r="J188" i="4" s="1"/>
  <c r="K188" i="4" s="1"/>
  <c r="C188" i="4"/>
  <c r="D188" i="4" s="1"/>
  <c r="F187" i="4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E187" i="4"/>
  <c r="C187" i="4"/>
  <c r="D187" i="4" s="1"/>
  <c r="C186" i="4"/>
  <c r="D186" i="4" s="1"/>
  <c r="E186" i="4" s="1"/>
  <c r="F186" i="4" s="1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E185" i="4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C185" i="4"/>
  <c r="D185" i="4" s="1"/>
  <c r="O184" i="4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M184" i="4"/>
  <c r="N184" i="4" s="1"/>
  <c r="E184" i="4"/>
  <c r="F184" i="4" s="1"/>
  <c r="G184" i="4" s="1"/>
  <c r="H184" i="4" s="1"/>
  <c r="I184" i="4" s="1"/>
  <c r="J184" i="4" s="1"/>
  <c r="K184" i="4" s="1"/>
  <c r="L184" i="4" s="1"/>
  <c r="D184" i="4"/>
  <c r="C184" i="4"/>
  <c r="Q183" i="4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N183" i="4"/>
  <c r="O183" i="4" s="1"/>
  <c r="P183" i="4" s="1"/>
  <c r="G183" i="4"/>
  <c r="H183" i="4" s="1"/>
  <c r="I183" i="4" s="1"/>
  <c r="J183" i="4" s="1"/>
  <c r="K183" i="4" s="1"/>
  <c r="L183" i="4" s="1"/>
  <c r="M183" i="4" s="1"/>
  <c r="F183" i="4"/>
  <c r="C183" i="4"/>
  <c r="D183" i="4" s="1"/>
  <c r="E183" i="4" s="1"/>
  <c r="I182" i="4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D182" i="4"/>
  <c r="E182" i="4" s="1"/>
  <c r="F182" i="4" s="1"/>
  <c r="G182" i="4" s="1"/>
  <c r="H182" i="4" s="1"/>
  <c r="C182" i="4"/>
  <c r="Z181" i="4"/>
  <c r="AA181" i="4" s="1"/>
  <c r="AB181" i="4" s="1"/>
  <c r="AC181" i="4" s="1"/>
  <c r="AD181" i="4" s="1"/>
  <c r="AE181" i="4" s="1"/>
  <c r="AF181" i="4" s="1"/>
  <c r="M181" i="4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G181" i="4"/>
  <c r="H181" i="4" s="1"/>
  <c r="I181" i="4" s="1"/>
  <c r="J181" i="4" s="1"/>
  <c r="K181" i="4" s="1"/>
  <c r="L181" i="4" s="1"/>
  <c r="E181" i="4"/>
  <c r="F181" i="4" s="1"/>
  <c r="C181" i="4"/>
  <c r="D181" i="4" s="1"/>
  <c r="AC180" i="4"/>
  <c r="AD180" i="4" s="1"/>
  <c r="AE180" i="4" s="1"/>
  <c r="AF180" i="4" s="1"/>
  <c r="G180" i="4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E180" i="4"/>
  <c r="F180" i="4" s="1"/>
  <c r="C180" i="4"/>
  <c r="D180" i="4" s="1"/>
  <c r="M179" i="4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E179" i="4"/>
  <c r="F179" i="4" s="1"/>
  <c r="G179" i="4" s="1"/>
  <c r="H179" i="4" s="1"/>
  <c r="I179" i="4" s="1"/>
  <c r="J179" i="4" s="1"/>
  <c r="K179" i="4" s="1"/>
  <c r="L179" i="4" s="1"/>
  <c r="D179" i="4"/>
  <c r="C179" i="4"/>
  <c r="Y178" i="4"/>
  <c r="Z178" i="4" s="1"/>
  <c r="AA178" i="4" s="1"/>
  <c r="AB178" i="4" s="1"/>
  <c r="AC178" i="4" s="1"/>
  <c r="AD178" i="4" s="1"/>
  <c r="AE178" i="4" s="1"/>
  <c r="AF178" i="4" s="1"/>
  <c r="E178" i="4"/>
  <c r="F178" i="4" s="1"/>
  <c r="G178" i="4" s="1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C178" i="4"/>
  <c r="D178" i="4" s="1"/>
  <c r="M177" i="4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D177" i="4"/>
  <c r="E177" i="4" s="1"/>
  <c r="F177" i="4" s="1"/>
  <c r="G177" i="4" s="1"/>
  <c r="H177" i="4" s="1"/>
  <c r="I177" i="4" s="1"/>
  <c r="J177" i="4" s="1"/>
  <c r="K177" i="4" s="1"/>
  <c r="L177" i="4" s="1"/>
  <c r="C177" i="4"/>
  <c r="H175" i="4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G175" i="4"/>
  <c r="C175" i="4"/>
  <c r="D175" i="4" s="1"/>
  <c r="E175" i="4" s="1"/>
  <c r="F175" i="4" s="1"/>
  <c r="E174" i="4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C174" i="4"/>
  <c r="D174" i="4" s="1"/>
  <c r="G173" i="4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D173" i="4"/>
  <c r="E173" i="4" s="1"/>
  <c r="F173" i="4" s="1"/>
  <c r="C173" i="4"/>
  <c r="E172" i="4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D172" i="4"/>
  <c r="C172" i="4"/>
  <c r="C171" i="4"/>
  <c r="D171" i="4" s="1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E170" i="4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D170" i="4"/>
  <c r="C170" i="4"/>
  <c r="E169" i="4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C169" i="4"/>
  <c r="D169" i="4" s="1"/>
  <c r="I168" i="4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H168" i="4"/>
  <c r="C168" i="4"/>
  <c r="D168" i="4" s="1"/>
  <c r="E168" i="4" s="1"/>
  <c r="F168" i="4" s="1"/>
  <c r="G168" i="4" s="1"/>
  <c r="F166" i="4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C166" i="4"/>
  <c r="D166" i="4" s="1"/>
  <c r="E166" i="4" s="1"/>
  <c r="E165" i="4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D165" i="4"/>
  <c r="C165" i="4"/>
  <c r="C164" i="4"/>
  <c r="D164" i="4" s="1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J163" i="4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I163" i="4"/>
  <c r="D163" i="4"/>
  <c r="E163" i="4" s="1"/>
  <c r="F163" i="4" s="1"/>
  <c r="G163" i="4" s="1"/>
  <c r="H163" i="4" s="1"/>
  <c r="C163" i="4"/>
  <c r="U162" i="4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G162" i="4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D162" i="4"/>
  <c r="E162" i="4" s="1"/>
  <c r="F162" i="4" s="1"/>
  <c r="C162" i="4"/>
  <c r="E161" i="4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D161" i="4"/>
  <c r="C161" i="4"/>
  <c r="G160" i="4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D160" i="4"/>
  <c r="E160" i="4" s="1"/>
  <c r="F160" i="4" s="1"/>
  <c r="C160" i="4"/>
  <c r="M159" i="4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E159" i="4"/>
  <c r="F159" i="4" s="1"/>
  <c r="G159" i="4" s="1"/>
  <c r="H159" i="4" s="1"/>
  <c r="I159" i="4" s="1"/>
  <c r="J159" i="4" s="1"/>
  <c r="K159" i="4" s="1"/>
  <c r="L159" i="4" s="1"/>
  <c r="D159" i="4"/>
  <c r="C159" i="4"/>
  <c r="G158" i="4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D158" i="4"/>
  <c r="E158" i="4" s="1"/>
  <c r="F158" i="4" s="1"/>
  <c r="C158" i="4"/>
  <c r="D157" i="4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C157" i="4"/>
  <c r="C156" i="4"/>
  <c r="D156" i="4" s="1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H155" i="4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F155" i="4"/>
  <c r="G155" i="4" s="1"/>
  <c r="E155" i="4"/>
  <c r="D155" i="4"/>
  <c r="C155" i="4"/>
  <c r="H154" i="4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C154" i="4"/>
  <c r="D154" i="4" s="1"/>
  <c r="E154" i="4" s="1"/>
  <c r="F154" i="4" s="1"/>
  <c r="G154" i="4" s="1"/>
  <c r="M152" i="4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F152" i="4"/>
  <c r="G152" i="4" s="1"/>
  <c r="H152" i="4" s="1"/>
  <c r="I152" i="4" s="1"/>
  <c r="J152" i="4" s="1"/>
  <c r="K152" i="4" s="1"/>
  <c r="L152" i="4" s="1"/>
  <c r="E152" i="4"/>
  <c r="D152" i="4"/>
  <c r="C152" i="4"/>
  <c r="L151" i="4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G151" i="4"/>
  <c r="H151" i="4" s="1"/>
  <c r="I151" i="4" s="1"/>
  <c r="J151" i="4" s="1"/>
  <c r="K151" i="4" s="1"/>
  <c r="D151" i="4"/>
  <c r="E151" i="4" s="1"/>
  <c r="F151" i="4" s="1"/>
  <c r="C151" i="4"/>
  <c r="E150" i="4"/>
  <c r="F150" i="4" s="1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D150" i="4"/>
  <c r="C150" i="4"/>
  <c r="D149" i="4"/>
  <c r="E149" i="4" s="1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C149" i="4"/>
  <c r="F147" i="4"/>
  <c r="G147" i="4" s="1"/>
  <c r="H147" i="4" s="1"/>
  <c r="I147" i="4" s="1"/>
  <c r="J147" i="4" s="1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C147" i="4"/>
  <c r="D147" i="4" s="1"/>
  <c r="E147" i="4" s="1"/>
  <c r="D146" i="4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C146" i="4"/>
  <c r="D144" i="4"/>
  <c r="E144" i="4" s="1"/>
  <c r="F144" i="4" s="1"/>
  <c r="G144" i="4" s="1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C144" i="4"/>
  <c r="I143" i="4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E143" i="4"/>
  <c r="F143" i="4" s="1"/>
  <c r="G143" i="4" s="1"/>
  <c r="H143" i="4" s="1"/>
  <c r="D143" i="4"/>
  <c r="C143" i="4"/>
  <c r="C142" i="4"/>
  <c r="D142" i="4" s="1"/>
  <c r="E142" i="4" s="1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E141" i="4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D141" i="4"/>
  <c r="C141" i="4"/>
  <c r="D140" i="4"/>
  <c r="E140" i="4" s="1"/>
  <c r="F140" i="4" s="1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C140" i="4"/>
  <c r="D139" i="4"/>
  <c r="E139" i="4" s="1"/>
  <c r="F139" i="4" s="1"/>
  <c r="G139" i="4" s="1"/>
  <c r="H139" i="4" s="1"/>
  <c r="I139" i="4" s="1"/>
  <c r="J139" i="4" s="1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C139" i="4"/>
  <c r="C138" i="4"/>
  <c r="D138" i="4" s="1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H136" i="4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F136" i="4"/>
  <c r="G136" i="4" s="1"/>
  <c r="E136" i="4"/>
  <c r="D136" i="4"/>
  <c r="C136" i="4"/>
  <c r="C135" i="4"/>
  <c r="D135" i="4" s="1"/>
  <c r="E135" i="4" s="1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I134" i="4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E134" i="4"/>
  <c r="F134" i="4" s="1"/>
  <c r="G134" i="4" s="1"/>
  <c r="H134" i="4" s="1"/>
  <c r="D134" i="4"/>
  <c r="C134" i="4"/>
  <c r="H133" i="4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G133" i="4"/>
  <c r="C133" i="4"/>
  <c r="D133" i="4" s="1"/>
  <c r="E133" i="4" s="1"/>
  <c r="F133" i="4" s="1"/>
  <c r="E132" i="4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D132" i="4"/>
  <c r="C132" i="4"/>
  <c r="D131" i="4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C131" i="4"/>
  <c r="D130" i="4"/>
  <c r="E130" i="4" s="1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C130" i="4"/>
  <c r="C129" i="4"/>
  <c r="D129" i="4" s="1"/>
  <c r="E129" i="4" s="1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F127" i="4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E127" i="4"/>
  <c r="D127" i="4"/>
  <c r="C127" i="4"/>
  <c r="D126" i="4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C126" i="4"/>
  <c r="D125" i="4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C125" i="4"/>
  <c r="C124" i="4"/>
  <c r="D124" i="4" s="1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J123" i="4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E123" i="4"/>
  <c r="F123" i="4" s="1"/>
  <c r="G123" i="4" s="1"/>
  <c r="H123" i="4" s="1"/>
  <c r="I123" i="4" s="1"/>
  <c r="D123" i="4"/>
  <c r="C123" i="4"/>
  <c r="J122" i="4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D122" i="4"/>
  <c r="E122" i="4" s="1"/>
  <c r="F122" i="4" s="1"/>
  <c r="G122" i="4" s="1"/>
  <c r="H122" i="4" s="1"/>
  <c r="I122" i="4" s="1"/>
  <c r="C122" i="4"/>
  <c r="C121" i="4"/>
  <c r="D121" i="4" s="1"/>
  <c r="E121" i="4" s="1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C120" i="4"/>
  <c r="D120" i="4" s="1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F119" i="4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E119" i="4"/>
  <c r="D119" i="4"/>
  <c r="C119" i="4"/>
  <c r="S118" i="4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J118" i="4"/>
  <c r="K118" i="4" s="1"/>
  <c r="L118" i="4" s="1"/>
  <c r="M118" i="4" s="1"/>
  <c r="N118" i="4" s="1"/>
  <c r="O118" i="4" s="1"/>
  <c r="P118" i="4" s="1"/>
  <c r="Q118" i="4" s="1"/>
  <c r="R118" i="4" s="1"/>
  <c r="C118" i="4"/>
  <c r="D118" i="4" s="1"/>
  <c r="E118" i="4" s="1"/>
  <c r="F118" i="4" s="1"/>
  <c r="G118" i="4" s="1"/>
  <c r="H118" i="4" s="1"/>
  <c r="I118" i="4" s="1"/>
  <c r="C117" i="4"/>
  <c r="D117" i="4" s="1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O116" i="4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F116" i="4"/>
  <c r="G116" i="4" s="1"/>
  <c r="H116" i="4" s="1"/>
  <c r="I116" i="4" s="1"/>
  <c r="J116" i="4" s="1"/>
  <c r="K116" i="4" s="1"/>
  <c r="L116" i="4" s="1"/>
  <c r="M116" i="4" s="1"/>
  <c r="N116" i="4" s="1"/>
  <c r="D116" i="4"/>
  <c r="E116" i="4" s="1"/>
  <c r="C116" i="4"/>
  <c r="H115" i="4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D115" i="4"/>
  <c r="E115" i="4" s="1"/>
  <c r="F115" i="4" s="1"/>
  <c r="G115" i="4" s="1"/>
  <c r="C115" i="4"/>
  <c r="C114" i="4"/>
  <c r="D114" i="4" s="1"/>
  <c r="E114" i="4" s="1"/>
  <c r="F114" i="4" s="1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J113" i="4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E113" i="4"/>
  <c r="F113" i="4" s="1"/>
  <c r="G113" i="4" s="1"/>
  <c r="H113" i="4" s="1"/>
  <c r="I113" i="4" s="1"/>
  <c r="D113" i="4"/>
  <c r="C113" i="4"/>
  <c r="L112" i="4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J112" i="4"/>
  <c r="K112" i="4" s="1"/>
  <c r="C112" i="4"/>
  <c r="D112" i="4" s="1"/>
  <c r="E112" i="4" s="1"/>
  <c r="F112" i="4" s="1"/>
  <c r="G112" i="4" s="1"/>
  <c r="H112" i="4" s="1"/>
  <c r="C111" i="4"/>
  <c r="D111" i="4" s="1"/>
  <c r="E111" i="4" s="1"/>
  <c r="F111" i="4" s="1"/>
  <c r="G111" i="4" s="1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C110" i="4"/>
  <c r="D110" i="4" s="1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G108" i="4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E108" i="4"/>
  <c r="F108" i="4" s="1"/>
  <c r="D108" i="4"/>
  <c r="C108" i="4"/>
  <c r="C107" i="4"/>
  <c r="E105" i="4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D105" i="4"/>
  <c r="C105" i="4"/>
  <c r="F104" i="4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C104" i="4"/>
  <c r="D104" i="4" s="1"/>
  <c r="E104" i="4" s="1"/>
  <c r="D103" i="4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C103" i="4"/>
  <c r="C102" i="4"/>
  <c r="D102" i="4" s="1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E101" i="4"/>
  <c r="F101" i="4" s="1"/>
  <c r="D101" i="4"/>
  <c r="C101" i="4"/>
  <c r="C100" i="4"/>
  <c r="AI97" i="4"/>
  <c r="AH97" i="4"/>
  <c r="AH96" i="4"/>
  <c r="AI96" i="4" s="1"/>
  <c r="AI95" i="4"/>
  <c r="AH95" i="4"/>
  <c r="AH94" i="4"/>
  <c r="AI94" i="4" s="1"/>
  <c r="AH93" i="4"/>
  <c r="AI93" i="4" s="1"/>
  <c r="B92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G81" i="4"/>
  <c r="AI80" i="4"/>
  <c r="AH80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E77" i="4"/>
  <c r="AD77" i="4"/>
  <c r="AC77" i="4"/>
  <c r="AB77" i="4"/>
  <c r="AB81" i="4" s="1"/>
  <c r="AA77" i="4"/>
  <c r="Z77" i="4"/>
  <c r="Y77" i="4"/>
  <c r="X77" i="4"/>
  <c r="X81" i="4" s="1"/>
  <c r="W77" i="4"/>
  <c r="V77" i="4"/>
  <c r="U77" i="4"/>
  <c r="T77" i="4"/>
  <c r="T81" i="4" s="1"/>
  <c r="S77" i="4"/>
  <c r="R77" i="4"/>
  <c r="Q77" i="4"/>
  <c r="P77" i="4"/>
  <c r="O77" i="4"/>
  <c r="N77" i="4"/>
  <c r="M77" i="4"/>
  <c r="L77" i="4"/>
  <c r="L81" i="4" s="1"/>
  <c r="K77" i="4"/>
  <c r="J77" i="4"/>
  <c r="I77" i="4"/>
  <c r="H77" i="4"/>
  <c r="H81" i="4" s="1"/>
  <c r="G77" i="4"/>
  <c r="F77" i="4"/>
  <c r="E77" i="4"/>
  <c r="D77" i="4"/>
  <c r="AH77" i="4" s="1"/>
  <c r="C77" i="4"/>
  <c r="B77" i="4"/>
  <c r="AI77" i="4" s="1"/>
  <c r="AF76" i="4"/>
  <c r="AE76" i="4"/>
  <c r="AD76" i="4"/>
  <c r="AC76" i="4"/>
  <c r="AB76" i="4"/>
  <c r="AA76" i="4"/>
  <c r="Z76" i="4"/>
  <c r="Y76" i="4"/>
  <c r="Y81" i="4" s="1"/>
  <c r="X76" i="4"/>
  <c r="W76" i="4"/>
  <c r="V76" i="4"/>
  <c r="U76" i="4"/>
  <c r="T76" i="4"/>
  <c r="S76" i="4"/>
  <c r="R76" i="4"/>
  <c r="Q76" i="4"/>
  <c r="Q81" i="4" s="1"/>
  <c r="P76" i="4"/>
  <c r="O76" i="4"/>
  <c r="N76" i="4"/>
  <c r="M76" i="4"/>
  <c r="L76" i="4"/>
  <c r="K76" i="4"/>
  <c r="J76" i="4"/>
  <c r="I76" i="4"/>
  <c r="I81" i="4" s="1"/>
  <c r="H76" i="4"/>
  <c r="G76" i="4"/>
  <c r="F76" i="4"/>
  <c r="E76" i="4"/>
  <c r="AH76" i="4" s="1"/>
  <c r="D76" i="4"/>
  <c r="C76" i="4"/>
  <c r="B76" i="4"/>
  <c r="AI76" i="4" s="1"/>
  <c r="AF75" i="4"/>
  <c r="AF81" i="4" s="1"/>
  <c r="AE75" i="4"/>
  <c r="AD75" i="4"/>
  <c r="AD81" i="4" s="1"/>
  <c r="AC75" i="4"/>
  <c r="AC81" i="4" s="1"/>
  <c r="AB75" i="4"/>
  <c r="AA75" i="4"/>
  <c r="Z75" i="4"/>
  <c r="Z81" i="4" s="1"/>
  <c r="Y75" i="4"/>
  <c r="X75" i="4"/>
  <c r="W75" i="4"/>
  <c r="V75" i="4"/>
  <c r="V81" i="4" s="1"/>
  <c r="U75" i="4"/>
  <c r="U81" i="4" s="1"/>
  <c r="T75" i="4"/>
  <c r="S75" i="4"/>
  <c r="R75" i="4"/>
  <c r="R81" i="4" s="1"/>
  <c r="Q75" i="4"/>
  <c r="P75" i="4"/>
  <c r="P81" i="4" s="1"/>
  <c r="O75" i="4"/>
  <c r="N75" i="4"/>
  <c r="N81" i="4" s="1"/>
  <c r="M75" i="4"/>
  <c r="M81" i="4" s="1"/>
  <c r="L75" i="4"/>
  <c r="K75" i="4"/>
  <c r="J75" i="4"/>
  <c r="J81" i="4" s="1"/>
  <c r="I75" i="4"/>
  <c r="H75" i="4"/>
  <c r="G75" i="4"/>
  <c r="F75" i="4"/>
  <c r="F81" i="4" s="1"/>
  <c r="E75" i="4"/>
  <c r="E81" i="4" s="1"/>
  <c r="D75" i="4"/>
  <c r="C75" i="4"/>
  <c r="B75" i="4"/>
  <c r="G74" i="4"/>
  <c r="Y212" i="4" s="1"/>
  <c r="AI73" i="4"/>
  <c r="AH73" i="4"/>
  <c r="K72" i="4"/>
  <c r="F72" i="4"/>
  <c r="C72" i="4"/>
  <c r="B72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R74" i="4" s="1"/>
  <c r="Q71" i="4"/>
  <c r="P71" i="4"/>
  <c r="O71" i="4"/>
  <c r="O74" i="4" s="1"/>
  <c r="N71" i="4"/>
  <c r="M71" i="4"/>
  <c r="M74" i="4" s="1"/>
  <c r="L71" i="4"/>
  <c r="L74" i="4" s="1"/>
  <c r="K71" i="4"/>
  <c r="J71" i="4"/>
  <c r="I71" i="4"/>
  <c r="H71" i="4"/>
  <c r="G71" i="4"/>
  <c r="F71" i="4"/>
  <c r="F74" i="4" s="1"/>
  <c r="E71" i="4"/>
  <c r="D71" i="4"/>
  <c r="C71" i="4"/>
  <c r="B71" i="4"/>
  <c r="AH71" i="4" s="1"/>
  <c r="AI70" i="4"/>
  <c r="AH70" i="4"/>
  <c r="AI69" i="4"/>
  <c r="AH69" i="4"/>
  <c r="AI68" i="4"/>
  <c r="AH68" i="4"/>
  <c r="AG67" i="4"/>
  <c r="AF67" i="4"/>
  <c r="AE67" i="4"/>
  <c r="AD67" i="4"/>
  <c r="AD5" i="4" s="1"/>
  <c r="AC67" i="4"/>
  <c r="AC5" i="4" s="1"/>
  <c r="AB67" i="4"/>
  <c r="AA67" i="4"/>
  <c r="Z67" i="4"/>
  <c r="Y67" i="4"/>
  <c r="X67" i="4"/>
  <c r="W67" i="4"/>
  <c r="V67" i="4"/>
  <c r="V5" i="4" s="1"/>
  <c r="U67" i="4"/>
  <c r="U5" i="4" s="1"/>
  <c r="T67" i="4"/>
  <c r="T5" i="4" s="1"/>
  <c r="S67" i="4"/>
  <c r="S72" i="4" s="1"/>
  <c r="R67" i="4"/>
  <c r="R72" i="4" s="1"/>
  <c r="Q67" i="4"/>
  <c r="P67" i="4"/>
  <c r="P72" i="4" s="1"/>
  <c r="O67" i="4"/>
  <c r="N67" i="4"/>
  <c r="N5" i="4" s="1"/>
  <c r="M67" i="4"/>
  <c r="M5" i="4" s="1"/>
  <c r="L67" i="4"/>
  <c r="L5" i="4" s="1"/>
  <c r="K67" i="4"/>
  <c r="J67" i="4"/>
  <c r="I67" i="4"/>
  <c r="H67" i="4"/>
  <c r="H72" i="4" s="1"/>
  <c r="G67" i="4"/>
  <c r="F67" i="4"/>
  <c r="F5" i="4" s="1"/>
  <c r="E67" i="4"/>
  <c r="E72" i="4" s="1"/>
  <c r="D67" i="4"/>
  <c r="D72" i="4" s="1"/>
  <c r="C67" i="4"/>
  <c r="AI67" i="4" s="1"/>
  <c r="B67" i="4"/>
  <c r="AH67" i="4" s="1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Q74" i="4" s="1"/>
  <c r="P55" i="4"/>
  <c r="O55" i="4"/>
  <c r="N55" i="4"/>
  <c r="M55" i="4"/>
  <c r="L55" i="4"/>
  <c r="K55" i="4"/>
  <c r="J55" i="4"/>
  <c r="I55" i="4"/>
  <c r="I74" i="4" s="1"/>
  <c r="H55" i="4"/>
  <c r="G55" i="4"/>
  <c r="F55" i="4"/>
  <c r="E55" i="4"/>
  <c r="D55" i="4"/>
  <c r="C55" i="4"/>
  <c r="AI55" i="4" s="1"/>
  <c r="B55" i="4"/>
  <c r="AH55" i="4" s="1"/>
  <c r="AI54" i="4"/>
  <c r="AH54" i="4"/>
  <c r="AI53" i="4"/>
  <c r="AH53" i="4"/>
  <c r="AI52" i="4"/>
  <c r="AH52" i="4"/>
  <c r="AG51" i="4"/>
  <c r="Y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G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G37" i="4"/>
  <c r="AG2" i="4" s="1"/>
  <c r="AG6" i="4" s="1"/>
  <c r="AF37" i="4"/>
  <c r="AE37" i="4"/>
  <c r="AD37" i="4"/>
  <c r="AC37" i="4"/>
  <c r="AB37" i="4"/>
  <c r="AA37" i="4"/>
  <c r="Z37" i="4"/>
  <c r="Y37" i="4"/>
  <c r="Y74" i="4" s="1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J74" i="4" s="1"/>
  <c r="I37" i="4"/>
  <c r="H37" i="4"/>
  <c r="G37" i="4"/>
  <c r="F37" i="4"/>
  <c r="E37" i="4"/>
  <c r="D37" i="4"/>
  <c r="C37" i="4"/>
  <c r="B37" i="4"/>
  <c r="AI37" i="4" s="1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2" i="4"/>
  <c r="AH12" i="4"/>
  <c r="AI11" i="4"/>
  <c r="AH11" i="4"/>
  <c r="AF5" i="4"/>
  <c r="AE5" i="4"/>
  <c r="AA5" i="4"/>
  <c r="Z5" i="4"/>
  <c r="Y5" i="4"/>
  <c r="X5" i="4"/>
  <c r="W5" i="4"/>
  <c r="S5" i="4"/>
  <c r="R5" i="4"/>
  <c r="Q5" i="4"/>
  <c r="P5" i="4"/>
  <c r="O5" i="4"/>
  <c r="K5" i="4"/>
  <c r="J5" i="4"/>
  <c r="I5" i="4"/>
  <c r="H5" i="4"/>
  <c r="G5" i="4"/>
  <c r="C5" i="4"/>
  <c r="B5" i="4"/>
  <c r="AG4" i="4"/>
  <c r="K4" i="4"/>
  <c r="AG3" i="4"/>
  <c r="E4" i="5"/>
  <c r="E4" i="4"/>
  <c r="AG74" i="4" l="1"/>
  <c r="AD80" i="5"/>
  <c r="AC80" i="5"/>
  <c r="AB80" i="5"/>
  <c r="AA80" i="5"/>
  <c r="Y80" i="5"/>
  <c r="Y73" i="5"/>
  <c r="U80" i="5"/>
  <c r="T80" i="5"/>
  <c r="S80" i="5"/>
  <c r="S73" i="5"/>
  <c r="AK211" i="5" s="1"/>
  <c r="S71" i="5"/>
  <c r="Q73" i="5"/>
  <c r="AI211" i="5" s="1"/>
  <c r="P73" i="5"/>
  <c r="AH211" i="5" s="1"/>
  <c r="P71" i="5"/>
  <c r="O71" i="5"/>
  <c r="M71" i="5"/>
  <c r="L80" i="5"/>
  <c r="K80" i="5"/>
  <c r="K71" i="5"/>
  <c r="J80" i="5"/>
  <c r="I80" i="5"/>
  <c r="H71" i="5"/>
  <c r="H73" i="5"/>
  <c r="H7" i="5" s="1"/>
  <c r="AI77" i="5"/>
  <c r="D80" i="5"/>
  <c r="D71" i="5"/>
  <c r="C80" i="5"/>
  <c r="C71" i="5"/>
  <c r="AH36" i="5"/>
  <c r="B73" i="5"/>
  <c r="B71" i="5"/>
  <c r="B81" i="5" s="1"/>
  <c r="H4" i="5"/>
  <c r="Z211" i="5"/>
  <c r="AQ211" i="5"/>
  <c r="Y7" i="5"/>
  <c r="F73" i="5"/>
  <c r="N73" i="5"/>
  <c r="G71" i="5"/>
  <c r="K73" i="5"/>
  <c r="E73" i="5"/>
  <c r="E71" i="5"/>
  <c r="I73" i="5"/>
  <c r="D208" i="5"/>
  <c r="S208" i="5"/>
  <c r="F71" i="5"/>
  <c r="N71" i="5"/>
  <c r="O73" i="5"/>
  <c r="F80" i="5"/>
  <c r="N80" i="5"/>
  <c r="V80" i="5"/>
  <c r="AI36" i="5"/>
  <c r="AH78" i="5"/>
  <c r="M73" i="5"/>
  <c r="D5" i="5"/>
  <c r="AB5" i="5"/>
  <c r="O5" i="5"/>
  <c r="L71" i="5"/>
  <c r="AH77" i="5"/>
  <c r="I71" i="5"/>
  <c r="Q71" i="5"/>
  <c r="Y71" i="5"/>
  <c r="Y81" i="5" s="1"/>
  <c r="AG71" i="5"/>
  <c r="AG81" i="5" s="1"/>
  <c r="AI70" i="5"/>
  <c r="J73" i="5"/>
  <c r="R73" i="5"/>
  <c r="AH70" i="5"/>
  <c r="C73" i="5"/>
  <c r="Q80" i="5"/>
  <c r="AH74" i="5"/>
  <c r="AI76" i="5"/>
  <c r="AI66" i="5"/>
  <c r="J71" i="5"/>
  <c r="R71" i="5"/>
  <c r="AH66" i="5"/>
  <c r="G73" i="5"/>
  <c r="AI74" i="5"/>
  <c r="R80" i="5"/>
  <c r="Z80" i="5"/>
  <c r="AI75" i="5"/>
  <c r="AI54" i="5"/>
  <c r="AH54" i="5"/>
  <c r="D73" i="5"/>
  <c r="L73" i="5"/>
  <c r="AH75" i="5"/>
  <c r="D91" i="5"/>
  <c r="AI78" i="5"/>
  <c r="D99" i="5"/>
  <c r="E100" i="5"/>
  <c r="G80" i="5"/>
  <c r="O80" i="5"/>
  <c r="W80" i="5"/>
  <c r="AE80" i="5"/>
  <c r="H80" i="5"/>
  <c r="P80" i="5"/>
  <c r="X80" i="5"/>
  <c r="AF80" i="5"/>
  <c r="C91" i="5"/>
  <c r="AH76" i="5"/>
  <c r="D191" i="5"/>
  <c r="D196" i="5"/>
  <c r="H4" i="4"/>
  <c r="AA212" i="4"/>
  <c r="I7" i="4"/>
  <c r="AE212" i="4"/>
  <c r="M7" i="4"/>
  <c r="AJ212" i="4"/>
  <c r="R7" i="4"/>
  <c r="AB212" i="4"/>
  <c r="J7" i="4"/>
  <c r="AQ212" i="4"/>
  <c r="Y7" i="4"/>
  <c r="R82" i="4"/>
  <c r="AD212" i="4"/>
  <c r="L7" i="4"/>
  <c r="AI212" i="4"/>
  <c r="Q7" i="4"/>
  <c r="X212" i="4"/>
  <c r="F7" i="4"/>
  <c r="AG212" i="4"/>
  <c r="O7" i="4"/>
  <c r="D5" i="4"/>
  <c r="AB5" i="4"/>
  <c r="P74" i="4"/>
  <c r="AI75" i="4"/>
  <c r="E5" i="4"/>
  <c r="C74" i="4"/>
  <c r="K74" i="4"/>
  <c r="S74" i="4"/>
  <c r="AI71" i="4"/>
  <c r="J72" i="4"/>
  <c r="J82" i="4" s="1"/>
  <c r="AI78" i="4"/>
  <c r="AI79" i="4"/>
  <c r="AH79" i="4"/>
  <c r="D82" i="4"/>
  <c r="B74" i="4"/>
  <c r="L72" i="4"/>
  <c r="L82" i="4" s="1"/>
  <c r="D74" i="4"/>
  <c r="S82" i="4"/>
  <c r="D81" i="4"/>
  <c r="M72" i="4"/>
  <c r="E74" i="4"/>
  <c r="G81" i="4"/>
  <c r="O81" i="4"/>
  <c r="W81" i="4"/>
  <c r="AE81" i="4"/>
  <c r="F82" i="4"/>
  <c r="G7" i="4"/>
  <c r="M82" i="4"/>
  <c r="N74" i="4"/>
  <c r="G72" i="4"/>
  <c r="G82" i="4" s="1"/>
  <c r="O72" i="4"/>
  <c r="O82" i="4" s="1"/>
  <c r="N72" i="4"/>
  <c r="AG72" i="4"/>
  <c r="AG82" i="4" s="1"/>
  <c r="C190" i="4"/>
  <c r="D100" i="4"/>
  <c r="H82" i="4"/>
  <c r="G101" i="4"/>
  <c r="Y72" i="4"/>
  <c r="D209" i="4"/>
  <c r="S209" i="4"/>
  <c r="AH37" i="4"/>
  <c r="Q82" i="4"/>
  <c r="Y82" i="4"/>
  <c r="Q72" i="4"/>
  <c r="H74" i="4"/>
  <c r="C207" i="4" s="1"/>
  <c r="B81" i="4"/>
  <c r="AH75" i="4"/>
  <c r="I72" i="4"/>
  <c r="I82" i="4" s="1"/>
  <c r="C81" i="4"/>
  <c r="C82" i="4" s="1"/>
  <c r="K81" i="4"/>
  <c r="S81" i="4"/>
  <c r="AA81" i="4"/>
  <c r="AH78" i="4"/>
  <c r="C92" i="4"/>
  <c r="D107" i="4"/>
  <c r="C198" i="4"/>
  <c r="E192" i="4"/>
  <c r="D198" i="4"/>
  <c r="C233" i="4"/>
  <c r="E197" i="4"/>
  <c r="D233" i="4"/>
  <c r="S81" i="5" l="1"/>
  <c r="S7" i="5"/>
  <c r="Q7" i="5"/>
  <c r="P81" i="5"/>
  <c r="P7" i="5"/>
  <c r="N81" i="5"/>
  <c r="L81" i="5"/>
  <c r="I81" i="5"/>
  <c r="H81" i="5"/>
  <c r="G81" i="5"/>
  <c r="F81" i="5"/>
  <c r="E81" i="5"/>
  <c r="D81" i="5"/>
  <c r="C81" i="5"/>
  <c r="AB211" i="5"/>
  <c r="J7" i="5"/>
  <c r="AC211" i="5"/>
  <c r="K7" i="5"/>
  <c r="J81" i="5"/>
  <c r="AA211" i="5"/>
  <c r="I7" i="5"/>
  <c r="X211" i="5"/>
  <c r="C206" i="5"/>
  <c r="B206" i="5"/>
  <c r="F7" i="5"/>
  <c r="AJ211" i="5"/>
  <c r="R7" i="5"/>
  <c r="AG211" i="5"/>
  <c r="O7" i="5"/>
  <c r="U211" i="5"/>
  <c r="C7" i="5"/>
  <c r="AE211" i="5"/>
  <c r="M7" i="5"/>
  <c r="O81" i="5"/>
  <c r="AH80" i="5"/>
  <c r="AI80" i="5"/>
  <c r="M81" i="5"/>
  <c r="K81" i="5"/>
  <c r="F100" i="5"/>
  <c r="AD211" i="5"/>
  <c r="L7" i="5"/>
  <c r="AF211" i="5"/>
  <c r="N7" i="5"/>
  <c r="D232" i="5"/>
  <c r="E196" i="5"/>
  <c r="D189" i="5"/>
  <c r="E99" i="5"/>
  <c r="W211" i="5"/>
  <c r="E7" i="5"/>
  <c r="D197" i="5"/>
  <c r="E191" i="5"/>
  <c r="E91" i="5" s="1"/>
  <c r="V211" i="5"/>
  <c r="D7" i="5"/>
  <c r="Y211" i="5"/>
  <c r="G7" i="5"/>
  <c r="R81" i="5"/>
  <c r="Q81" i="5"/>
  <c r="AH81" i="4"/>
  <c r="AI81" i="4"/>
  <c r="T212" i="4"/>
  <c r="B7" i="4"/>
  <c r="AK212" i="4"/>
  <c r="S7" i="4"/>
  <c r="F192" i="4"/>
  <c r="E198" i="4"/>
  <c r="W212" i="4"/>
  <c r="E7" i="4"/>
  <c r="AC212" i="4"/>
  <c r="K7" i="4"/>
  <c r="U212" i="4"/>
  <c r="C7" i="4"/>
  <c r="B207" i="4"/>
  <c r="K6" i="4" s="1"/>
  <c r="N82" i="4"/>
  <c r="E107" i="4"/>
  <c r="D92" i="4"/>
  <c r="H101" i="4"/>
  <c r="V212" i="4"/>
  <c r="D7" i="4"/>
  <c r="K82" i="4"/>
  <c r="E82" i="4"/>
  <c r="B82" i="4"/>
  <c r="AH212" i="4"/>
  <c r="P7" i="4"/>
  <c r="E233" i="4"/>
  <c r="F197" i="4"/>
  <c r="Z212" i="4"/>
  <c r="H7" i="4"/>
  <c r="D190" i="4"/>
  <c r="E100" i="4"/>
  <c r="AF212" i="4"/>
  <c r="N7" i="4"/>
  <c r="P82" i="4"/>
  <c r="T211" i="5" l="1"/>
  <c r="B7" i="5"/>
  <c r="E189" i="5"/>
  <c r="F99" i="5"/>
  <c r="K6" i="5"/>
  <c r="E197" i="5"/>
  <c r="F191" i="5"/>
  <c r="G100" i="5"/>
  <c r="F91" i="5"/>
  <c r="E232" i="5"/>
  <c r="F196" i="5"/>
  <c r="I101" i="4"/>
  <c r="E190" i="4"/>
  <c r="F100" i="4"/>
  <c r="E92" i="4"/>
  <c r="F107" i="4"/>
  <c r="F198" i="4"/>
  <c r="G192" i="4"/>
  <c r="F233" i="4"/>
  <c r="G197" i="4"/>
  <c r="G196" i="5" l="1"/>
  <c r="F232" i="5"/>
  <c r="G91" i="5"/>
  <c r="H100" i="5"/>
  <c r="F197" i="5"/>
  <c r="G191" i="5"/>
  <c r="F189" i="5"/>
  <c r="G99" i="5"/>
  <c r="H197" i="4"/>
  <c r="G233" i="4"/>
  <c r="G198" i="4"/>
  <c r="H192" i="4"/>
  <c r="F190" i="4"/>
  <c r="G100" i="4"/>
  <c r="G107" i="4"/>
  <c r="F92" i="4"/>
  <c r="J101" i="4"/>
  <c r="I100" i="5" l="1"/>
  <c r="G197" i="5"/>
  <c r="H191" i="5"/>
  <c r="G232" i="5"/>
  <c r="H196" i="5"/>
  <c r="G189" i="5"/>
  <c r="H99" i="5"/>
  <c r="H107" i="4"/>
  <c r="G92" i="4"/>
  <c r="H198" i="4"/>
  <c r="I192" i="4"/>
  <c r="K101" i="4"/>
  <c r="I197" i="4"/>
  <c r="H233" i="4"/>
  <c r="G190" i="4"/>
  <c r="H100" i="4"/>
  <c r="H232" i="5" l="1"/>
  <c r="I196" i="5"/>
  <c r="H197" i="5"/>
  <c r="I191" i="5"/>
  <c r="H91" i="5"/>
  <c r="J100" i="5"/>
  <c r="I91" i="5"/>
  <c r="H189" i="5"/>
  <c r="I99" i="5"/>
  <c r="L101" i="4"/>
  <c r="I198" i="4"/>
  <c r="J192" i="4"/>
  <c r="H190" i="4"/>
  <c r="I100" i="4"/>
  <c r="I233" i="4"/>
  <c r="J197" i="4"/>
  <c r="I107" i="4"/>
  <c r="H92" i="4"/>
  <c r="K100" i="5" l="1"/>
  <c r="I197" i="5"/>
  <c r="J191" i="5"/>
  <c r="J196" i="5"/>
  <c r="J91" i="5" s="1"/>
  <c r="I232" i="5"/>
  <c r="I189" i="5"/>
  <c r="J99" i="5"/>
  <c r="K192" i="4"/>
  <c r="J198" i="4"/>
  <c r="J233" i="4"/>
  <c r="K197" i="4"/>
  <c r="I190" i="4"/>
  <c r="J100" i="4"/>
  <c r="J107" i="4"/>
  <c r="I92" i="4"/>
  <c r="M101" i="4"/>
  <c r="J189" i="5" l="1"/>
  <c r="K99" i="5"/>
  <c r="K196" i="5"/>
  <c r="J232" i="5"/>
  <c r="J197" i="5"/>
  <c r="K191" i="5"/>
  <c r="L100" i="5"/>
  <c r="K91" i="5"/>
  <c r="J190" i="4"/>
  <c r="K100" i="4"/>
  <c r="K107" i="4"/>
  <c r="J92" i="4"/>
  <c r="L197" i="4"/>
  <c r="K233" i="4"/>
  <c r="N101" i="4"/>
  <c r="L192" i="4"/>
  <c r="K198" i="4"/>
  <c r="M100" i="5" l="1"/>
  <c r="K232" i="5"/>
  <c r="L196" i="5"/>
  <c r="K189" i="5"/>
  <c r="L99" i="5"/>
  <c r="K197" i="5"/>
  <c r="L191" i="5"/>
  <c r="L233" i="4"/>
  <c r="M197" i="4"/>
  <c r="O101" i="4"/>
  <c r="L107" i="4"/>
  <c r="K92" i="4"/>
  <c r="K190" i="4"/>
  <c r="L100" i="4"/>
  <c r="L198" i="4"/>
  <c r="M192" i="4"/>
  <c r="L197" i="5" l="1"/>
  <c r="M191" i="5"/>
  <c r="L189" i="5"/>
  <c r="M99" i="5"/>
  <c r="L232" i="5"/>
  <c r="M196" i="5"/>
  <c r="M91" i="5"/>
  <c r="N100" i="5"/>
  <c r="L91" i="5"/>
  <c r="L190" i="4"/>
  <c r="M100" i="4"/>
  <c r="M107" i="4"/>
  <c r="L92" i="4"/>
  <c r="P101" i="4"/>
  <c r="N192" i="4"/>
  <c r="M198" i="4"/>
  <c r="M233" i="4"/>
  <c r="N197" i="4"/>
  <c r="O100" i="5" l="1"/>
  <c r="M189" i="5"/>
  <c r="N99" i="5"/>
  <c r="M197" i="5"/>
  <c r="N191" i="5"/>
  <c r="M232" i="5"/>
  <c r="N196" i="5"/>
  <c r="Q101" i="4"/>
  <c r="O192" i="4"/>
  <c r="N198" i="4"/>
  <c r="N107" i="4"/>
  <c r="M92" i="4"/>
  <c r="O197" i="4"/>
  <c r="N233" i="4"/>
  <c r="M190" i="4"/>
  <c r="N100" i="4"/>
  <c r="N189" i="5" l="1"/>
  <c r="O99" i="5"/>
  <c r="P100" i="5"/>
  <c r="N232" i="5"/>
  <c r="O196" i="5"/>
  <c r="O191" i="5"/>
  <c r="N197" i="5"/>
  <c r="N91" i="5"/>
  <c r="O107" i="4"/>
  <c r="N92" i="4"/>
  <c r="P197" i="4"/>
  <c r="O233" i="4"/>
  <c r="P192" i="4"/>
  <c r="O198" i="4"/>
  <c r="N190" i="4"/>
  <c r="O100" i="4"/>
  <c r="R101" i="4"/>
  <c r="O232" i="5" l="1"/>
  <c r="P196" i="5"/>
  <c r="O197" i="5"/>
  <c r="P191" i="5"/>
  <c r="Q100" i="5"/>
  <c r="P91" i="5"/>
  <c r="O189" i="5"/>
  <c r="P99" i="5"/>
  <c r="O91" i="5"/>
  <c r="P198" i="4"/>
  <c r="Q192" i="4"/>
  <c r="O190" i="4"/>
  <c r="P100" i="4"/>
  <c r="P233" i="4"/>
  <c r="Q197" i="4"/>
  <c r="S101" i="4"/>
  <c r="P107" i="4"/>
  <c r="O92" i="4"/>
  <c r="P189" i="5" l="1"/>
  <c r="Q99" i="5"/>
  <c r="R100" i="5"/>
  <c r="P197" i="5"/>
  <c r="Q191" i="5"/>
  <c r="P232" i="5"/>
  <c r="Q196" i="5"/>
  <c r="T101" i="4"/>
  <c r="Q233" i="4"/>
  <c r="R197" i="4"/>
  <c r="P190" i="4"/>
  <c r="Q100" i="4"/>
  <c r="Q198" i="4"/>
  <c r="R192" i="4"/>
  <c r="Q107" i="4"/>
  <c r="P92" i="4"/>
  <c r="R196" i="5" l="1"/>
  <c r="Q232" i="5"/>
  <c r="S100" i="5"/>
  <c r="R91" i="5"/>
  <c r="Q91" i="5"/>
  <c r="Q189" i="5"/>
  <c r="R99" i="5"/>
  <c r="R191" i="5"/>
  <c r="Q197" i="5"/>
  <c r="R198" i="4"/>
  <c r="S192" i="4"/>
  <c r="Q190" i="4"/>
  <c r="R100" i="4"/>
  <c r="R233" i="4"/>
  <c r="S197" i="4"/>
  <c r="U101" i="4"/>
  <c r="R107" i="4"/>
  <c r="Q92" i="4"/>
  <c r="R197" i="5" l="1"/>
  <c r="S191" i="5"/>
  <c r="R189" i="5"/>
  <c r="S99" i="5"/>
  <c r="T100" i="5"/>
  <c r="S91" i="5"/>
  <c r="S196" i="5"/>
  <c r="R232" i="5"/>
  <c r="V101" i="4"/>
  <c r="T197" i="4"/>
  <c r="S233" i="4"/>
  <c r="R190" i="4"/>
  <c r="S100" i="4"/>
  <c r="S198" i="4"/>
  <c r="T192" i="4"/>
  <c r="S107" i="4"/>
  <c r="R92" i="4"/>
  <c r="S232" i="5" l="1"/>
  <c r="T196" i="5"/>
  <c r="T91" i="5"/>
  <c r="U100" i="5"/>
  <c r="S189" i="5"/>
  <c r="T99" i="5"/>
  <c r="S197" i="5"/>
  <c r="T191" i="5"/>
  <c r="U192" i="4"/>
  <c r="T198" i="4"/>
  <c r="T50" i="4" s="1"/>
  <c r="S190" i="4"/>
  <c r="T100" i="4"/>
  <c r="T233" i="4"/>
  <c r="U197" i="4"/>
  <c r="T107" i="4"/>
  <c r="S92" i="4"/>
  <c r="W101" i="4"/>
  <c r="T197" i="5" l="1"/>
  <c r="T49" i="5" s="1"/>
  <c r="U191" i="5"/>
  <c r="T189" i="5"/>
  <c r="U99" i="5"/>
  <c r="V100" i="5"/>
  <c r="U91" i="5"/>
  <c r="T232" i="5"/>
  <c r="U196" i="5"/>
  <c r="U107" i="4"/>
  <c r="T92" i="4"/>
  <c r="U233" i="4"/>
  <c r="V197" i="4"/>
  <c r="T190" i="4"/>
  <c r="U100" i="4"/>
  <c r="X101" i="4"/>
  <c r="T51" i="4"/>
  <c r="V192" i="4"/>
  <c r="U198" i="4"/>
  <c r="U50" i="4" s="1"/>
  <c r="U51" i="4" s="1"/>
  <c r="U232" i="5" l="1"/>
  <c r="V196" i="5"/>
  <c r="W100" i="5"/>
  <c r="V91" i="5"/>
  <c r="U189" i="5"/>
  <c r="V99" i="5"/>
  <c r="U197" i="5"/>
  <c r="U49" i="5" s="1"/>
  <c r="U50" i="5" s="1"/>
  <c r="V191" i="5"/>
  <c r="T50" i="5"/>
  <c r="U190" i="4"/>
  <c r="V100" i="4"/>
  <c r="Y101" i="4"/>
  <c r="U74" i="4"/>
  <c r="U72" i="4"/>
  <c r="U82" i="4" s="1"/>
  <c r="W192" i="4"/>
  <c r="V198" i="4"/>
  <c r="V50" i="4" s="1"/>
  <c r="V51" i="4" s="1"/>
  <c r="V233" i="4"/>
  <c r="W197" i="4"/>
  <c r="T72" i="4"/>
  <c r="T74" i="4"/>
  <c r="V107" i="4"/>
  <c r="U92" i="4"/>
  <c r="V197" i="5" l="1"/>
  <c r="V49" i="5" s="1"/>
  <c r="V50" i="5" s="1"/>
  <c r="W191" i="5"/>
  <c r="U71" i="5"/>
  <c r="U73" i="5"/>
  <c r="V189" i="5"/>
  <c r="W99" i="5"/>
  <c r="W91" i="5"/>
  <c r="X100" i="5"/>
  <c r="T73" i="5"/>
  <c r="T71" i="5"/>
  <c r="V232" i="5"/>
  <c r="W196" i="5"/>
  <c r="AM212" i="4"/>
  <c r="U7" i="4"/>
  <c r="V74" i="4"/>
  <c r="V72" i="4"/>
  <c r="V82" i="4" s="1"/>
  <c r="T82" i="4"/>
  <c r="W198" i="4"/>
  <c r="W50" i="4" s="1"/>
  <c r="W51" i="4" s="1"/>
  <c r="X192" i="4"/>
  <c r="AL212" i="4"/>
  <c r="T7" i="4"/>
  <c r="Z101" i="4"/>
  <c r="X197" i="4"/>
  <c r="W233" i="4"/>
  <c r="V190" i="4"/>
  <c r="W100" i="4"/>
  <c r="W107" i="4"/>
  <c r="V92" i="4"/>
  <c r="Y100" i="5" l="1"/>
  <c r="W189" i="5"/>
  <c r="X99" i="5"/>
  <c r="AM211" i="5"/>
  <c r="U7" i="5"/>
  <c r="T81" i="5"/>
  <c r="U81" i="5"/>
  <c r="AL211" i="5"/>
  <c r="T7" i="5"/>
  <c r="W197" i="5"/>
  <c r="W49" i="5" s="1"/>
  <c r="X191" i="5"/>
  <c r="W232" i="5"/>
  <c r="X196" i="5"/>
  <c r="V73" i="5"/>
  <c r="V71" i="5"/>
  <c r="X107" i="4"/>
  <c r="W92" i="4"/>
  <c r="W190" i="4"/>
  <c r="X100" i="4"/>
  <c r="AN212" i="4"/>
  <c r="V7" i="4"/>
  <c r="X233" i="4"/>
  <c r="Y197" i="4"/>
  <c r="X198" i="4"/>
  <c r="X50" i="4" s="1"/>
  <c r="Y192" i="4"/>
  <c r="AA101" i="4"/>
  <c r="W74" i="4"/>
  <c r="W72" i="4"/>
  <c r="X197" i="5" l="1"/>
  <c r="X50" i="5" s="1"/>
  <c r="Y191" i="5"/>
  <c r="W50" i="5"/>
  <c r="X189" i="5"/>
  <c r="Y99" i="5"/>
  <c r="AN211" i="5"/>
  <c r="V7" i="5"/>
  <c r="X232" i="5"/>
  <c r="Y196" i="5"/>
  <c r="Z100" i="5"/>
  <c r="V81" i="5"/>
  <c r="X91" i="5"/>
  <c r="Y198" i="4"/>
  <c r="Z192" i="4"/>
  <c r="X190" i="4"/>
  <c r="Y100" i="4"/>
  <c r="X51" i="4"/>
  <c r="AO212" i="4"/>
  <c r="W7" i="4"/>
  <c r="AB101" i="4"/>
  <c r="W82" i="4"/>
  <c r="Y233" i="4"/>
  <c r="Z197" i="4"/>
  <c r="Y107" i="4"/>
  <c r="X92" i="4"/>
  <c r="W71" i="5" l="1"/>
  <c r="W73" i="5"/>
  <c r="AA100" i="5"/>
  <c r="Z91" i="5"/>
  <c r="Z191" i="5"/>
  <c r="Y197" i="5"/>
  <c r="X73" i="5"/>
  <c r="X71" i="5"/>
  <c r="X81" i="5" s="1"/>
  <c r="Z196" i="5"/>
  <c r="Y232" i="5"/>
  <c r="Y91" i="5"/>
  <c r="Y189" i="5"/>
  <c r="Z99" i="5"/>
  <c r="X72" i="4"/>
  <c r="X74" i="4"/>
  <c r="AC101" i="4"/>
  <c r="Y190" i="4"/>
  <c r="Z100" i="4"/>
  <c r="Z107" i="4"/>
  <c r="Y92" i="4"/>
  <c r="AA192" i="4"/>
  <c r="Z198" i="4"/>
  <c r="Z50" i="4" s="1"/>
  <c r="Z233" i="4"/>
  <c r="AA197" i="4"/>
  <c r="Z189" i="5" l="1"/>
  <c r="AA99" i="5"/>
  <c r="AO211" i="5"/>
  <c r="W7" i="5"/>
  <c r="AB100" i="5"/>
  <c r="AA91" i="5"/>
  <c r="W81" i="5"/>
  <c r="AA191" i="5"/>
  <c r="Z197" i="5"/>
  <c r="Z49" i="5" s="1"/>
  <c r="AA196" i="5"/>
  <c r="Z232" i="5"/>
  <c r="AP211" i="5"/>
  <c r="X7" i="5"/>
  <c r="AB197" i="4"/>
  <c r="AA233" i="4"/>
  <c r="Z190" i="4"/>
  <c r="AA100" i="4"/>
  <c r="AD101" i="4"/>
  <c r="Z51" i="4"/>
  <c r="AP212" i="4"/>
  <c r="X7" i="4"/>
  <c r="AA198" i="4"/>
  <c r="AA50" i="4" s="1"/>
  <c r="AA51" i="4" s="1"/>
  <c r="AB192" i="4"/>
  <c r="X82" i="4"/>
  <c r="AA107" i="4"/>
  <c r="Z92" i="4"/>
  <c r="AC100" i="5" l="1"/>
  <c r="AA232" i="5"/>
  <c r="AB196" i="5"/>
  <c r="Z50" i="5"/>
  <c r="AA189" i="5"/>
  <c r="AB99" i="5"/>
  <c r="AA197" i="5"/>
  <c r="AA49" i="5" s="1"/>
  <c r="AA50" i="5" s="1"/>
  <c r="AB191" i="5"/>
  <c r="AB107" i="4"/>
  <c r="AA92" i="4"/>
  <c r="AB198" i="4"/>
  <c r="AB50" i="4" s="1"/>
  <c r="AB51" i="4" s="1"/>
  <c r="AC192" i="4"/>
  <c r="AA72" i="4"/>
  <c r="AA82" i="4" s="1"/>
  <c r="AA74" i="4"/>
  <c r="AE101" i="4"/>
  <c r="Z74" i="4"/>
  <c r="Z72" i="4"/>
  <c r="AA190" i="4"/>
  <c r="AB100" i="4"/>
  <c r="AB233" i="4"/>
  <c r="AC197" i="4"/>
  <c r="Z73" i="5" l="1"/>
  <c r="Z71" i="5"/>
  <c r="AB197" i="5"/>
  <c r="AB49" i="5" s="1"/>
  <c r="AC191" i="5"/>
  <c r="AB232" i="5"/>
  <c r="AC196" i="5"/>
  <c r="AA71" i="5"/>
  <c r="AA73" i="5"/>
  <c r="AB189" i="5"/>
  <c r="AC99" i="5"/>
  <c r="AD100" i="5"/>
  <c r="AB91" i="5"/>
  <c r="AC233" i="4"/>
  <c r="AD197" i="4"/>
  <c r="AS212" i="4"/>
  <c r="AA7" i="4"/>
  <c r="AB190" i="4"/>
  <c r="AC100" i="4"/>
  <c r="AD192" i="4"/>
  <c r="AC198" i="4"/>
  <c r="AC50" i="4" s="1"/>
  <c r="AC51" i="4" s="1"/>
  <c r="AB72" i="4"/>
  <c r="AB74" i="4"/>
  <c r="Z82" i="4"/>
  <c r="AR212" i="4"/>
  <c r="Z7" i="4"/>
  <c r="AF101" i="4"/>
  <c r="AC107" i="4"/>
  <c r="AB92" i="4"/>
  <c r="AC232" i="5" l="1"/>
  <c r="AD196" i="5"/>
  <c r="AE100" i="5"/>
  <c r="AC197" i="5"/>
  <c r="AC49" i="5" s="1"/>
  <c r="AC50" i="5" s="1"/>
  <c r="AD191" i="5"/>
  <c r="AC91" i="5"/>
  <c r="AB50" i="5"/>
  <c r="AC189" i="5"/>
  <c r="AD99" i="5"/>
  <c r="AS211" i="5"/>
  <c r="AA7" i="5"/>
  <c r="Z81" i="5"/>
  <c r="AA81" i="5"/>
  <c r="AR211" i="5"/>
  <c r="Z7" i="5"/>
  <c r="AC72" i="4"/>
  <c r="AC82" i="4" s="1"/>
  <c r="AC74" i="4"/>
  <c r="AD198" i="4"/>
  <c r="AD50" i="4" s="1"/>
  <c r="AD51" i="4" s="1"/>
  <c r="AE192" i="4"/>
  <c r="AC190" i="4"/>
  <c r="AD100" i="4"/>
  <c r="AD107" i="4"/>
  <c r="AC92" i="4"/>
  <c r="AT212" i="4"/>
  <c r="AB7" i="4"/>
  <c r="AE197" i="4"/>
  <c r="AD233" i="4"/>
  <c r="AB82" i="4"/>
  <c r="AB71" i="5" l="1"/>
  <c r="AB73" i="5"/>
  <c r="AD197" i="5"/>
  <c r="AD49" i="5" s="1"/>
  <c r="AD50" i="5" s="1"/>
  <c r="AE191" i="5"/>
  <c r="AC71" i="5"/>
  <c r="AC73" i="5"/>
  <c r="AD189" i="5"/>
  <c r="AE99" i="5"/>
  <c r="AD91" i="5"/>
  <c r="AF100" i="5"/>
  <c r="AE91" i="5"/>
  <c r="AD232" i="5"/>
  <c r="AE196" i="5"/>
  <c r="AD190" i="4"/>
  <c r="AE100" i="4"/>
  <c r="AF197" i="4"/>
  <c r="AF233" i="4" s="1"/>
  <c r="AE233" i="4"/>
  <c r="AF192" i="4"/>
  <c r="AE198" i="4"/>
  <c r="AE50" i="4" s="1"/>
  <c r="AE51" i="4" s="1"/>
  <c r="AD74" i="4"/>
  <c r="AD72" i="4"/>
  <c r="AD82" i="4" s="1"/>
  <c r="AU212" i="4"/>
  <c r="AC7" i="4"/>
  <c r="AE107" i="4"/>
  <c r="AD92" i="4"/>
  <c r="AC81" i="5" l="1"/>
  <c r="AE197" i="5"/>
  <c r="AE49" i="5" s="1"/>
  <c r="AE50" i="5" s="1"/>
  <c r="AF191" i="5"/>
  <c r="AF197" i="5" s="1"/>
  <c r="AF49" i="5" s="1"/>
  <c r="AD73" i="5"/>
  <c r="AD71" i="5"/>
  <c r="AU211" i="5"/>
  <c r="AC7" i="5"/>
  <c r="AE232" i="5"/>
  <c r="AF196" i="5"/>
  <c r="AF232" i="5" s="1"/>
  <c r="AT211" i="5"/>
  <c r="AB7" i="5"/>
  <c r="AF91" i="5"/>
  <c r="AE189" i="5"/>
  <c r="AF99" i="5"/>
  <c r="AF189" i="5" s="1"/>
  <c r="AB81" i="5"/>
  <c r="AV212" i="4"/>
  <c r="AD7" i="4"/>
  <c r="AE74" i="4"/>
  <c r="AE72" i="4"/>
  <c r="AE82" i="4" s="1"/>
  <c r="AF198" i="4"/>
  <c r="AF50" i="4" s="1"/>
  <c r="AF107" i="4"/>
  <c r="AF92" i="4" s="1"/>
  <c r="AE92" i="4"/>
  <c r="AE190" i="4"/>
  <c r="AF100" i="4"/>
  <c r="AD81" i="5" l="1"/>
  <c r="AV211" i="5"/>
  <c r="AD7" i="5"/>
  <c r="AI91" i="5"/>
  <c r="AH91" i="5"/>
  <c r="AF50" i="5"/>
  <c r="AI49" i="5"/>
  <c r="AH49" i="5"/>
  <c r="AE71" i="5"/>
  <c r="AE73" i="5"/>
  <c r="AI92" i="4"/>
  <c r="AH92" i="4"/>
  <c r="AF51" i="4"/>
  <c r="AH50" i="4"/>
  <c r="AI50" i="4"/>
  <c r="AW212" i="4"/>
  <c r="AE7" i="4"/>
  <c r="AF190" i="4"/>
  <c r="AE81" i="5" l="1"/>
  <c r="AF73" i="5"/>
  <c r="AF71" i="5"/>
  <c r="AH50" i="5"/>
  <c r="AI50" i="5"/>
  <c r="AW211" i="5"/>
  <c r="AE7" i="5"/>
  <c r="AF72" i="4"/>
  <c r="AF74" i="4"/>
  <c r="AI51" i="4"/>
  <c r="AH51" i="4"/>
  <c r="AF81" i="5" l="1"/>
  <c r="AI71" i="5"/>
  <c r="AH71" i="5"/>
  <c r="AX211" i="5"/>
  <c r="AF7" i="5"/>
  <c r="A7" i="5" s="1"/>
  <c r="AH73" i="5"/>
  <c r="AI73" i="5"/>
  <c r="AX212" i="4"/>
  <c r="AF7" i="4"/>
  <c r="A7" i="4" s="1"/>
  <c r="AH74" i="4"/>
  <c r="AI74" i="4"/>
  <c r="AF82" i="4"/>
  <c r="AI72" i="4"/>
  <c r="AH72" i="4"/>
  <c r="AI81" i="5" l="1"/>
  <c r="AH81" i="5"/>
  <c r="AI82" i="4"/>
  <c r="AH82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L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informed tripped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T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lost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<sst xmlns="http://schemas.openxmlformats.org/spreadsheetml/2006/main" count="7172" uniqueCount="267">
  <si>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</si>
  <si>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</si>
  <si>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</si>
  <si>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</si>
  <si>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</si>
  <si>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</si>
  <si>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</si>
  <si>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</si>
  <si>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</si>
  <si>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</si>
  <si>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</si>
  <si>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</si>
  <si>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</si>
  <si>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</si>
  <si>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</si>
  <si>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</si>
  <si>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</si>
  <si>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</si>
  <si>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</si>
  <si>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</si>
  <si>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</si>
  <si>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</si>
  <si>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</si>
  <si>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</si>
  <si>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</si>
  <si>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</si>
  <si>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</si>
  <si>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</si>
  <si>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</si>
  <si>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</si>
  <si>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</si>
  <si>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</si>
  <si>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</si>
  <si>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</si>
  <si>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</si>
  <si>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</si>
  <si>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</si>
  <si>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</si>
  <si>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</si>
  <si>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</si>
  <si>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</si>
  <si>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</si>
  <si>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</si>
  <si>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</si>
  <si>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</si>
  <si>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</si>
  <si>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</si>
  <si>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</si>
  <si>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</si>
  <si>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</si>
  <si>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</si>
  <si>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</si>
  <si>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</si>
  <si>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</si>
  <si>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</si>
  <si>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</si>
  <si>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</si>
  <si>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</si>
  <si>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</si>
  <si>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</si>
  <si>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</si>
  <si>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</si>
  <si>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</si>
  <si>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</si>
  <si>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</si>
  <si>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</si>
  <si>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</si>
  <si>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</si>
  <si>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</si>
  <si>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</si>
  <si>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</si>
  <si>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</si>
  <si>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</si>
  <si>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</si>
  <si>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</si>
  <si>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</t>
  </si>
  <si>
    <t>HTD DIE</t>
  </si>
  <si>
    <t>MRS DI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</si>
  <si>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</si>
  <si>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</si>
  <si>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</si>
  <si>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</si>
  <si>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</si>
  <si>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</si>
  <si>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</si>
  <si>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</si>
  <si>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</si>
  <si>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</si>
  <si>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</si>
  <si>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</si>
  <si>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</si>
  <si>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</si>
  <si>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</si>
  <si>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</si>
  <si>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</si>
  <si>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</si>
  <si>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</si>
  <si>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</si>
  <si>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</si>
  <si>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</si>
  <si>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</si>
  <si>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</si>
  <si>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</si>
  <si>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</si>
  <si>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</si>
  <si>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</si>
  <si>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</si>
  <si>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</si>
  <si>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</si>
  <si>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</si>
  <si>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</si>
  <si>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</si>
  <si>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</si>
  <si>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</si>
  <si>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</si>
  <si>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</si>
  <si>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</si>
  <si>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</si>
  <si>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</si>
  <si>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</si>
  <si>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</si>
  <si>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</si>
  <si>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</si>
  <si>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</si>
  <si>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</si>
  <si>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</si>
  <si>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</si>
  <si>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</si>
  <si>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</si>
  <si>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</si>
  <si>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</si>
  <si>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</si>
  <si>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</si>
  <si>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</si>
  <si>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</si>
  <si>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</si>
  <si>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</si>
  <si>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</si>
  <si>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</si>
  <si>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</si>
  <si>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</si>
  <si>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</si>
  <si>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</si>
  <si>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</si>
  <si>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</si>
  <si>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</si>
  <si>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</si>
  <si>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</si>
  <si>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</si>
  <si>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</si>
  <si>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</si>
  <si>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</si>
  <si>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</si>
  <si>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</si>
  <si>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</si>
  <si>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</si>
  <si>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</si>
  <si>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</si>
  <si>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</si>
  <si>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</si>
  <si>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</si>
  <si>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</si>
  <si>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</si>
  <si>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</si>
  <si>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</si>
  <si>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</si>
  <si>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</si>
  <si>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</si>
  <si>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</si>
  <si>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</si>
  <si>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</si>
  <si>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</si>
  <si>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</si>
  <si>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</si>
  <si>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</si>
  <si>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</si>
  <si>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</si>
  <si>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</si>
  <si>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</si>
  <si>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</si>
  <si>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</si>
  <si>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</si>
  <si>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</si>
  <si>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</si>
  <si>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</si>
  <si>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</si>
  <si>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</si>
  <si>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</si>
  <si>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</si>
  <si>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</si>
  <si>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</si>
  <si>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</si>
  <si>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</si>
  <si>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</si>
  <si>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</si>
  <si>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</si>
  <si>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</si>
  <si>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</si>
  <si>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</si>
  <si>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</si>
  <si>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</si>
  <si>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</si>
  <si>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</si>
  <si>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</si>
  <si>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</si>
  <si>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</si>
  <si>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</si>
  <si>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</si>
  <si>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</si>
  <si>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</si>
  <si>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</si>
  <si>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</si>
  <si>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</si>
  <si>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</si>
  <si>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</si>
  <si>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</si>
  <si>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system</t>
  </si>
  <si>
    <t>Disturb</t>
  </si>
  <si>
    <t>Tamakoshi</t>
  </si>
  <si>
    <t>Kh+Bho</t>
  </si>
  <si>
    <t>NEA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</si>
  <si>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</si>
  <si>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</si>
  <si>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</si>
  <si>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</si>
  <si>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</si>
  <si>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</si>
  <si>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</si>
  <si>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</si>
  <si>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</si>
  <si>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</si>
  <si>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s</t>
  </si>
  <si>
    <t>y</t>
  </si>
  <si>
    <t>t</t>
  </si>
  <si>
    <t>e</t>
  </si>
  <si>
    <t>m</t>
  </si>
  <si>
    <t>d</t>
  </si>
  <si>
    <t>2..8</t>
  </si>
  <si>
    <t xml:space="preserve">                            </t>
  </si>
  <si>
    <t>132..4</t>
  </si>
  <si>
    <t>N/A</t>
  </si>
  <si>
    <t xml:space="preserve"> </t>
  </si>
  <si>
    <t>MULTI F(39)</t>
  </si>
  <si>
    <t>HTD DIE(14.41)</t>
  </si>
  <si>
    <t>MRS DI()</t>
  </si>
  <si>
    <t xml:space="preserve">Thermal </t>
  </si>
  <si>
    <t>NEA installed</t>
  </si>
  <si>
    <t>IPP Installed</t>
  </si>
  <si>
    <t>Current Gen.</t>
  </si>
  <si>
    <t>sub</t>
  </si>
  <si>
    <t xml:space="preserve">Total Installed </t>
  </si>
  <si>
    <t xml:space="preserve">       </t>
  </si>
  <si>
    <t>IPP TOTAL</t>
  </si>
  <si>
    <t>MWH</t>
  </si>
  <si>
    <t>MW</t>
  </si>
  <si>
    <t>TOTAL</t>
  </si>
  <si>
    <t>AVG</t>
  </si>
  <si>
    <t>SPILL MWH</t>
  </si>
  <si>
    <t>SPILL MW</t>
  </si>
  <si>
    <t>49.9.8</t>
  </si>
  <si>
    <t>19..3</t>
  </si>
  <si>
    <t>133..6</t>
  </si>
  <si>
    <t>Likhu IV (52.4)</t>
  </si>
  <si>
    <t>spill</t>
  </si>
  <si>
    <t>38..9</t>
  </si>
  <si>
    <t>UTK</t>
  </si>
  <si>
    <t>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</si>
</sst>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b/>
      <sz val="10"/>
      <color rgb="FFFF0000"/>
      <name val="Times New Roman"/>
      <family val="1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7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8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6" xfId="0" applyFont="1" applyBorder="1" applyAlignment="1">
      <alignment horizontal="right" vertical="center"/>
    </xf>
    <xf numFmtId="167" fontId="12" fillId="8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30" xfId="0" applyFont="1" applyBorder="1" applyAlignment="1">
      <alignment horizontal="right" vertical="center"/>
    </xf>
    <xf numFmtId="167" fontId="12" fillId="0" borderId="27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31" xfId="0" applyNumberFormat="1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2" fontId="25" fillId="0" borderId="33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right" vertical="center"/>
    </xf>
    <xf numFmtId="0" fontId="16" fillId="0" borderId="30" xfId="0" applyFont="1" applyBorder="1" applyAlignment="1">
      <alignment horizontal="right" vertical="center"/>
    </xf>
    <xf numFmtId="167" fontId="12" fillId="9" borderId="27" xfId="0" applyNumberFormat="1" applyFont="1" applyFill="1" applyBorder="1" applyAlignment="1" applyProtection="1">
      <alignment horizontal="center" vertical="center"/>
      <protection locked="0"/>
    </xf>
    <xf numFmtId="0" fontId="16" fillId="0" borderId="34" xfId="0" applyFont="1" applyBorder="1" applyAlignment="1">
      <alignment horizontal="left" vertical="center"/>
    </xf>
    <xf numFmtId="167" fontId="16" fillId="0" borderId="35" xfId="0" applyNumberFormat="1" applyFont="1" applyBorder="1" applyAlignment="1">
      <alignment horizontal="center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6" xfId="0" applyFont="1" applyBorder="1" applyAlignment="1">
      <alignment horizontal="right" vertical="center"/>
    </xf>
    <xf numFmtId="2" fontId="26" fillId="0" borderId="20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5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2" fontId="25" fillId="0" borderId="25" xfId="0" applyNumberFormat="1" applyFont="1" applyBorder="1" applyAlignment="1">
      <alignment horizontal="center" vertical="center"/>
    </xf>
    <xf numFmtId="167" fontId="12" fillId="10" borderId="27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3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right" vertical="center"/>
    </xf>
    <xf numFmtId="2" fontId="12" fillId="0" borderId="3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1" fontId="16" fillId="0" borderId="35" xfId="0" applyNumberFormat="1" applyFont="1" applyBorder="1" applyAlignment="1">
      <alignment horizontal="center" vertical="center"/>
    </xf>
    <xf numFmtId="0" fontId="16" fillId="11" borderId="34" xfId="0" applyFont="1" applyFill="1" applyBorder="1" applyAlignment="1">
      <alignment vertical="center" wrapText="1"/>
    </xf>
    <xf numFmtId="167" fontId="12" fillId="0" borderId="35" xfId="0" applyNumberFormat="1" applyFont="1" applyBorder="1" applyAlignment="1" applyProtection="1">
      <alignment horizontal="center" vertical="center"/>
      <protection locked="0"/>
    </xf>
    <xf numFmtId="2" fontId="25" fillId="0" borderId="39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40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7" fontId="12" fillId="0" borderId="20" xfId="0" applyNumberFormat="1" applyFont="1" applyBorder="1" applyAlignment="1" applyProtection="1">
      <alignment horizontal="center" vertical="center"/>
      <protection locked="0"/>
    </xf>
    <xf numFmtId="167" fontId="12" fillId="0" borderId="43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167" fontId="12" fillId="0" borderId="43" xfId="0" applyNumberFormat="1" applyFont="1" applyBorder="1" applyAlignment="1" applyProtection="1">
      <alignment horizontal="center"/>
      <protection locked="0"/>
    </xf>
    <xf numFmtId="2" fontId="12" fillId="0" borderId="44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6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6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40" xfId="0" applyFont="1" applyBorder="1" applyAlignment="1">
      <alignment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47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2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 vertical="center"/>
      <protection locked="0"/>
    </xf>
    <xf numFmtId="0" fontId="12" fillId="0" borderId="49" xfId="0" applyFont="1" applyBorder="1" applyAlignment="1">
      <alignment vertical="center"/>
    </xf>
    <xf numFmtId="167" fontId="12" fillId="0" borderId="20" xfId="0" applyNumberFormat="1" applyFont="1" applyBorder="1" applyAlignment="1" applyProtection="1">
      <alignment horizontal="center"/>
      <protection locked="0"/>
    </xf>
    <xf numFmtId="167" fontId="12" fillId="0" borderId="50" xfId="0" applyNumberFormat="1" applyFont="1" applyBorder="1" applyAlignment="1" applyProtection="1">
      <alignment horizontal="center"/>
      <protection locked="0"/>
    </xf>
    <xf numFmtId="2" fontId="0" fillId="0" borderId="2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51" xfId="0" applyFont="1" applyBorder="1" applyAlignment="1">
      <alignment vertical="center"/>
    </xf>
    <xf numFmtId="0" fontId="0" fillId="0" borderId="52" xfId="0" applyBorder="1" applyAlignment="1">
      <alignment horizontal="center"/>
    </xf>
    <xf numFmtId="2" fontId="0" fillId="0" borderId="52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3" xfId="0" applyFont="1" applyBorder="1" applyAlignment="1">
      <alignment vertical="center"/>
    </xf>
    <xf numFmtId="2" fontId="12" fillId="0" borderId="27" xfId="0" applyNumberFormat="1" applyFont="1" applyBorder="1" applyAlignment="1">
      <alignment horizontal="center" vertical="center"/>
    </xf>
    <xf numFmtId="170" fontId="25" fillId="0" borderId="54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170" fontId="25" fillId="0" borderId="43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5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vertical="center"/>
    </xf>
    <xf numFmtId="2" fontId="29" fillId="0" borderId="27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8" fontId="12" fillId="0" borderId="60" xfId="0" applyNumberFormat="1" applyFont="1" applyBorder="1" applyAlignment="1">
      <alignment vertical="center"/>
    </xf>
    <xf numFmtId="168" fontId="12" fillId="0" borderId="20" xfId="0" applyNumberFormat="1" applyFont="1" applyBorder="1" applyAlignment="1">
      <alignment vertical="center"/>
    </xf>
    <xf numFmtId="168" fontId="12" fillId="0" borderId="21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33" fillId="15" borderId="27" xfId="0" applyNumberFormat="1" applyFont="1" applyFill="1" applyBorder="1" applyAlignment="1">
      <alignment horizontal="center" vertical="top" wrapText="1"/>
    </xf>
    <xf numFmtId="167" fontId="33" fillId="15" borderId="6" xfId="0" applyNumberFormat="1" applyFont="1" applyFill="1" applyBorder="1" applyAlignment="1">
      <alignment horizontal="center" vertical="top" wrapText="1"/>
    </xf>
    <xf numFmtId="167" fontId="33" fillId="15" borderId="20" xfId="0" applyNumberFormat="1" applyFont="1" applyFill="1" applyBorder="1" applyAlignment="1">
      <alignment horizontal="center" vertical="top" wrapText="1"/>
    </xf>
    <xf numFmtId="167" fontId="33" fillId="15" borderId="53" xfId="0" applyNumberFormat="1" applyFont="1" applyFill="1" applyBorder="1" applyAlignment="1" applyProtection="1">
      <alignment horizontal="center" vertical="top" wrapText="1"/>
      <protection locked="0"/>
    </xf>
    <xf numFmtId="167" fontId="33" fillId="15" borderId="42" xfId="0" applyNumberFormat="1" applyFont="1" applyFill="1" applyBorder="1" applyAlignment="1" applyProtection="1">
      <alignment horizontal="center" vertical="top" wrapText="1"/>
      <protection locked="0"/>
    </xf>
    <xf numFmtId="0" fontId="33" fillId="15" borderId="49" xfId="0" applyFont="1" applyFill="1" applyBorder="1" applyAlignment="1">
      <alignment horizontal="center" vertical="top" wrapText="1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 applyFill="1" applyBorder="1"/>
    <xf numFmtId="0" fontId="34" fillId="0" borderId="30" xfId="0" applyFont="1" applyBorder="1" applyAlignment="1">
      <alignment horizontal="right" vertical="center"/>
    </xf>
    <xf numFmtId="2" fontId="12" fillId="6" borderId="61" xfId="0" applyNumberFormat="1" applyFont="1" applyFill="1" applyBorder="1" applyAlignment="1">
      <alignment horizontal="center" vertical="center"/>
    </xf>
    <xf numFmtId="43" fontId="9" fillId="16" borderId="5" xfId="1" applyFont="1" applyFill="1" applyBorder="1" applyAlignment="1">
      <alignment horizontal="center"/>
    </xf>
    <xf numFmtId="0" fontId="9" fillId="16" borderId="0" xfId="0" applyFont="1" applyFill="1" applyBorder="1"/>
    <xf numFmtId="0" fontId="0" fillId="16" borderId="64" xfId="0" applyFill="1" applyBorder="1"/>
    <xf numFmtId="43" fontId="13" fillId="16" borderId="5" xfId="1" applyFont="1" applyFill="1" applyBorder="1" applyAlignment="1">
      <alignment horizontal="center" vertical="center"/>
    </xf>
    <xf numFmtId="0" fontId="18" fillId="16" borderId="0" xfId="0" applyFont="1" applyFill="1" applyBorder="1"/>
    <xf numFmtId="43" fontId="21" fillId="16" borderId="65" xfId="1" applyFont="1" applyFill="1" applyBorder="1" applyAlignment="1">
      <alignment horizontal="center" vertical="center"/>
    </xf>
    <xf numFmtId="1" fontId="20" fillId="16" borderId="66" xfId="0" applyNumberFormat="1" applyFont="1" applyFill="1" applyBorder="1" applyAlignment="1">
      <alignment horizontal="center" vertical="center"/>
    </xf>
    <xf numFmtId="0" fontId="2" fillId="16" borderId="67" xfId="0" applyFont="1" applyFill="1" applyBorder="1"/>
    <xf numFmtId="43" fontId="0" fillId="0" borderId="0" xfId="0" applyNumberFormat="1"/>
    <xf numFmtId="167" fontId="12" fillId="0" borderId="40" xfId="0" applyNumberFormat="1" applyFont="1" applyBorder="1" applyAlignment="1" applyProtection="1">
      <alignment horizontal="center" vertical="center"/>
      <protection locked="0"/>
    </xf>
    <xf numFmtId="167" fontId="12" fillId="0" borderId="4" xfId="0" applyNumberFormat="1" applyFont="1" applyBorder="1" applyAlignment="1" applyProtection="1">
      <alignment horizontal="center" vertical="center"/>
      <protection locked="0"/>
    </xf>
    <xf numFmtId="167" fontId="12" fillId="0" borderId="7" xfId="0" applyNumberFormat="1" applyFont="1" applyBorder="1" applyAlignment="1" applyProtection="1">
      <alignment horizontal="center" vertical="center"/>
      <protection locked="0"/>
    </xf>
    <xf numFmtId="167" fontId="12" fillId="0" borderId="9" xfId="0" applyNumberFormat="1" applyFont="1" applyBorder="1" applyAlignment="1" applyProtection="1">
      <alignment horizontal="center" vertical="center"/>
      <protection locked="0"/>
    </xf>
    <xf numFmtId="167" fontId="12" fillId="0" borderId="68" xfId="0" applyNumberFormat="1" applyFont="1" applyBorder="1" applyAlignment="1" applyProtection="1">
      <alignment horizontal="center" vertical="center"/>
      <protection locked="0"/>
    </xf>
    <xf numFmtId="0" fontId="0" fillId="0" borderId="50" xfId="0" applyBorder="1"/>
    <xf numFmtId="167" fontId="0" fillId="0" borderId="70" xfId="0" applyNumberFormat="1" applyBorder="1"/>
    <xf numFmtId="167" fontId="0" fillId="0" borderId="60" xfId="0" applyNumberFormat="1" applyBorder="1"/>
    <xf numFmtId="0" fontId="0" fillId="0" borderId="71" xfId="0" applyBorder="1"/>
    <xf numFmtId="167" fontId="0" fillId="0" borderId="0" xfId="0" applyNumberFormat="1" applyBorder="1"/>
    <xf numFmtId="167" fontId="0" fillId="0" borderId="72" xfId="0" applyNumberFormat="1" applyBorder="1"/>
    <xf numFmtId="164" fontId="14" fillId="0" borderId="69" xfId="0" applyNumberFormat="1" applyFont="1" applyFill="1" applyBorder="1" applyAlignment="1"/>
    <xf numFmtId="0" fontId="0" fillId="0" borderId="6" xfId="0" applyNumberFormat="1" applyBorder="1"/>
    <xf numFmtId="167" fontId="0" fillId="0" borderId="6" xfId="0" applyNumberFormat="1" applyBorder="1"/>
    <xf numFmtId="167" fontId="12" fillId="14" borderId="27" xfId="0" applyNumberFormat="1" applyFont="1" applyFill="1" applyBorder="1" applyAlignment="1" applyProtection="1">
      <alignment horizontal="center" vertical="center"/>
      <protection locked="0"/>
    </xf>
    <xf numFmtId="167" fontId="16" fillId="0" borderId="73" xfId="0" applyNumberFormat="1" applyFont="1" applyBorder="1" applyAlignment="1">
      <alignment horizontal="center" vertical="center"/>
    </xf>
    <xf numFmtId="167" fontId="16" fillId="0" borderId="74" xfId="0" applyNumberFormat="1" applyFont="1" applyBorder="1" applyAlignment="1">
      <alignment horizontal="center" vertical="center"/>
    </xf>
    <xf numFmtId="167" fontId="12" fillId="5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57" xfId="0" applyNumberFormat="1" applyFont="1" applyBorder="1" applyAlignment="1" applyProtection="1">
      <alignment horizontal="center" vertical="center"/>
      <protection locked="0"/>
    </xf>
    <xf numFmtId="167" fontId="12" fillId="0" borderId="58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2" fontId="23" fillId="0" borderId="17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168" fontId="12" fillId="0" borderId="20" xfId="0" applyNumberFormat="1" applyFont="1" applyBorder="1" applyAlignment="1">
      <alignment horizontal="center" vertical="center"/>
    </xf>
    <xf numFmtId="169" fontId="24" fillId="7" borderId="22" xfId="0" applyNumberFormat="1" applyFont="1" applyFill="1" applyBorder="1" applyAlignment="1">
      <alignment horizontal="center" vertical="center" wrapText="1"/>
    </xf>
    <xf numFmtId="169" fontId="24" fillId="7" borderId="25" xfId="0" applyNumberFormat="1" applyFont="1" applyFill="1" applyBorder="1" applyAlignment="1">
      <alignment horizontal="center" vertical="center" wrapText="1"/>
    </xf>
    <xf numFmtId="168" fontId="12" fillId="0" borderId="24" xfId="0" applyNumberFormat="1" applyFont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5" fillId="2" borderId="6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1162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'1'!$T$209:$AX$209</c:f>
              <c:numCache>
                <c:formatCode>General</c:formatCode>
                <c:ptCount val="31"/>
              </c:numCache>
            </c:numRef>
          </c:cat>
          <c:val>
            <c:numRef>
              <c:f>'1'!$T$210:$AX$210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195968"/>
        <c:axId val="296206336"/>
      </c:lineChart>
      <c:catAx>
        <c:axId val="296195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06336"/>
        <c:crosses val="autoZero"/>
        <c:auto val="1"/>
        <c:lblAlgn val="ctr"/>
        <c:lblOffset val="100"/>
        <c:noMultiLvlLbl val="0"/>
      </c:catAx>
      <c:valAx>
        <c:axId val="29620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9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'2'!$T$209:$AX$209</c:f>
              <c:numCache>
                <c:formatCode>General</c:formatCode>
                <c:ptCount val="31"/>
              </c:numCache>
            </c:numRef>
          </c:cat>
          <c:val>
            <c:numRef>
              <c:f>'2'!$T$210:$AX$210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66304"/>
        <c:axId val="305668480"/>
      </c:lineChart>
      <c:catAx>
        <c:axId val="305666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8480"/>
        <c:crosses val="autoZero"/>
        <c:auto val="1"/>
        <c:lblAlgn val="ctr"/>
        <c:lblOffset val="100"/>
        <c:noMultiLvlLbl val="0"/>
      </c:catAx>
      <c:valAx>
        <c:axId val="305668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'3'!$T$209:$AX$209</c:f>
              <c:numCache>
                <c:formatCode>General</c:formatCode>
                <c:ptCount val="31"/>
              </c:numCache>
            </c:numRef>
          </c:cat>
          <c:val>
            <c:numRef>
              <c:f>'3'!$T$210:$AX$210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37760"/>
        <c:axId val="306839936"/>
      </c:lineChart>
      <c:catAx>
        <c:axId val="306837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39936"/>
        <c:crosses val="autoZero"/>
        <c:auto val="1"/>
        <c:lblAlgn val="ctr"/>
        <c:lblOffset val="100"/>
        <c:noMultiLvlLbl val="0"/>
      </c:catAx>
      <c:valAx>
        <c:axId val="30683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'4'!$T$209:$AX$209</c:f>
              <c:numCache>
                <c:formatCode>General</c:formatCode>
                <c:ptCount val="31"/>
              </c:numCache>
            </c:numRef>
          </c:cat>
          <c:val>
            <c:numRef>
              <c:f>'4'!$T$210:$AX$210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839168"/>
        <c:axId val="308841088"/>
      </c:lineChart>
      <c:catAx>
        <c:axId val="308839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41088"/>
        <c:crosses val="autoZero"/>
        <c:auto val="1"/>
        <c:lblAlgn val="ctr"/>
        <c:lblOffset val="100"/>
        <c:noMultiLvlLbl val="0"/>
      </c:catAx>
      <c:valAx>
        <c:axId val="308841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83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'5'!$T$209:$AX$209</c:f>
              <c:numCache>
                <c:formatCode>General</c:formatCode>
                <c:ptCount val="31"/>
              </c:numCache>
            </c:numRef>
          </c:cat>
          <c:val>
            <c:numRef>
              <c:f>'5'!$T$210:$AX$210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846848"/>
        <c:axId val="318849024"/>
      </c:lineChart>
      <c:catAx>
        <c:axId val="318846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49024"/>
        <c:crosses val="autoZero"/>
        <c:auto val="1"/>
        <c:lblAlgn val="ctr"/>
        <c:lblOffset val="100"/>
        <c:noMultiLvlLbl val="0"/>
      </c:catAx>
      <c:valAx>
        <c:axId val="31884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4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'6'!$T$209:$AX$209</c:f>
              <c:numCache>
                <c:formatCode>General</c:formatCode>
                <c:ptCount val="31"/>
              </c:numCache>
            </c:numRef>
          </c:cat>
          <c:val>
            <c:numRef>
              <c:f>'6'!$T$210:$AX$210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601088"/>
        <c:axId val="320672896"/>
      </c:lineChart>
      <c:catAx>
        <c:axId val="320601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72896"/>
        <c:crosses val="autoZero"/>
        <c:auto val="1"/>
        <c:lblAlgn val="ctr"/>
        <c:lblOffset val="100"/>
        <c:noMultiLvlLbl val="0"/>
      </c:catAx>
      <c:valAx>
        <c:axId val="320672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0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'7'!$T$209:$AX$209</c:f>
              <c:numCache>
                <c:formatCode>General</c:formatCode>
                <c:ptCount val="31"/>
              </c:numCache>
            </c:numRef>
          </c:cat>
          <c:val>
            <c:numRef>
              <c:f>'7'!$T$210:$AX$210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012288"/>
        <c:axId val="322014208"/>
      </c:lineChart>
      <c:catAx>
        <c:axId val="32201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14208"/>
        <c:crosses val="autoZero"/>
        <c:auto val="1"/>
        <c:lblAlgn val="ctr"/>
        <c:lblOffset val="100"/>
        <c:noMultiLvlLbl val="0"/>
      </c:catAx>
      <c:valAx>
        <c:axId val="3220142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'8'!$T$209:$AX$209</c:f>
              <c:numCache>
                <c:formatCode>General</c:formatCode>
                <c:ptCount val="31"/>
              </c:numCache>
            </c:numRef>
          </c:cat>
          <c:val>
            <c:numRef>
              <c:f>'8'!$T$210:$AX$210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657280"/>
        <c:axId val="322684032"/>
      </c:lineChart>
      <c:catAx>
        <c:axId val="322657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84032"/>
        <c:crosses val="autoZero"/>
        <c:auto val="1"/>
        <c:lblAlgn val="ctr"/>
        <c:lblOffset val="100"/>
        <c:noMultiLvlLbl val="0"/>
      </c:catAx>
      <c:valAx>
        <c:axId val="322684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5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'9'!$T$209:$AX$209</c:f>
              <c:numCache>
                <c:formatCode>General</c:formatCode>
                <c:ptCount val="31"/>
              </c:numCache>
            </c:numRef>
          </c:cat>
          <c:val>
            <c:numRef>
              <c:f>'9'!$T$210:$AX$210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764992"/>
        <c:axId val="323766912"/>
      </c:lineChart>
      <c:catAx>
        <c:axId val="323764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66912"/>
        <c:crosses val="autoZero"/>
        <c:auto val="1"/>
        <c:lblAlgn val="ctr"/>
        <c:lblOffset val="100"/>
        <c:noMultiLvlLbl val="0"/>
      </c:catAx>
      <c:valAx>
        <c:axId val="32376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'10'!$T$209:$AX$209</c:f>
              <c:numCache>
                <c:formatCode>General</c:formatCode>
                <c:ptCount val="31"/>
              </c:numCache>
            </c:numRef>
          </c:cat>
          <c:val>
            <c:numRef>
              <c:f>'10'!$T$210:$AX$210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321088"/>
        <c:axId val="325323008"/>
      </c:lineChart>
      <c:catAx>
        <c:axId val="325321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23008"/>
        <c:crosses val="autoZero"/>
        <c:auto val="1"/>
        <c:lblAlgn val="ctr"/>
        <c:lblOffset val="100"/>
        <c:noMultiLvlLbl val="0"/>
      </c:catAx>
      <c:valAx>
        <c:axId val="325323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2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'11'!$T$209:$AX$209</c:f>
              <c:numCache>
                <c:formatCode>General</c:formatCode>
                <c:ptCount val="31"/>
              </c:numCache>
            </c:numRef>
          </c:cat>
          <c:val>
            <c:numRef>
              <c:f>'11'!$T$210:$AX$210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876544"/>
        <c:axId val="326886912"/>
      </c:lineChart>
      <c:catAx>
        <c:axId val="326876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86912"/>
        <c:crosses val="autoZero"/>
        <c:auto val="1"/>
        <c:lblAlgn val="ctr"/>
        <c:lblOffset val="100"/>
        <c:noMultiLvlLbl val="0"/>
      </c:catAx>
      <c:valAx>
        <c:axId val="32688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7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'12'!$T$209:$AX$209</c:f>
              <c:numCache>
                <c:formatCode>General</c:formatCode>
                <c:ptCount val="31"/>
              </c:numCache>
            </c:numRef>
          </c:cat>
          <c:val>
            <c:numRef>
              <c:f>'12'!$T$210:$AX$210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183616"/>
        <c:axId val="329185536"/>
      </c:lineChart>
      <c:catAx>
        <c:axId val="329183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85536"/>
        <c:crosses val="autoZero"/>
        <c:auto val="1"/>
        <c:lblAlgn val="ctr"/>
        <c:lblOffset val="100"/>
        <c:noMultiLvlLbl val="0"/>
      </c:catAx>
      <c:valAx>
        <c:axId val="32918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18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'13'!$T$209:$AX$209</c:f>
              <c:numCache>
                <c:formatCode>General</c:formatCode>
                <c:ptCount val="31"/>
              </c:numCache>
            </c:numRef>
          </c:cat>
          <c:val>
            <c:numRef>
              <c:f>'13'!$T$210:$AX$210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790528"/>
        <c:axId val="346837760"/>
      </c:lineChart>
      <c:catAx>
        <c:axId val="346790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37760"/>
        <c:crosses val="autoZero"/>
        <c:auto val="1"/>
        <c:lblAlgn val="ctr"/>
        <c:lblOffset val="100"/>
        <c:noMultiLvlLbl val="0"/>
      </c:catAx>
      <c:valAx>
        <c:axId val="346837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'14'!$T$209:$AX$209</c:f>
              <c:numCache>
                <c:formatCode>General</c:formatCode>
                <c:ptCount val="31"/>
              </c:numCache>
            </c:numRef>
          </c:cat>
          <c:val>
            <c:numRef>
              <c:f>'14'!$T$210:$AX$210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871680"/>
        <c:axId val="348873856"/>
      </c:lineChart>
      <c:catAx>
        <c:axId val="348871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73856"/>
        <c:crosses val="autoZero"/>
        <c:auto val="1"/>
        <c:lblAlgn val="ctr"/>
        <c:lblOffset val="100"/>
        <c:noMultiLvlLbl val="0"/>
      </c:catAx>
      <c:valAx>
        <c:axId val="348873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7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'15'!$T$209:$AX$209</c:f>
              <c:numCache>
                <c:formatCode>General</c:formatCode>
                <c:ptCount val="31"/>
              </c:numCache>
            </c:numRef>
          </c:cat>
          <c:val>
            <c:numRef>
              <c:f>'15'!$T$210:$AX$210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074560"/>
        <c:axId val="354496896"/>
      </c:lineChart>
      <c:catAx>
        <c:axId val="351074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96896"/>
        <c:crosses val="autoZero"/>
        <c:auto val="1"/>
        <c:lblAlgn val="ctr"/>
        <c:lblOffset val="100"/>
        <c:noMultiLvlLbl val="0"/>
      </c:catAx>
      <c:valAx>
        <c:axId val="354496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'16'!$A$209:$A$213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'16'!$B$209:$B$213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'16'!$T$209:$AX$209</c:f>
              <c:numCache>
                <c:formatCode>General</c:formatCode>
                <c:ptCount val="31"/>
              </c:numCache>
            </c:numRef>
          </c:cat>
          <c:val>
            <c:numRef>
              <c:f>'16'!$T$210:$AX$210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544320"/>
        <c:axId val="357546240"/>
      </c:lineChart>
      <c:catAx>
        <c:axId val="357544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46240"/>
        <c:crosses val="autoZero"/>
        <c:auto val="1"/>
        <c:lblAlgn val="ctr"/>
        <c:lblOffset val="100"/>
        <c:noMultiLvlLbl val="0"/>
      </c:catAx>
      <c:valAx>
        <c:axId val="357546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'17'!$T$210:$AX$210</c:f>
              <c:numCache>
                <c:formatCode>General</c:formatCode>
                <c:ptCount val="31"/>
              </c:numCache>
            </c:numRef>
          </c:cat>
          <c:val>
            <c:numRef>
              <c:f>'17'!$T$211:$AX$211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960704"/>
        <c:axId val="357966976"/>
      </c:lineChart>
      <c:catAx>
        <c:axId val="357960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66976"/>
        <c:crosses val="autoZero"/>
        <c:auto val="1"/>
        <c:lblAlgn val="ctr"/>
        <c:lblOffset val="100"/>
        <c:noMultiLvlLbl val="0"/>
      </c:catAx>
      <c:valAx>
        <c:axId val="357966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'18'!$T$210:$AX$210</c:f>
              <c:numCache>
                <c:formatCode>General</c:formatCode>
                <c:ptCount val="31"/>
              </c:numCache>
            </c:numRef>
          </c:cat>
          <c:val>
            <c:numRef>
              <c:f>'18'!$T$211:$AX$211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640512"/>
        <c:axId val="360642432"/>
      </c:lineChart>
      <c:catAx>
        <c:axId val="360640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42432"/>
        <c:crosses val="autoZero"/>
        <c:auto val="1"/>
        <c:lblAlgn val="ctr"/>
        <c:lblOffset val="100"/>
        <c:noMultiLvlLbl val="0"/>
      </c:catAx>
      <c:valAx>
        <c:axId val="360642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'19'!$T$210:$AX$210</c:f>
              <c:numCache>
                <c:formatCode>General</c:formatCode>
                <c:ptCount val="31"/>
              </c:numCache>
            </c:numRef>
          </c:cat>
          <c:val>
            <c:numRef>
              <c:f>'19'!$T$211:$AX$211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043072"/>
        <c:axId val="363045248"/>
      </c:lineChart>
      <c:catAx>
        <c:axId val="36304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5248"/>
        <c:crosses val="autoZero"/>
        <c:auto val="1"/>
        <c:lblAlgn val="ctr"/>
        <c:lblOffset val="100"/>
        <c:noMultiLvlLbl val="0"/>
      </c:catAx>
      <c:valAx>
        <c:axId val="363045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'20'!$T$210:$AX$210</c:f>
              <c:numCache>
                <c:formatCode>General</c:formatCode>
                <c:ptCount val="31"/>
              </c:numCache>
            </c:numRef>
          </c:cat>
          <c:val>
            <c:numRef>
              <c:f>'20'!$T$211:$AX$211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123648"/>
        <c:axId val="364125568"/>
      </c:lineChart>
      <c:catAx>
        <c:axId val="364123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25568"/>
        <c:crosses val="autoZero"/>
        <c:auto val="1"/>
        <c:lblAlgn val="ctr"/>
        <c:lblOffset val="100"/>
        <c:noMultiLvlLbl val="0"/>
      </c:catAx>
      <c:valAx>
        <c:axId val="364125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2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'21'!$T$210:$AX$210</c:f>
              <c:numCache>
                <c:formatCode>General</c:formatCode>
                <c:ptCount val="31"/>
              </c:numCache>
            </c:numRef>
          </c:cat>
          <c:val>
            <c:numRef>
              <c:f>'21'!$T$211:$AX$211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681280"/>
        <c:axId val="365683456"/>
      </c:lineChart>
      <c:catAx>
        <c:axId val="365681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83456"/>
        <c:crosses val="autoZero"/>
        <c:auto val="1"/>
        <c:lblAlgn val="ctr"/>
        <c:lblOffset val="100"/>
        <c:noMultiLvlLbl val="0"/>
      </c:catAx>
      <c:valAx>
        <c:axId val="365683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8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'22'!$T$210:$AX$210</c:f>
              <c:numCache>
                <c:formatCode>General</c:formatCode>
                <c:ptCount val="31"/>
              </c:numCache>
            </c:numRef>
          </c:cat>
          <c:val>
            <c:numRef>
              <c:f>'22'!$T$211:$AX$211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503808"/>
        <c:axId val="366510080"/>
      </c:lineChart>
      <c:catAx>
        <c:axId val="36650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10080"/>
        <c:crosses val="autoZero"/>
        <c:auto val="1"/>
        <c:lblAlgn val="ctr"/>
        <c:lblOffset val="100"/>
        <c:noMultiLvlLbl val="0"/>
      </c:catAx>
      <c:valAx>
        <c:axId val="366510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0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'23'!$T$210:$AX$210</c:f>
              <c:numCache>
                <c:formatCode>General</c:formatCode>
                <c:ptCount val="31"/>
              </c:numCache>
            </c:numRef>
          </c:cat>
          <c:val>
            <c:numRef>
              <c:f>'23'!$T$211:$AX$211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366528"/>
        <c:axId val="367368448"/>
      </c:lineChart>
      <c:catAx>
        <c:axId val="367366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68448"/>
        <c:crosses val="autoZero"/>
        <c:auto val="1"/>
        <c:lblAlgn val="ctr"/>
        <c:lblOffset val="100"/>
        <c:noMultiLvlLbl val="0"/>
      </c:catAx>
      <c:valAx>
        <c:axId val="367368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6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'24'!$T$210:$AX$210</c:f>
              <c:numCache>
                <c:formatCode>General</c:formatCode>
                <c:ptCount val="31"/>
              </c:numCache>
            </c:numRef>
          </c:cat>
          <c:val>
            <c:numRef>
              <c:f>'24'!$T$211:$AX$211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337664"/>
        <c:axId val="368339584"/>
      </c:lineChart>
      <c:catAx>
        <c:axId val="368337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39584"/>
        <c:crosses val="autoZero"/>
        <c:auto val="1"/>
        <c:lblAlgn val="ctr"/>
        <c:lblOffset val="100"/>
        <c:noMultiLvlLbl val="0"/>
      </c:catAx>
      <c:valAx>
        <c:axId val="368339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3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'25'!$T$210:$AX$210</c:f>
              <c:numCache>
                <c:formatCode>General</c:formatCode>
                <c:ptCount val="31"/>
              </c:numCache>
            </c:numRef>
          </c:cat>
          <c:val>
            <c:numRef>
              <c:f>'25'!$T$211:$AX$211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60672"/>
        <c:axId val="369662592"/>
      </c:lineChart>
      <c:catAx>
        <c:axId val="369660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62592"/>
        <c:crosses val="autoZero"/>
        <c:auto val="1"/>
        <c:lblAlgn val="ctr"/>
        <c:lblOffset val="100"/>
        <c:noMultiLvlLbl val="0"/>
      </c:catAx>
      <c:valAx>
        <c:axId val="369662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6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'26'!$T$210:$AX$210</c:f>
              <c:numCache>
                <c:formatCode>General</c:formatCode>
                <c:ptCount val="31"/>
              </c:numCache>
            </c:numRef>
          </c:cat>
          <c:val>
            <c:numRef>
              <c:f>'26'!$T$211:$AX$211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777088"/>
        <c:axId val="370791552"/>
      </c:lineChart>
      <c:catAx>
        <c:axId val="370777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91552"/>
        <c:crosses val="autoZero"/>
        <c:auto val="1"/>
        <c:lblAlgn val="ctr"/>
        <c:lblOffset val="100"/>
        <c:noMultiLvlLbl val="0"/>
      </c:catAx>
      <c:valAx>
        <c:axId val="370791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'27'!$T$210:$AX$210</c:f>
              <c:numCache>
                <c:formatCode>General</c:formatCode>
                <c:ptCount val="31"/>
              </c:numCache>
            </c:numRef>
          </c:cat>
          <c:val>
            <c:numRef>
              <c:f>'27'!$T$211:$AX$211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570944"/>
        <c:axId val="371581312"/>
      </c:lineChart>
      <c:catAx>
        <c:axId val="371570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81312"/>
        <c:crosses val="autoZero"/>
        <c:auto val="1"/>
        <c:lblAlgn val="ctr"/>
        <c:lblOffset val="100"/>
        <c:noMultiLvlLbl val="0"/>
      </c:catAx>
      <c:valAx>
        <c:axId val="371581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7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'28'!$T$210:$AX$210</c:f>
              <c:numCache>
                <c:formatCode>General</c:formatCode>
                <c:ptCount val="31"/>
              </c:numCache>
            </c:numRef>
          </c:cat>
          <c:val>
            <c:numRef>
              <c:f>'28'!$T$211:$AX$211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457472"/>
        <c:axId val="372459392"/>
      </c:lineChart>
      <c:catAx>
        <c:axId val="372457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9392"/>
        <c:crosses val="autoZero"/>
        <c:auto val="1"/>
        <c:lblAlgn val="ctr"/>
        <c:lblOffset val="100"/>
        <c:noMultiLvlLbl val="0"/>
      </c:catAx>
      <c:valAx>
        <c:axId val="372459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5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'29'!$T$210:$AX$210</c:f>
              <c:numCache>
                <c:formatCode>General</c:formatCode>
                <c:ptCount val="31"/>
              </c:numCache>
            </c:numRef>
          </c:cat>
          <c:val>
            <c:numRef>
              <c:f>'29'!$T$211:$AX$211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555584"/>
        <c:axId val="373557504"/>
      </c:lineChart>
      <c:catAx>
        <c:axId val="373555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57504"/>
        <c:crosses val="autoZero"/>
        <c:auto val="1"/>
        <c:lblAlgn val="ctr"/>
        <c:lblOffset val="100"/>
        <c:noMultiLvlLbl val="0"/>
      </c:catAx>
      <c:valAx>
        <c:axId val="373557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'30'!$T$210:$AX$210</c:f>
              <c:numCache>
                <c:formatCode>General</c:formatCode>
                <c:ptCount val="31"/>
              </c:numCache>
            </c:numRef>
          </c:cat>
          <c:val>
            <c:numRef>
              <c:f>'30'!$T$211:$AX$211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264960"/>
        <c:axId val="374266880"/>
      </c:lineChart>
      <c:catAx>
        <c:axId val="374264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66880"/>
        <c:crosses val="autoZero"/>
        <c:auto val="1"/>
        <c:lblAlgn val="ctr"/>
        <c:lblOffset val="100"/>
        <c:noMultiLvlLbl val="0"/>
      </c:catAx>
      <c:valAx>
        <c:axId val="374266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new_sample!$A$210:$A$214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new_sample!$B$210:$B$214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new_sample!$S$212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new_sample!$T$210:$AX$210</c:f>
              <c:numCache>
                <c:formatCode>General</c:formatCode>
                <c:ptCount val="31"/>
              </c:numCache>
            </c:numRef>
          </c:cat>
          <c:val>
            <c:numRef>
              <c:f>new_sample!$T$211:$AX$211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042816"/>
        <c:axId val="375044736"/>
      </c:lineChart>
      <c:catAx>
        <c:axId val="375042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44736"/>
        <c:crosses val="autoZero"/>
        <c:auto val="1"/>
        <c:lblAlgn val="ctr"/>
        <c:lblOffset val="100"/>
        <c:noMultiLvlLbl val="0"/>
      </c:catAx>
      <c:valAx>
        <c:axId val="375044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208</xdr:row>
      <xdr:rowOff>57156</xdr:rowOff>
    </xdr:from>
    <xdr:to>
      <xdr:col>15</xdr:col>
      <xdr:colOff>219074</xdr:colOff>
      <xdr:row>230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211</xdr:row>
      <xdr:rowOff>133356</xdr:rowOff>
    </xdr:from>
    <xdr:to>
      <xdr:col>32</xdr:col>
      <xdr:colOff>9524</xdr:colOff>
      <xdr:row>229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209</xdr:row>
      <xdr:rowOff>57156</xdr:rowOff>
    </xdr:from>
    <xdr:to>
      <xdr:col>15</xdr:col>
      <xdr:colOff>219074</xdr:colOff>
      <xdr:row>231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212</xdr:row>
      <xdr:rowOff>133356</xdr:rowOff>
    </xdr:from>
    <xdr:to>
      <xdr:col>32</xdr:col>
      <xdr:colOff>9524</xdr:colOff>
      <xdr:row>230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tabSelected="1" zoomScale="90" zoomScaleNormal="90" workbookViewId="0">
      <pane xSplit="1" ySplit="10" topLeftCell="I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51" sqref="AK5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218</v>
      </c>
      <c r="AL2" s="185">
        <f>AK11</f>
        <v>6381.6774193548381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219</v>
      </c>
      <c r="AL3" s="185">
        <f>AK12+AK14</f>
        <v>512.59354838709692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220</v>
      </c>
      <c r="AL4" s="185">
        <f>AK50</f>
        <v>1869.0270967741894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-55</v>
      </c>
      <c r="C5" s="32">
        <f t="shared" ref="C5:AF5" si="0">C66</f>
        <v>-8.1999999999999993</v>
      </c>
      <c r="D5" s="32">
        <f t="shared" si="0"/>
        <v>-65.8</v>
      </c>
      <c r="E5" s="32">
        <f t="shared" si="0"/>
        <v>-21.6</v>
      </c>
      <c r="F5" s="32">
        <f t="shared" si="0"/>
        <v>-25</v>
      </c>
      <c r="G5" s="32">
        <f t="shared" si="0"/>
        <v>-84</v>
      </c>
      <c r="H5" s="32">
        <f t="shared" si="0"/>
        <v>-88.3</v>
      </c>
      <c r="I5" s="32">
        <f t="shared" si="0"/>
        <v>-82.1</v>
      </c>
      <c r="J5" s="32">
        <f t="shared" si="0"/>
        <v>-81</v>
      </c>
      <c r="K5" s="32">
        <f t="shared" si="0"/>
        <v>-85</v>
      </c>
      <c r="L5" s="32">
        <f t="shared" si="0"/>
        <v>-32.6</v>
      </c>
      <c r="M5" s="32">
        <f t="shared" si="0"/>
        <v>-36.799999999999997</v>
      </c>
      <c r="N5" s="32">
        <f t="shared" si="0"/>
        <v>-46</v>
      </c>
      <c r="O5" s="32">
        <f t="shared" si="0"/>
        <v>-43.3</v>
      </c>
      <c r="P5" s="32">
        <f t="shared" si="0"/>
        <v>-19.7</v>
      </c>
      <c r="Q5" s="32">
        <f t="shared" si="0"/>
        <v>-70</v>
      </c>
      <c r="R5" s="32">
        <f t="shared" si="0"/>
        <v>-57.5</v>
      </c>
      <c r="S5" s="32">
        <f t="shared" si="0"/>
        <v>-45.7</v>
      </c>
      <c r="T5" s="32">
        <f t="shared" si="0"/>
        <v>-55</v>
      </c>
      <c r="U5" s="32">
        <f t="shared" si="0"/>
        <v>-79.8</v>
      </c>
      <c r="V5" s="32">
        <f t="shared" si="0"/>
        <v>-58</v>
      </c>
      <c r="W5" s="32">
        <f t="shared" si="0"/>
        <v>-18.299999999999997</v>
      </c>
      <c r="X5" s="32">
        <f t="shared" si="0"/>
        <v>-5.2999999999999972</v>
      </c>
      <c r="Y5" s="32">
        <f t="shared" si="0"/>
        <v>-26.1</v>
      </c>
      <c r="Z5" s="32">
        <f t="shared" si="0"/>
        <v>-89.5</v>
      </c>
      <c r="AA5" s="32">
        <f t="shared" si="0"/>
        <v>-46.699999999999996</v>
      </c>
      <c r="AB5" s="32">
        <f t="shared" si="0"/>
        <v>-43.8</v>
      </c>
      <c r="AC5" s="32">
        <f t="shared" si="0"/>
        <v>-130</v>
      </c>
      <c r="AD5" s="32">
        <f t="shared" si="0"/>
        <v>-120</v>
      </c>
      <c r="AE5" s="32">
        <f t="shared" si="0"/>
        <v>-124</v>
      </c>
      <c r="AF5" s="32">
        <f t="shared" si="0"/>
        <v>-149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985MW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185">
        <f>SUM(AL2:AL4)</f>
        <v>8763.2980645161242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Load=845</v>
      </c>
      <c r="B7" s="37">
        <f t="shared" ref="B7:AF7" si="1">B73</f>
        <v>978.34</v>
      </c>
      <c r="C7" s="37">
        <f t="shared" si="1"/>
        <v>980.54000000000008</v>
      </c>
      <c r="D7" s="37">
        <f t="shared" si="1"/>
        <v>943.43999999999994</v>
      </c>
      <c r="E7" s="37">
        <f t="shared" si="1"/>
        <v>944.54</v>
      </c>
      <c r="F7" s="37">
        <f t="shared" si="1"/>
        <v>927.84000000000015</v>
      </c>
      <c r="G7" s="37">
        <f t="shared" si="1"/>
        <v>910.74000000000024</v>
      </c>
      <c r="H7" s="37">
        <f t="shared" si="1"/>
        <v>919.04</v>
      </c>
      <c r="I7" s="37">
        <f t="shared" si="1"/>
        <v>912.74</v>
      </c>
      <c r="J7" s="37">
        <f t="shared" si="1"/>
        <v>919.54000000000019</v>
      </c>
      <c r="K7" s="37">
        <f t="shared" si="1"/>
        <v>904.24000000000012</v>
      </c>
      <c r="L7" s="37">
        <f>L73</f>
        <v>960.94</v>
      </c>
      <c r="M7" s="37">
        <f t="shared" si="1"/>
        <v>984.94</v>
      </c>
      <c r="N7" s="37">
        <f t="shared" si="1"/>
        <v>1001.2400000000001</v>
      </c>
      <c r="O7" s="37">
        <f t="shared" si="1"/>
        <v>982.24</v>
      </c>
      <c r="P7" s="37">
        <f t="shared" si="1"/>
        <v>1010.8400000000001</v>
      </c>
      <c r="Q7" s="37">
        <f t="shared" si="1"/>
        <v>969.6400000000001</v>
      </c>
      <c r="R7" s="37">
        <f t="shared" si="1"/>
        <v>950.54000000000019</v>
      </c>
      <c r="S7" s="37">
        <f t="shared" si="1"/>
        <v>970.34000000000015</v>
      </c>
      <c r="T7" s="37">
        <f t="shared" si="1"/>
        <v>963.84000000000015</v>
      </c>
      <c r="U7" s="37">
        <f t="shared" si="1"/>
        <v>968.1400000000001</v>
      </c>
      <c r="V7" s="37">
        <f t="shared" si="1"/>
        <v>989.94</v>
      </c>
      <c r="W7" s="37">
        <f t="shared" si="1"/>
        <v>1181.6400000000001</v>
      </c>
      <c r="X7" s="37">
        <f t="shared" si="1"/>
        <v>1205.04</v>
      </c>
      <c r="Y7" s="37">
        <f t="shared" si="1"/>
        <v>1158.24</v>
      </c>
      <c r="Z7" s="37">
        <f t="shared" si="1"/>
        <v>1087.54</v>
      </c>
      <c r="AA7" s="37">
        <f t="shared" si="1"/>
        <v>1045.44</v>
      </c>
      <c r="AB7" s="37">
        <f t="shared" si="1"/>
        <v>1043.24</v>
      </c>
      <c r="AC7" s="37">
        <f t="shared" si="1"/>
        <v>909.54000000000008</v>
      </c>
      <c r="AD7" s="37">
        <f t="shared" si="1"/>
        <v>904.84000000000015</v>
      </c>
      <c r="AE7" s="37">
        <f t="shared" si="1"/>
        <v>864.14</v>
      </c>
      <c r="AF7" s="37">
        <f t="shared" si="1"/>
        <v>845.33999999999992</v>
      </c>
      <c r="AG7" s="38"/>
      <c r="AH7" s="39"/>
      <c r="AI7" s="40"/>
      <c r="AL7" s="185">
        <f>AL6/24</f>
        <v>365.13741935483853</v>
      </c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170</v>
      </c>
      <c r="C11" s="49">
        <v>130</v>
      </c>
      <c r="D11" s="49">
        <v>150</v>
      </c>
      <c r="E11" s="49">
        <v>130</v>
      </c>
      <c r="F11" s="49">
        <v>120</v>
      </c>
      <c r="G11" s="49">
        <v>130</v>
      </c>
      <c r="H11" s="49">
        <v>150</v>
      </c>
      <c r="I11" s="49">
        <v>150</v>
      </c>
      <c r="J11" s="49">
        <v>130</v>
      </c>
      <c r="K11" s="49">
        <v>130</v>
      </c>
      <c r="L11" s="50">
        <v>140</v>
      </c>
      <c r="M11" s="50">
        <v>130</v>
      </c>
      <c r="N11" s="50">
        <v>120</v>
      </c>
      <c r="O11" s="50">
        <v>120</v>
      </c>
      <c r="P11" s="50">
        <v>120</v>
      </c>
      <c r="Q11" s="51">
        <v>120</v>
      </c>
      <c r="R11" s="52">
        <v>110</v>
      </c>
      <c r="S11" s="52">
        <v>120</v>
      </c>
      <c r="T11" s="52">
        <v>120</v>
      </c>
      <c r="U11" s="52">
        <v>120</v>
      </c>
      <c r="V11" s="52">
        <v>120</v>
      </c>
      <c r="W11" s="52">
        <v>167</v>
      </c>
      <c r="X11" s="52">
        <v>180</v>
      </c>
      <c r="Y11" s="53">
        <v>180</v>
      </c>
      <c r="Z11" s="53">
        <v>180</v>
      </c>
      <c r="AA11" s="54">
        <v>120</v>
      </c>
      <c r="AB11" s="54">
        <v>120</v>
      </c>
      <c r="AC11" s="54">
        <v>120</v>
      </c>
      <c r="AD11" s="54">
        <v>120</v>
      </c>
      <c r="AE11" s="54">
        <v>120</v>
      </c>
      <c r="AF11" s="54">
        <v>120</v>
      </c>
      <c r="AG11" s="55">
        <v>456</v>
      </c>
      <c r="AH11" s="56">
        <f>MAX(B11:AF11)</f>
        <v>180</v>
      </c>
      <c r="AI11" s="57">
        <f>MIN(B11:AF11)</f>
        <v>110</v>
      </c>
      <c r="AJ11" s="183">
        <f>AVERAGE(B11:AF11)</f>
        <v>134.09677419354838</v>
      </c>
      <c r="AK11" s="183">
        <f>(400-AJ11)*24</f>
        <v>6381.6774193548381</v>
      </c>
      <c r="AL11" s="184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60">
        <v>40</v>
      </c>
      <c r="S12" s="60">
        <v>40</v>
      </c>
      <c r="T12" s="60">
        <v>40</v>
      </c>
      <c r="U12" s="60">
        <v>40</v>
      </c>
      <c r="V12" s="60">
        <v>40</v>
      </c>
      <c r="W12" s="60">
        <v>40</v>
      </c>
      <c r="X12" s="60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50</v>
      </c>
      <c r="AF12" s="50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183">
        <f>AVERAGE(B12:AF12)</f>
        <v>45.161290322580648</v>
      </c>
      <c r="AK12" s="183">
        <f>(60-AJ12)*24</f>
        <v>356.12903225806446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0</v>
      </c>
      <c r="C13" s="50">
        <v>0</v>
      </c>
      <c r="D13" s="50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15</v>
      </c>
      <c r="K13" s="49">
        <v>15</v>
      </c>
      <c r="L13" s="50">
        <v>15</v>
      </c>
      <c r="M13" s="50">
        <v>15</v>
      </c>
      <c r="N13" s="50">
        <v>15</v>
      </c>
      <c r="O13" s="50">
        <v>15</v>
      </c>
      <c r="P13" s="50">
        <v>25</v>
      </c>
      <c r="Q13" s="50">
        <v>25</v>
      </c>
      <c r="R13" s="50">
        <v>25</v>
      </c>
      <c r="S13" s="50">
        <v>25</v>
      </c>
      <c r="T13" s="50">
        <v>25</v>
      </c>
      <c r="U13" s="62">
        <v>25</v>
      </c>
      <c r="V13" s="62">
        <v>25</v>
      </c>
      <c r="W13" s="62">
        <v>25</v>
      </c>
      <c r="X13" s="62">
        <v>25</v>
      </c>
      <c r="Y13" s="50">
        <v>25</v>
      </c>
      <c r="Z13" s="50">
        <v>25</v>
      </c>
      <c r="AA13" s="50">
        <v>25</v>
      </c>
      <c r="AB13" s="50">
        <v>25</v>
      </c>
      <c r="AC13" s="50">
        <v>25</v>
      </c>
      <c r="AD13" s="50">
        <v>25</v>
      </c>
      <c r="AE13" s="50">
        <v>25</v>
      </c>
      <c r="AF13" s="50">
        <v>25</v>
      </c>
      <c r="AG13" s="61">
        <v>52.4</v>
      </c>
      <c r="AH13" s="56">
        <f t="shared" si="2"/>
        <v>25</v>
      </c>
      <c r="AI13" s="57">
        <f t="shared" si="3"/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36</v>
      </c>
      <c r="C14" s="50">
        <v>36</v>
      </c>
      <c r="D14" s="50">
        <v>36</v>
      </c>
      <c r="E14" s="63">
        <v>37.1</v>
      </c>
      <c r="F14" s="63">
        <v>37.1</v>
      </c>
      <c r="G14" s="63">
        <v>37.1</v>
      </c>
      <c r="H14" s="63">
        <v>37</v>
      </c>
      <c r="I14" s="63">
        <v>37</v>
      </c>
      <c r="J14" s="63">
        <v>37.1</v>
      </c>
      <c r="K14" s="63">
        <v>37.1</v>
      </c>
      <c r="L14" s="50">
        <v>37.1</v>
      </c>
      <c r="M14" s="50">
        <v>37.1</v>
      </c>
      <c r="N14" s="50">
        <v>37</v>
      </c>
      <c r="O14" s="50">
        <v>37.1</v>
      </c>
      <c r="P14" s="50">
        <v>37</v>
      </c>
      <c r="Q14" s="50">
        <v>37</v>
      </c>
      <c r="R14" s="50">
        <v>37</v>
      </c>
      <c r="S14" s="50">
        <v>37</v>
      </c>
      <c r="T14" s="50">
        <v>37</v>
      </c>
      <c r="U14" s="62">
        <v>37</v>
      </c>
      <c r="V14" s="62">
        <v>37</v>
      </c>
      <c r="W14" s="62">
        <v>45.9</v>
      </c>
      <c r="X14" s="62">
        <v>46.2</v>
      </c>
      <c r="Y14" s="50">
        <v>41.8</v>
      </c>
      <c r="Z14" s="50">
        <v>41.8</v>
      </c>
      <c r="AA14" s="50">
        <v>41.8</v>
      </c>
      <c r="AB14" s="50">
        <v>41.8</v>
      </c>
      <c r="AC14" s="50">
        <v>41.8</v>
      </c>
      <c r="AD14" s="50">
        <v>41.8</v>
      </c>
      <c r="AE14" s="50">
        <v>37.6</v>
      </c>
      <c r="AF14" s="50">
        <v>37.6</v>
      </c>
      <c r="AG14" s="64">
        <v>45</v>
      </c>
      <c r="AH14" s="56">
        <f t="shared" si="2"/>
        <v>46.2</v>
      </c>
      <c r="AI14" s="57">
        <f t="shared" si="3"/>
        <v>36</v>
      </c>
      <c r="AJ14" s="183">
        <f>AVERAGE(B14:AF14)</f>
        <v>38.480645161290312</v>
      </c>
      <c r="AK14" s="183">
        <f>(45-AJ14)*24</f>
        <v>156.46451612903252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0">
        <v>26</v>
      </c>
      <c r="C15" s="50">
        <v>26</v>
      </c>
      <c r="D15" s="50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24</v>
      </c>
      <c r="L15" s="50">
        <v>24</v>
      </c>
      <c r="M15" s="50">
        <v>24</v>
      </c>
      <c r="N15" s="50">
        <v>24</v>
      </c>
      <c r="O15" s="50">
        <v>24</v>
      </c>
      <c r="P15" s="50">
        <v>24</v>
      </c>
      <c r="Q15" s="50">
        <v>24</v>
      </c>
      <c r="R15" s="50">
        <v>0</v>
      </c>
      <c r="S15" s="50">
        <v>0</v>
      </c>
      <c r="T15" s="50">
        <v>0</v>
      </c>
      <c r="U15" s="65">
        <v>26</v>
      </c>
      <c r="V15" s="65">
        <v>26</v>
      </c>
      <c r="W15" s="65">
        <v>36</v>
      </c>
      <c r="X15" s="65">
        <v>36</v>
      </c>
      <c r="Y15" s="50">
        <v>28</v>
      </c>
      <c r="Z15" s="50">
        <v>28</v>
      </c>
      <c r="AA15" s="50">
        <v>28</v>
      </c>
      <c r="AB15" s="50">
        <v>28</v>
      </c>
      <c r="AC15" s="50">
        <v>28</v>
      </c>
      <c r="AD15" s="50">
        <v>28</v>
      </c>
      <c r="AE15" s="50">
        <v>26</v>
      </c>
      <c r="AF15" s="50">
        <v>26</v>
      </c>
      <c r="AG15" s="61">
        <v>45</v>
      </c>
      <c r="AH15" s="56">
        <f t="shared" si="2"/>
        <v>36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25</v>
      </c>
      <c r="C16" s="50">
        <v>25</v>
      </c>
      <c r="D16" s="50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62">
        <v>25</v>
      </c>
      <c r="V16" s="62">
        <v>25</v>
      </c>
      <c r="W16" s="62">
        <v>25</v>
      </c>
      <c r="X16" s="62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1">
        <v>42</v>
      </c>
      <c r="AH16" s="56">
        <f t="shared" si="2"/>
        <v>25</v>
      </c>
      <c r="AI16" s="57">
        <f t="shared" si="3"/>
        <v>25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25</v>
      </c>
      <c r="C17" s="50">
        <v>25</v>
      </c>
      <c r="D17" s="50">
        <v>25</v>
      </c>
      <c r="E17" s="50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25</v>
      </c>
      <c r="AK17" s="183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25.2</v>
      </c>
      <c r="C18" s="50">
        <v>25.2</v>
      </c>
      <c r="D18" s="50">
        <v>22.4</v>
      </c>
      <c r="E18" s="50">
        <v>20.5</v>
      </c>
      <c r="F18" s="49">
        <v>20.6</v>
      </c>
      <c r="G18" s="49">
        <v>20.6</v>
      </c>
      <c r="H18" s="49">
        <v>20.6</v>
      </c>
      <c r="I18" s="49">
        <v>25.4</v>
      </c>
      <c r="J18" s="49">
        <v>25.4</v>
      </c>
      <c r="K18" s="49">
        <v>20.3</v>
      </c>
      <c r="L18" s="50">
        <v>22</v>
      </c>
      <c r="M18" s="50">
        <v>15</v>
      </c>
      <c r="N18" s="50">
        <v>15</v>
      </c>
      <c r="O18" s="50">
        <v>15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25.1</v>
      </c>
      <c r="X18" s="50">
        <v>25.1</v>
      </c>
      <c r="Y18" s="50">
        <v>25</v>
      </c>
      <c r="Z18" s="50">
        <v>25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61">
        <v>30</v>
      </c>
      <c r="AH18" s="56">
        <f t="shared" si="2"/>
        <v>25.4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25</v>
      </c>
      <c r="AH21" s="56">
        <f t="shared" si="2"/>
        <v>22</v>
      </c>
      <c r="AI21" s="57">
        <f t="shared" si="3"/>
        <v>22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15</v>
      </c>
      <c r="C22" s="50">
        <v>15</v>
      </c>
      <c r="D22" s="50">
        <v>15</v>
      </c>
      <c r="E22" s="50">
        <v>15</v>
      </c>
      <c r="F22" s="50">
        <v>15</v>
      </c>
      <c r="G22" s="50">
        <v>15</v>
      </c>
      <c r="H22" s="50">
        <v>15</v>
      </c>
      <c r="I22" s="50">
        <v>15</v>
      </c>
      <c r="J22" s="49">
        <v>15</v>
      </c>
      <c r="K22" s="49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61">
        <v>25</v>
      </c>
      <c r="AH22" s="56">
        <f t="shared" si="2"/>
        <v>15</v>
      </c>
      <c r="AI22" s="57">
        <f t="shared" si="3"/>
        <v>15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20</v>
      </c>
      <c r="C23" s="50">
        <v>0</v>
      </c>
      <c r="D23" s="50">
        <v>20</v>
      </c>
      <c r="E23" s="50">
        <v>20</v>
      </c>
      <c r="F23" s="50">
        <v>20</v>
      </c>
      <c r="G23" s="50">
        <v>20</v>
      </c>
      <c r="H23" s="50">
        <v>20</v>
      </c>
      <c r="I23" s="50">
        <v>20</v>
      </c>
      <c r="J23" s="49">
        <v>20</v>
      </c>
      <c r="K23" s="49">
        <v>20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</v>
      </c>
      <c r="AI23" s="57">
        <f t="shared" si="3"/>
        <v>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17</v>
      </c>
      <c r="AD24" s="50">
        <v>17</v>
      </c>
      <c r="AE24" s="50">
        <v>17</v>
      </c>
      <c r="AF24" s="50">
        <v>17</v>
      </c>
      <c r="AG24" s="61">
        <v>24.2</v>
      </c>
      <c r="AH24" s="56">
        <f t="shared" si="2"/>
        <v>22</v>
      </c>
      <c r="AI24" s="57">
        <f t="shared" si="3"/>
        <v>17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5</v>
      </c>
      <c r="C25" s="50">
        <v>5</v>
      </c>
      <c r="D25" s="50">
        <v>5</v>
      </c>
      <c r="E25" s="50">
        <v>5</v>
      </c>
      <c r="F25" s="50">
        <v>5</v>
      </c>
      <c r="G25" s="50">
        <v>5</v>
      </c>
      <c r="H25" s="50">
        <v>5</v>
      </c>
      <c r="I25" s="50">
        <v>5</v>
      </c>
      <c r="J25" s="49">
        <v>5</v>
      </c>
      <c r="K25" s="49">
        <v>5</v>
      </c>
      <c r="L25" s="50">
        <v>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1">
        <v>20</v>
      </c>
      <c r="AH25" s="56">
        <f>MAX(B25:AF25)</f>
        <v>10</v>
      </c>
      <c r="AI25" s="57">
        <f>MIN(B25:AF25)</f>
        <v>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0">
        <v>12</v>
      </c>
      <c r="M26" s="50">
        <v>12</v>
      </c>
      <c r="N26" s="50">
        <v>12</v>
      </c>
      <c r="O26" s="50">
        <v>12</v>
      </c>
      <c r="P26" s="50">
        <v>12</v>
      </c>
      <c r="Q26" s="50">
        <v>12</v>
      </c>
      <c r="R26" s="50">
        <v>12</v>
      </c>
      <c r="S26" s="50">
        <v>12</v>
      </c>
      <c r="T26" s="50">
        <v>12</v>
      </c>
      <c r="U26" s="50">
        <v>12</v>
      </c>
      <c r="V26" s="50">
        <v>12</v>
      </c>
      <c r="W26" s="50">
        <v>12</v>
      </c>
      <c r="X26" s="50">
        <v>12</v>
      </c>
      <c r="Y26" s="50">
        <v>12</v>
      </c>
      <c r="Z26" s="50">
        <v>12</v>
      </c>
      <c r="AA26" s="49">
        <v>12</v>
      </c>
      <c r="AB26" s="49">
        <v>12</v>
      </c>
      <c r="AC26" s="49">
        <v>12</v>
      </c>
      <c r="AD26" s="49">
        <v>12</v>
      </c>
      <c r="AE26" s="49">
        <v>12</v>
      </c>
      <c r="AF26" s="49">
        <v>12</v>
      </c>
      <c r="AG26" s="61">
        <v>23.5</v>
      </c>
      <c r="AH26" s="56">
        <f t="shared" si="2"/>
        <v>12</v>
      </c>
      <c r="AI26" s="57">
        <f t="shared" si="3"/>
        <v>12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1">
        <v>22.2</v>
      </c>
      <c r="AH27" s="56">
        <f t="shared" si="2"/>
        <v>10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8</v>
      </c>
      <c r="T29" s="50">
        <v>4</v>
      </c>
      <c r="U29" s="50">
        <v>4</v>
      </c>
      <c r="V29" s="50">
        <v>4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8</v>
      </c>
      <c r="AG29" s="61">
        <v>22.1</v>
      </c>
      <c r="AH29" s="56">
        <f t="shared" si="2"/>
        <v>12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63">
        <v>12</v>
      </c>
      <c r="K30" s="63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200</v>
      </c>
      <c r="F34" s="63">
        <v>200</v>
      </c>
      <c r="G34" s="63">
        <v>200</v>
      </c>
      <c r="H34" s="63">
        <v>200</v>
      </c>
      <c r="I34" s="63">
        <v>200</v>
      </c>
      <c r="J34" s="63">
        <v>200</v>
      </c>
      <c r="K34" s="63">
        <v>200</v>
      </c>
      <c r="L34" s="63">
        <v>200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200</v>
      </c>
      <c r="AD34" s="63">
        <v>200</v>
      </c>
      <c r="AE34" s="63">
        <v>200</v>
      </c>
      <c r="AF34" s="63">
        <v>200</v>
      </c>
      <c r="AG34" s="69">
        <v>85</v>
      </c>
      <c r="AH34" s="56">
        <f t="shared" si="2"/>
        <v>200</v>
      </c>
      <c r="AI34" s="57">
        <f t="shared" si="3"/>
        <v>200</v>
      </c>
      <c r="AK34" s="58"/>
    </row>
    <row r="35" spans="1:88" ht="15.75" thickBot="1" x14ac:dyDescent="0.3">
      <c r="A35" s="71" t="s">
        <v>43</v>
      </c>
      <c r="B35" s="72">
        <f>58.6+80.7</f>
        <v>139.30000000000001</v>
      </c>
      <c r="C35" s="63">
        <f>58.5+80.2</f>
        <v>138.69999999999999</v>
      </c>
      <c r="D35" s="63">
        <f>59+80.4</f>
        <v>139.4</v>
      </c>
      <c r="E35" s="63">
        <f>59.1+80.6</f>
        <v>139.69999999999999</v>
      </c>
      <c r="F35" s="63">
        <f>59.2+80.8</f>
        <v>140</v>
      </c>
      <c r="G35" s="63">
        <v>131</v>
      </c>
      <c r="H35" s="63">
        <f>58+78.7</f>
        <v>136.69999999999999</v>
      </c>
      <c r="I35" s="63">
        <f>58.4+78.5</f>
        <v>136.9</v>
      </c>
      <c r="J35" s="63">
        <f>58.3+78.9</f>
        <v>137.19999999999999</v>
      </c>
      <c r="K35" s="63">
        <f>58.2+80.6</f>
        <v>138.80000000000001</v>
      </c>
      <c r="L35" s="72">
        <f>58+80</f>
        <v>138</v>
      </c>
      <c r="M35" s="72">
        <v>140.5</v>
      </c>
      <c r="N35" s="72">
        <f>82.2+58.4</f>
        <v>140.6</v>
      </c>
      <c r="O35" s="72">
        <f>82.3+58.8</f>
        <v>141.1</v>
      </c>
      <c r="P35" s="72">
        <f>83.6+63.6</f>
        <v>147.19999999999999</v>
      </c>
      <c r="Q35" s="72">
        <f>80.9+63.7</f>
        <v>144.60000000000002</v>
      </c>
      <c r="R35" s="72">
        <f>82.6+64.6</f>
        <v>147.19999999999999</v>
      </c>
      <c r="S35" s="72">
        <f>82.6+64.6</f>
        <v>147.19999999999999</v>
      </c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63"/>
      <c r="AF35" s="63"/>
      <c r="AG35" s="69">
        <v>240</v>
      </c>
      <c r="AH35" s="56">
        <f t="shared" si="2"/>
        <v>147.19999999999999</v>
      </c>
      <c r="AI35" s="57">
        <f t="shared" si="3"/>
        <v>131</v>
      </c>
      <c r="AK35" s="58"/>
    </row>
    <row r="36" spans="1:88" ht="15.75" thickBot="1" x14ac:dyDescent="0.3">
      <c r="A36" s="73" t="s">
        <v>44</v>
      </c>
      <c r="B36" s="74">
        <f>SUM(B11:B34)</f>
        <v>694.4</v>
      </c>
      <c r="C36" s="74">
        <f t="shared" ref="C36:AF36" si="4">SUM(C11:C34)</f>
        <v>634.4</v>
      </c>
      <c r="D36" s="74">
        <f t="shared" si="4"/>
        <v>671.59999999999991</v>
      </c>
      <c r="E36" s="74">
        <f t="shared" si="4"/>
        <v>650.79999999999995</v>
      </c>
      <c r="F36" s="74">
        <f t="shared" si="4"/>
        <v>640.90000000000009</v>
      </c>
      <c r="G36" s="74">
        <f t="shared" si="4"/>
        <v>650.90000000000009</v>
      </c>
      <c r="H36" s="74">
        <f t="shared" si="4"/>
        <v>670.8</v>
      </c>
      <c r="I36" s="74">
        <f t="shared" si="4"/>
        <v>675.59999999999991</v>
      </c>
      <c r="J36" s="74">
        <f t="shared" si="4"/>
        <v>670.7</v>
      </c>
      <c r="K36" s="74">
        <f t="shared" si="4"/>
        <v>663.6</v>
      </c>
      <c r="L36" s="74">
        <f t="shared" si="4"/>
        <v>675.3</v>
      </c>
      <c r="M36" s="74">
        <f t="shared" si="4"/>
        <v>658.3</v>
      </c>
      <c r="N36" s="74">
        <f t="shared" si="4"/>
        <v>648.20000000000005</v>
      </c>
      <c r="O36" s="74">
        <f t="shared" si="4"/>
        <v>648.29999999999995</v>
      </c>
      <c r="P36" s="74">
        <f t="shared" si="4"/>
        <v>668.2</v>
      </c>
      <c r="Q36" s="74">
        <f t="shared" si="4"/>
        <v>668.2</v>
      </c>
      <c r="R36" s="74">
        <f t="shared" si="4"/>
        <v>624.20000000000005</v>
      </c>
      <c r="S36" s="74">
        <f t="shared" si="4"/>
        <v>630.20000000000005</v>
      </c>
      <c r="T36" s="74">
        <f t="shared" si="4"/>
        <v>626.20000000000005</v>
      </c>
      <c r="U36" s="74">
        <f t="shared" si="4"/>
        <v>652.20000000000005</v>
      </c>
      <c r="V36" s="74">
        <f t="shared" si="4"/>
        <v>652.20000000000005</v>
      </c>
      <c r="W36" s="74">
        <f t="shared" si="4"/>
        <v>724.2</v>
      </c>
      <c r="X36" s="74">
        <f t="shared" si="4"/>
        <v>762.5</v>
      </c>
      <c r="Y36" s="74">
        <f t="shared" si="4"/>
        <v>750</v>
      </c>
      <c r="Z36" s="74">
        <f t="shared" si="4"/>
        <v>750</v>
      </c>
      <c r="AA36" s="74">
        <f t="shared" si="4"/>
        <v>667</v>
      </c>
      <c r="AB36" s="74">
        <f t="shared" si="4"/>
        <v>667</v>
      </c>
      <c r="AC36" s="74">
        <f t="shared" si="4"/>
        <v>662</v>
      </c>
      <c r="AD36" s="74">
        <f t="shared" si="4"/>
        <v>662</v>
      </c>
      <c r="AE36" s="74">
        <f t="shared" si="4"/>
        <v>645.79999999999995</v>
      </c>
      <c r="AF36" s="74">
        <f t="shared" si="4"/>
        <v>653.79999999999995</v>
      </c>
      <c r="AG36" s="69">
        <f>SUM(AG11:AG35)</f>
        <v>1431.83</v>
      </c>
      <c r="AH36" s="56">
        <f t="shared" si="2"/>
        <v>762.5</v>
      </c>
      <c r="AI36" s="57">
        <f t="shared" si="3"/>
        <v>624.20000000000005</v>
      </c>
      <c r="AK36" s="58"/>
      <c r="AL36">
        <v>500</v>
      </c>
    </row>
    <row r="37" spans="1:88" x14ac:dyDescent="0.25">
      <c r="A37" s="59" t="s">
        <v>45</v>
      </c>
      <c r="B37" s="49">
        <v>111.3</v>
      </c>
      <c r="C37" s="63">
        <v>121.3</v>
      </c>
      <c r="D37" s="63">
        <v>111</v>
      </c>
      <c r="E37" s="63">
        <v>106.3</v>
      </c>
      <c r="F37" s="63">
        <v>106</v>
      </c>
      <c r="G37" s="63">
        <v>120</v>
      </c>
      <c r="H37" s="63">
        <v>138</v>
      </c>
      <c r="I37" s="63">
        <v>105.9</v>
      </c>
      <c r="J37" s="63">
        <v>106.1</v>
      </c>
      <c r="K37" s="63">
        <v>100.7</v>
      </c>
      <c r="L37" s="50">
        <v>101.3</v>
      </c>
      <c r="M37" s="50">
        <v>126</v>
      </c>
      <c r="N37" s="50">
        <v>121.2</v>
      </c>
      <c r="O37" s="50">
        <v>133.5</v>
      </c>
      <c r="P37" s="50">
        <v>135.9</v>
      </c>
      <c r="Q37" s="50">
        <v>135.4</v>
      </c>
      <c r="R37" s="50">
        <v>130.9</v>
      </c>
      <c r="S37" s="50">
        <v>130.9</v>
      </c>
      <c r="T37" s="50">
        <v>131.4</v>
      </c>
      <c r="U37" s="50">
        <v>141.30000000000001</v>
      </c>
      <c r="V37" s="50">
        <v>141.30000000000001</v>
      </c>
      <c r="W37" s="50">
        <v>142.30000000000001</v>
      </c>
      <c r="X37" s="50">
        <v>141.5</v>
      </c>
      <c r="Y37" s="50">
        <v>140.6</v>
      </c>
      <c r="Z37" s="50">
        <v>140.6</v>
      </c>
      <c r="AA37" s="50">
        <v>142.69999999999999</v>
      </c>
      <c r="AB37" s="50">
        <v>142</v>
      </c>
      <c r="AC37" s="50">
        <v>140</v>
      </c>
      <c r="AD37" s="50">
        <v>140</v>
      </c>
      <c r="AE37" s="49">
        <v>139.19999999999999</v>
      </c>
      <c r="AF37" s="49">
        <v>137.69999999999999</v>
      </c>
      <c r="AG37" s="64">
        <v>144</v>
      </c>
      <c r="AH37" s="56">
        <f t="shared" si="2"/>
        <v>142.69999999999999</v>
      </c>
      <c r="AI37" s="57">
        <f t="shared" si="3"/>
        <v>100.7</v>
      </c>
      <c r="AK37" s="58"/>
    </row>
    <row r="38" spans="1:88" x14ac:dyDescent="0.25">
      <c r="A38" s="68" t="s">
        <v>46</v>
      </c>
      <c r="B38" s="63">
        <v>45.7</v>
      </c>
      <c r="C38" s="63">
        <v>55</v>
      </c>
      <c r="D38" s="63">
        <v>55</v>
      </c>
      <c r="E38" s="63">
        <v>43.3</v>
      </c>
      <c r="F38" s="63">
        <v>28</v>
      </c>
      <c r="G38" s="63">
        <v>35</v>
      </c>
      <c r="H38" s="63">
        <v>34.799999999999997</v>
      </c>
      <c r="I38" s="63">
        <v>34.700000000000003</v>
      </c>
      <c r="J38" s="63">
        <v>34.700000000000003</v>
      </c>
      <c r="K38" s="63">
        <v>35.1</v>
      </c>
      <c r="L38" s="52">
        <v>26.2</v>
      </c>
      <c r="M38" s="52">
        <v>30</v>
      </c>
      <c r="N38" s="52">
        <v>29.9</v>
      </c>
      <c r="O38" s="52">
        <v>29.8</v>
      </c>
      <c r="P38" s="52">
        <v>24.9</v>
      </c>
      <c r="Q38" s="52">
        <v>29.8</v>
      </c>
      <c r="R38" s="52">
        <v>35</v>
      </c>
      <c r="S38" s="52">
        <v>35</v>
      </c>
      <c r="T38" s="52">
        <v>34.799999999999997</v>
      </c>
      <c r="U38" s="52">
        <v>34.700000000000003</v>
      </c>
      <c r="V38" s="52">
        <v>34.700000000000003</v>
      </c>
      <c r="W38" s="52">
        <v>34.799999999999997</v>
      </c>
      <c r="X38" s="52">
        <v>34.799999999999997</v>
      </c>
      <c r="Y38" s="52">
        <v>34.799999999999997</v>
      </c>
      <c r="Z38" s="52">
        <v>34.799999999999997</v>
      </c>
      <c r="AA38" s="52">
        <v>34.799999999999997</v>
      </c>
      <c r="AB38" s="52">
        <v>35.4</v>
      </c>
      <c r="AC38" s="52">
        <v>35.200000000000003</v>
      </c>
      <c r="AD38" s="52">
        <v>36</v>
      </c>
      <c r="AE38" s="63">
        <v>35.299999999999997</v>
      </c>
      <c r="AF38" s="63">
        <v>35</v>
      </c>
      <c r="AG38" s="69">
        <v>70</v>
      </c>
      <c r="AH38" s="56">
        <f t="shared" si="2"/>
        <v>55</v>
      </c>
      <c r="AI38" s="57">
        <f t="shared" si="3"/>
        <v>24.9</v>
      </c>
      <c r="AK38" s="58"/>
    </row>
    <row r="39" spans="1:88" x14ac:dyDescent="0.25">
      <c r="A39" s="68" t="s">
        <v>47</v>
      </c>
      <c r="B39" s="63">
        <v>55</v>
      </c>
      <c r="C39" s="63">
        <v>55.9</v>
      </c>
      <c r="D39" s="63">
        <v>49.6</v>
      </c>
      <c r="E39" s="63">
        <v>49.1</v>
      </c>
      <c r="F39" s="63">
        <v>40.4</v>
      </c>
      <c r="G39" s="63">
        <v>45.8</v>
      </c>
      <c r="H39" s="63">
        <v>45.6</v>
      </c>
      <c r="I39" s="63">
        <v>46.2</v>
      </c>
      <c r="J39" s="63">
        <v>46.2</v>
      </c>
      <c r="K39" s="63">
        <v>47.1</v>
      </c>
      <c r="L39" s="52">
        <v>61</v>
      </c>
      <c r="M39" s="52">
        <v>66</v>
      </c>
      <c r="N39" s="52">
        <v>66.099999999999994</v>
      </c>
      <c r="O39" s="52">
        <v>60.3</v>
      </c>
      <c r="P39" s="52">
        <v>55.7</v>
      </c>
      <c r="Q39" s="52">
        <v>66.5</v>
      </c>
      <c r="R39" s="52">
        <v>69.2</v>
      </c>
      <c r="S39" s="52">
        <v>69.2</v>
      </c>
      <c r="T39" s="52">
        <v>69.2</v>
      </c>
      <c r="U39" s="52">
        <v>62.1</v>
      </c>
      <c r="V39" s="52">
        <v>62.1</v>
      </c>
      <c r="W39" s="52">
        <v>68.7</v>
      </c>
      <c r="X39" s="52">
        <v>68.599999999999994</v>
      </c>
      <c r="Y39" s="52">
        <v>68.599999999999994</v>
      </c>
      <c r="Z39" s="52">
        <v>68.599999999999994</v>
      </c>
      <c r="AA39" s="52">
        <v>68.5</v>
      </c>
      <c r="AB39" s="52">
        <v>69</v>
      </c>
      <c r="AC39" s="52">
        <v>69.5</v>
      </c>
      <c r="AD39" s="52">
        <v>69.5</v>
      </c>
      <c r="AE39" s="63">
        <v>60</v>
      </c>
      <c r="AF39" s="63">
        <v>60</v>
      </c>
      <c r="AG39" s="69">
        <v>69</v>
      </c>
      <c r="AH39" s="56">
        <f t="shared" si="2"/>
        <v>69.5</v>
      </c>
      <c r="AI39" s="57">
        <f t="shared" si="3"/>
        <v>40.4</v>
      </c>
      <c r="AK39" s="58"/>
    </row>
    <row r="40" spans="1:88" x14ac:dyDescent="0.25">
      <c r="A40" s="68" t="s">
        <v>48</v>
      </c>
      <c r="B40" s="63">
        <v>40.1</v>
      </c>
      <c r="C40" s="63">
        <v>40.299999999999997</v>
      </c>
      <c r="D40" s="63">
        <v>40.299999999999997</v>
      </c>
      <c r="E40" s="63">
        <v>34.799999999999997</v>
      </c>
      <c r="F40" s="63">
        <v>55.2</v>
      </c>
      <c r="G40" s="63">
        <v>60.7</v>
      </c>
      <c r="H40" s="63">
        <v>60.9</v>
      </c>
      <c r="I40" s="63">
        <v>60.7</v>
      </c>
      <c r="J40" s="63">
        <v>60.9</v>
      </c>
      <c r="K40" s="63">
        <v>60.7</v>
      </c>
      <c r="L40" s="52">
        <v>45.1</v>
      </c>
      <c r="M40" s="52">
        <v>55</v>
      </c>
      <c r="N40" s="52">
        <v>55.4</v>
      </c>
      <c r="O40" s="52">
        <v>50.4</v>
      </c>
      <c r="P40" s="52">
        <v>59</v>
      </c>
      <c r="Q40" s="52">
        <v>40.6</v>
      </c>
      <c r="R40" s="52">
        <v>59.7</v>
      </c>
      <c r="S40" s="52">
        <v>59.7</v>
      </c>
      <c r="T40" s="52">
        <v>59.7</v>
      </c>
      <c r="U40" s="52">
        <v>59.2</v>
      </c>
      <c r="V40" s="52">
        <v>59.2</v>
      </c>
      <c r="W40" s="52">
        <v>60.2</v>
      </c>
      <c r="X40" s="52">
        <v>60.2</v>
      </c>
      <c r="Y40" s="52">
        <v>60.2</v>
      </c>
      <c r="Z40" s="52">
        <v>60.2</v>
      </c>
      <c r="AA40" s="52">
        <v>59.7</v>
      </c>
      <c r="AB40" s="52">
        <v>59.6</v>
      </c>
      <c r="AC40" s="52">
        <v>59.6</v>
      </c>
      <c r="AD40" s="52">
        <v>59.6</v>
      </c>
      <c r="AE40" s="63">
        <v>50</v>
      </c>
      <c r="AF40" s="63">
        <v>50</v>
      </c>
      <c r="AG40" s="69">
        <v>60</v>
      </c>
      <c r="AH40" s="56">
        <f t="shared" si="2"/>
        <v>60.9</v>
      </c>
      <c r="AI40" s="57">
        <f t="shared" si="3"/>
        <v>34.799999999999997</v>
      </c>
      <c r="AK40" s="58"/>
    </row>
    <row r="41" spans="1:88" x14ac:dyDescent="0.25">
      <c r="A41" s="68" t="s">
        <v>49</v>
      </c>
      <c r="B41" s="63">
        <v>29.6</v>
      </c>
      <c r="C41" s="63">
        <v>24.6</v>
      </c>
      <c r="D41" s="63">
        <v>24.5</v>
      </c>
      <c r="E41" s="63">
        <v>24.6</v>
      </c>
      <c r="F41" s="63">
        <v>25.1</v>
      </c>
      <c r="G41" s="63">
        <v>25.1</v>
      </c>
      <c r="H41" s="63">
        <v>0</v>
      </c>
      <c r="I41" s="63">
        <v>14.5</v>
      </c>
      <c r="J41" s="63">
        <v>24.7</v>
      </c>
      <c r="K41" s="63">
        <v>24.7</v>
      </c>
      <c r="L41" s="50">
        <v>27.3</v>
      </c>
      <c r="M41" s="50">
        <v>29.1</v>
      </c>
      <c r="N41" s="50">
        <v>29.6</v>
      </c>
      <c r="O41" s="50">
        <v>29.6</v>
      </c>
      <c r="P41" s="50">
        <v>29.6</v>
      </c>
      <c r="Q41" s="50">
        <v>27.5</v>
      </c>
      <c r="R41" s="50">
        <v>15.8</v>
      </c>
      <c r="S41" s="50">
        <v>15.8</v>
      </c>
      <c r="T41" s="50">
        <v>23.5</v>
      </c>
      <c r="U41" s="50">
        <v>23.7</v>
      </c>
      <c r="V41" s="50">
        <v>23.7</v>
      </c>
      <c r="W41" s="50">
        <v>28.8</v>
      </c>
      <c r="X41" s="50">
        <v>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63">
        <v>0</v>
      </c>
      <c r="AF41" s="63">
        <v>0</v>
      </c>
      <c r="AG41" s="69">
        <v>30</v>
      </c>
      <c r="AH41" s="56">
        <f t="shared" si="2"/>
        <v>29.6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63">
        <v>15.3</v>
      </c>
      <c r="C43" s="75">
        <v>15.3</v>
      </c>
      <c r="D43" s="75">
        <v>15.3</v>
      </c>
      <c r="E43" s="75">
        <v>15.3</v>
      </c>
      <c r="F43" s="75">
        <v>15.3</v>
      </c>
      <c r="G43" s="75">
        <v>15.3</v>
      </c>
      <c r="H43" s="75">
        <v>15.3</v>
      </c>
      <c r="I43" s="75">
        <v>15.3</v>
      </c>
      <c r="J43" s="75">
        <v>15.3</v>
      </c>
      <c r="K43" s="75">
        <v>15.3</v>
      </c>
      <c r="L43" s="50">
        <v>15.3</v>
      </c>
      <c r="M43" s="50">
        <v>15.3</v>
      </c>
      <c r="N43" s="50">
        <v>15.2</v>
      </c>
      <c r="O43" s="50">
        <v>15.2</v>
      </c>
      <c r="P43" s="50">
        <v>15.2</v>
      </c>
      <c r="Q43" s="50">
        <v>15.2</v>
      </c>
      <c r="R43" s="50">
        <v>15.2</v>
      </c>
      <c r="S43" s="50">
        <v>15.2</v>
      </c>
      <c r="T43" s="50">
        <v>15.2</v>
      </c>
      <c r="U43" s="50">
        <v>15.2</v>
      </c>
      <c r="V43" s="50">
        <v>15.2</v>
      </c>
      <c r="W43" s="50">
        <v>15.2</v>
      </c>
      <c r="X43" s="50">
        <v>17.7</v>
      </c>
      <c r="Y43" s="50">
        <v>17.7</v>
      </c>
      <c r="Z43" s="50">
        <v>17.7</v>
      </c>
      <c r="AA43" s="50">
        <v>15.2</v>
      </c>
      <c r="AB43" s="50">
        <v>15.6</v>
      </c>
      <c r="AC43" s="50">
        <v>15.6</v>
      </c>
      <c r="AD43" s="50">
        <v>15.6</v>
      </c>
      <c r="AE43" s="63">
        <v>15.6</v>
      </c>
      <c r="AF43" s="63">
        <v>15.6</v>
      </c>
      <c r="AG43" s="69">
        <v>24</v>
      </c>
      <c r="AH43" s="56">
        <f t="shared" si="2"/>
        <v>17.7</v>
      </c>
      <c r="AI43" s="57">
        <f t="shared" si="3"/>
        <v>15.2</v>
      </c>
      <c r="AK43" s="58"/>
    </row>
    <row r="44" spans="1:88" x14ac:dyDescent="0.25">
      <c r="A44" s="68" t="s">
        <v>52</v>
      </c>
      <c r="B44" s="63">
        <v>2.8</v>
      </c>
      <c r="C44" s="63">
        <v>2.8</v>
      </c>
      <c r="D44" s="63">
        <v>2.8</v>
      </c>
      <c r="E44" s="63">
        <v>2.8</v>
      </c>
      <c r="F44" s="63">
        <v>2.8</v>
      </c>
      <c r="G44" s="63">
        <v>2.8</v>
      </c>
      <c r="H44" s="63">
        <v>2.8</v>
      </c>
      <c r="I44" s="63">
        <v>2.8</v>
      </c>
      <c r="J44" s="63">
        <v>2.8</v>
      </c>
      <c r="K44" s="63">
        <v>2.8</v>
      </c>
      <c r="L44" s="50">
        <v>2.8</v>
      </c>
      <c r="M44" s="50">
        <v>2.8</v>
      </c>
      <c r="N44" s="50">
        <v>2.8</v>
      </c>
      <c r="O44" s="50">
        <v>2.8</v>
      </c>
      <c r="P44" s="50">
        <v>2.8</v>
      </c>
      <c r="Q44" s="50">
        <v>2.8</v>
      </c>
      <c r="R44" s="50">
        <v>2.8</v>
      </c>
      <c r="S44" s="50">
        <v>2.8</v>
      </c>
      <c r="T44" s="50">
        <v>2.8</v>
      </c>
      <c r="U44" s="50">
        <v>2.8</v>
      </c>
      <c r="V44" s="50">
        <v>2.8</v>
      </c>
      <c r="W44" s="50">
        <v>2.8</v>
      </c>
      <c r="X44" s="50">
        <v>2.8</v>
      </c>
      <c r="Y44" s="50">
        <v>2.8</v>
      </c>
      <c r="Z44" s="50">
        <v>2.8</v>
      </c>
      <c r="AA44" s="50">
        <v>2.8</v>
      </c>
      <c r="AB44" s="50">
        <v>2.8</v>
      </c>
      <c r="AC44" s="50">
        <v>2.8</v>
      </c>
      <c r="AD44" s="50">
        <v>2.8</v>
      </c>
      <c r="AE44" s="63">
        <v>2.9</v>
      </c>
      <c r="AF44" s="63">
        <v>2.9</v>
      </c>
      <c r="AG44" s="69">
        <v>15</v>
      </c>
      <c r="AH44" s="56">
        <f t="shared" si="2"/>
        <v>2.9</v>
      </c>
      <c r="AI44" s="57">
        <f t="shared" si="3"/>
        <v>2.8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13</v>
      </c>
      <c r="D45" s="63">
        <v>13</v>
      </c>
      <c r="E45" s="63">
        <v>13</v>
      </c>
      <c r="F45" s="63">
        <v>13</v>
      </c>
      <c r="G45" s="63">
        <v>13</v>
      </c>
      <c r="H45" s="63">
        <v>13</v>
      </c>
      <c r="I45" s="63">
        <v>13</v>
      </c>
      <c r="J45" s="63">
        <v>13</v>
      </c>
      <c r="K45" s="63">
        <v>13.1</v>
      </c>
      <c r="L45" s="50">
        <v>13.1</v>
      </c>
      <c r="M45" s="50">
        <v>13.1</v>
      </c>
      <c r="N45" s="50">
        <v>13.1</v>
      </c>
      <c r="O45" s="50">
        <v>13.1</v>
      </c>
      <c r="P45" s="50">
        <v>13.1</v>
      </c>
      <c r="Q45" s="50">
        <v>13.1</v>
      </c>
      <c r="R45" s="50">
        <v>13.1</v>
      </c>
      <c r="S45" s="50">
        <v>13.1</v>
      </c>
      <c r="T45" s="50">
        <v>13.1</v>
      </c>
      <c r="U45" s="50">
        <v>13.1</v>
      </c>
      <c r="V45" s="50">
        <v>13.1</v>
      </c>
      <c r="W45" s="50">
        <v>13.1</v>
      </c>
      <c r="X45" s="50">
        <v>13.1</v>
      </c>
      <c r="Y45" s="50">
        <v>13.1</v>
      </c>
      <c r="Z45" s="50">
        <v>13.1</v>
      </c>
      <c r="AA45" s="50">
        <v>13.1</v>
      </c>
      <c r="AB45" s="50">
        <v>13.2</v>
      </c>
      <c r="AC45" s="50">
        <v>13.2</v>
      </c>
      <c r="AD45" s="50">
        <v>13.2</v>
      </c>
      <c r="AE45" s="63">
        <v>13.2</v>
      </c>
      <c r="AF45" s="63">
        <v>13.2</v>
      </c>
      <c r="AG45" s="69">
        <v>14.1</v>
      </c>
      <c r="AH45" s="56">
        <f t="shared" si="2"/>
        <v>13.2</v>
      </c>
      <c r="AI45" s="57">
        <f t="shared" si="3"/>
        <v>13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63">
        <v>7</v>
      </c>
      <c r="C46" s="75">
        <v>7</v>
      </c>
      <c r="D46" s="75">
        <v>7</v>
      </c>
      <c r="E46" s="75">
        <v>7</v>
      </c>
      <c r="F46" s="75">
        <v>7</v>
      </c>
      <c r="G46" s="75">
        <v>7</v>
      </c>
      <c r="H46" s="75">
        <v>7</v>
      </c>
      <c r="I46" s="75">
        <v>7</v>
      </c>
      <c r="J46" s="75">
        <v>7</v>
      </c>
      <c r="K46" s="75">
        <v>7</v>
      </c>
      <c r="L46" s="50">
        <v>7</v>
      </c>
      <c r="M46" s="50">
        <v>7</v>
      </c>
      <c r="N46" s="50">
        <v>7</v>
      </c>
      <c r="O46" s="50">
        <v>7</v>
      </c>
      <c r="P46" s="50">
        <v>7</v>
      </c>
      <c r="Q46" s="50">
        <v>7</v>
      </c>
      <c r="R46" s="50">
        <v>5</v>
      </c>
      <c r="S46" s="50">
        <v>5</v>
      </c>
      <c r="T46" s="50">
        <v>5</v>
      </c>
      <c r="U46" s="50">
        <v>7</v>
      </c>
      <c r="V46" s="50">
        <v>7</v>
      </c>
      <c r="W46" s="50">
        <v>7</v>
      </c>
      <c r="X46" s="50">
        <v>7</v>
      </c>
      <c r="Y46" s="50">
        <v>7</v>
      </c>
      <c r="Z46" s="50">
        <v>7</v>
      </c>
      <c r="AA46" s="50">
        <v>7</v>
      </c>
      <c r="AB46" s="50">
        <v>7</v>
      </c>
      <c r="AC46" s="50">
        <v>7</v>
      </c>
      <c r="AD46" s="50">
        <v>7</v>
      </c>
      <c r="AE46" s="63">
        <v>7</v>
      </c>
      <c r="AF46" s="63">
        <v>7</v>
      </c>
      <c r="AG46" s="69">
        <v>14</v>
      </c>
      <c r="AH46" s="56">
        <f t="shared" si="2"/>
        <v>7</v>
      </c>
      <c r="AI46" s="57">
        <f t="shared" si="3"/>
        <v>5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</v>
      </c>
      <c r="C48" s="63">
        <v>6</v>
      </c>
      <c r="D48" s="63">
        <v>6</v>
      </c>
      <c r="E48" s="63">
        <v>6</v>
      </c>
      <c r="F48" s="63">
        <v>6</v>
      </c>
      <c r="G48" s="63">
        <v>6</v>
      </c>
      <c r="H48" s="63">
        <v>6</v>
      </c>
      <c r="I48" s="63">
        <v>6</v>
      </c>
      <c r="J48" s="63">
        <v>6</v>
      </c>
      <c r="K48" s="63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6</v>
      </c>
      <c r="AD48" s="50">
        <v>6</v>
      </c>
      <c r="AE48" s="63">
        <v>6</v>
      </c>
      <c r="AF48" s="63">
        <v>6</v>
      </c>
      <c r="AG48" s="69">
        <v>6.2</v>
      </c>
      <c r="AH48" s="56">
        <f t="shared" si="2"/>
        <v>6</v>
      </c>
      <c r="AI48" s="57">
        <f t="shared" si="3"/>
        <v>6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f t="shared" si="5"/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>SUM(B37:B49)</f>
        <v>338.94000000000005</v>
      </c>
      <c r="C50" s="74">
        <f t="shared" ref="C50:AF50" si="6">SUM(C37:C49)</f>
        <v>354.34000000000009</v>
      </c>
      <c r="D50" s="74">
        <f t="shared" si="6"/>
        <v>337.64000000000004</v>
      </c>
      <c r="E50" s="74">
        <f t="shared" si="6"/>
        <v>315.34000000000009</v>
      </c>
      <c r="F50" s="74">
        <f t="shared" si="6"/>
        <v>311.94000000000005</v>
      </c>
      <c r="G50" s="74">
        <f t="shared" si="6"/>
        <v>343.84000000000009</v>
      </c>
      <c r="H50" s="74">
        <f t="shared" si="6"/>
        <v>336.54000000000008</v>
      </c>
      <c r="I50" s="74">
        <f t="shared" si="6"/>
        <v>319.24000000000007</v>
      </c>
      <c r="J50" s="74">
        <f t="shared" si="6"/>
        <v>329.84000000000009</v>
      </c>
      <c r="K50" s="74">
        <f t="shared" si="6"/>
        <v>325.6400000000001</v>
      </c>
      <c r="L50" s="74">
        <f t="shared" si="6"/>
        <v>318.24000000000007</v>
      </c>
      <c r="M50" s="74">
        <f t="shared" si="6"/>
        <v>363.44000000000011</v>
      </c>
      <c r="N50" s="74">
        <f t="shared" si="6"/>
        <v>359.44000000000005</v>
      </c>
      <c r="O50" s="74">
        <f t="shared" si="6"/>
        <v>360.84000000000009</v>
      </c>
      <c r="P50" s="74">
        <f t="shared" si="6"/>
        <v>362.34000000000009</v>
      </c>
      <c r="Q50" s="74">
        <f t="shared" si="6"/>
        <v>357.04000000000008</v>
      </c>
      <c r="R50" s="74">
        <f t="shared" si="6"/>
        <v>365.84000000000009</v>
      </c>
      <c r="S50" s="74">
        <f t="shared" si="6"/>
        <v>365.84000000000009</v>
      </c>
      <c r="T50" s="74">
        <f t="shared" si="6"/>
        <v>373.84000000000003</v>
      </c>
      <c r="U50" s="74">
        <f t="shared" si="6"/>
        <v>378.24000000000007</v>
      </c>
      <c r="V50" s="74">
        <f t="shared" si="6"/>
        <v>378.24000000000007</v>
      </c>
      <c r="W50" s="74">
        <f t="shared" si="6"/>
        <v>392.04000000000008</v>
      </c>
      <c r="X50" s="74">
        <f t="shared" si="6"/>
        <v>364.84000000000009</v>
      </c>
      <c r="Y50" s="74">
        <f t="shared" si="6"/>
        <v>363.94000000000005</v>
      </c>
      <c r="Z50" s="74">
        <f t="shared" si="6"/>
        <v>363.94000000000005</v>
      </c>
      <c r="AA50" s="74">
        <f t="shared" si="6"/>
        <v>362.94000000000005</v>
      </c>
      <c r="AB50" s="74">
        <f t="shared" si="6"/>
        <v>363.74000000000007</v>
      </c>
      <c r="AC50" s="74">
        <f t="shared" si="6"/>
        <v>362.04000000000008</v>
      </c>
      <c r="AD50" s="74">
        <f t="shared" si="6"/>
        <v>362.84000000000009</v>
      </c>
      <c r="AE50" s="74">
        <f t="shared" si="6"/>
        <v>342.34000000000003</v>
      </c>
      <c r="AF50" s="74">
        <f t="shared" si="6"/>
        <v>340.54</v>
      </c>
      <c r="AG50" s="79">
        <f>SUM(AG37:AG49)</f>
        <v>489.91</v>
      </c>
      <c r="AH50" s="56">
        <f t="shared" si="2"/>
        <v>392.04000000000008</v>
      </c>
      <c r="AI50" s="57">
        <f t="shared" si="3"/>
        <v>311.94000000000005</v>
      </c>
      <c r="AJ50" s="183">
        <f>AVERAGE(B50:AF50)</f>
        <v>352.12387096774211</v>
      </c>
      <c r="AK50" s="183">
        <f>(430-AJ50)*24</f>
        <v>1869.0270967741894</v>
      </c>
    </row>
    <row r="51" spans="1:37" ht="15.75" x14ac:dyDescent="0.25">
      <c r="A51" s="59" t="s">
        <v>59</v>
      </c>
      <c r="B51" s="50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24.3</v>
      </c>
      <c r="O51" s="80">
        <v>10.5</v>
      </c>
      <c r="P51" s="50">
        <v>0</v>
      </c>
      <c r="Q51" s="50">
        <v>10.8</v>
      </c>
      <c r="R51" s="50">
        <v>10.199999999999999</v>
      </c>
      <c r="S51" s="50">
        <v>11.6</v>
      </c>
      <c r="T51" s="50">
        <v>11.6</v>
      </c>
      <c r="U51" s="50">
        <v>11.5</v>
      </c>
      <c r="V51" s="50">
        <v>11.5</v>
      </c>
      <c r="W51" s="50">
        <v>50</v>
      </c>
      <c r="X51" s="177">
        <v>50.5</v>
      </c>
      <c r="Y51" s="50">
        <v>43.8</v>
      </c>
      <c r="Z51" s="50">
        <v>39.1</v>
      </c>
      <c r="AA51" s="50">
        <v>39.1</v>
      </c>
      <c r="AB51" s="50">
        <v>33.700000000000003</v>
      </c>
      <c r="AC51" s="50">
        <v>10.3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50.5</v>
      </c>
      <c r="AI51" s="57">
        <f t="shared" si="3"/>
        <v>0</v>
      </c>
      <c r="AK51" s="58"/>
    </row>
    <row r="52" spans="1:37" ht="15.75" x14ac:dyDescent="0.25">
      <c r="A52" s="68" t="s">
        <v>60</v>
      </c>
      <c r="B52" s="52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11.2</v>
      </c>
      <c r="O52" s="80">
        <v>4.3</v>
      </c>
      <c r="P52" s="52">
        <v>0</v>
      </c>
      <c r="Q52" s="52">
        <v>2.6</v>
      </c>
      <c r="R52" s="50">
        <v>5.7</v>
      </c>
      <c r="S52" s="50">
        <v>6.2</v>
      </c>
      <c r="T52" s="50">
        <v>5.3</v>
      </c>
      <c r="U52" s="52">
        <v>4.4000000000000004</v>
      </c>
      <c r="V52" s="52">
        <v>4.4000000000000004</v>
      </c>
      <c r="W52" s="52">
        <v>24.7</v>
      </c>
      <c r="X52" s="178">
        <v>23.8</v>
      </c>
      <c r="Y52" s="52">
        <v>19.3</v>
      </c>
      <c r="Z52" s="52">
        <v>17.600000000000001</v>
      </c>
      <c r="AA52" s="52">
        <v>16.899999999999999</v>
      </c>
      <c r="AB52" s="52">
        <v>16.600000000000001</v>
      </c>
      <c r="AC52" s="52">
        <v>3.8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24.7</v>
      </c>
      <c r="AI52" s="57">
        <f t="shared" si="3"/>
        <v>0</v>
      </c>
      <c r="AK52" s="58"/>
    </row>
    <row r="53" spans="1:37" ht="16.5" thickBot="1" x14ac:dyDescent="0.3">
      <c r="A53" s="77" t="s">
        <v>61</v>
      </c>
      <c r="B53" s="82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4.0999999999999996</v>
      </c>
      <c r="O53" s="81">
        <v>1.6</v>
      </c>
      <c r="P53" s="82">
        <v>0</v>
      </c>
      <c r="Q53" s="82">
        <v>1</v>
      </c>
      <c r="R53" s="50">
        <v>2.1</v>
      </c>
      <c r="S53" s="50">
        <v>2.2000000000000002</v>
      </c>
      <c r="T53" s="50">
        <v>1.9</v>
      </c>
      <c r="U53" s="82">
        <v>1.6</v>
      </c>
      <c r="V53" s="82">
        <v>1.6</v>
      </c>
      <c r="W53" s="82">
        <v>9</v>
      </c>
      <c r="X53" s="179">
        <v>8.6999999999999993</v>
      </c>
      <c r="Y53" s="82">
        <v>7.3</v>
      </c>
      <c r="Z53" s="82">
        <v>6.4</v>
      </c>
      <c r="AA53" s="82">
        <v>6.2</v>
      </c>
      <c r="AB53" s="82">
        <v>6</v>
      </c>
      <c r="AC53" s="82">
        <v>1.4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9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39.6</v>
      </c>
      <c r="O54" s="74">
        <f t="shared" si="7"/>
        <v>16.400000000000002</v>
      </c>
      <c r="P54" s="74">
        <f t="shared" si="7"/>
        <v>0</v>
      </c>
      <c r="Q54" s="74">
        <f t="shared" si="7"/>
        <v>14.4</v>
      </c>
      <c r="R54" s="74">
        <f t="shared" si="7"/>
        <v>18</v>
      </c>
      <c r="S54" s="74">
        <f t="shared" si="7"/>
        <v>20</v>
      </c>
      <c r="T54" s="74">
        <f t="shared" si="7"/>
        <v>18.799999999999997</v>
      </c>
      <c r="U54" s="74">
        <f t="shared" si="7"/>
        <v>17.5</v>
      </c>
      <c r="V54" s="74">
        <f t="shared" si="7"/>
        <v>17.5</v>
      </c>
      <c r="W54" s="74">
        <f t="shared" si="7"/>
        <v>83.7</v>
      </c>
      <c r="X54" s="74">
        <f t="shared" si="7"/>
        <v>83</v>
      </c>
      <c r="Y54" s="74">
        <f t="shared" si="7"/>
        <v>70.399999999999991</v>
      </c>
      <c r="Z54" s="74">
        <f t="shared" si="7"/>
        <v>63.1</v>
      </c>
      <c r="AA54" s="74">
        <f t="shared" si="7"/>
        <v>62.2</v>
      </c>
      <c r="AB54" s="74">
        <f t="shared" si="7"/>
        <v>56.300000000000004</v>
      </c>
      <c r="AC54" s="74">
        <f t="shared" si="7"/>
        <v>15.500000000000002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83.7</v>
      </c>
      <c r="AI54" s="57">
        <f t="shared" si="3"/>
        <v>0</v>
      </c>
      <c r="AK54" s="58"/>
    </row>
    <row r="55" spans="1:37" ht="15.75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36.700000000000003</v>
      </c>
      <c r="X55" s="180">
        <v>59.7</v>
      </c>
      <c r="Y55" s="50">
        <v>52.9</v>
      </c>
      <c r="Z55" s="50">
        <v>31.5</v>
      </c>
      <c r="AA55" s="50">
        <v>30.1</v>
      </c>
      <c r="AB55" s="50">
        <v>18.2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59.7</v>
      </c>
      <c r="AI55" s="57">
        <f t="shared" si="3"/>
        <v>0</v>
      </c>
      <c r="AK55" s="58"/>
    </row>
    <row r="56" spans="1:37" ht="15.75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181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ht="15.75" x14ac:dyDescent="0.25">
      <c r="A57" s="68" t="s">
        <v>65</v>
      </c>
      <c r="B57" s="52">
        <v>-55</v>
      </c>
      <c r="C57" s="52">
        <v>-8.1999999999999993</v>
      </c>
      <c r="D57" s="52">
        <v>-65.8</v>
      </c>
      <c r="E57" s="52">
        <v>-21.6</v>
      </c>
      <c r="F57" s="52">
        <v>-25</v>
      </c>
      <c r="G57" s="50">
        <v>-84</v>
      </c>
      <c r="H57" s="50">
        <v>-88.3</v>
      </c>
      <c r="I57" s="50">
        <v>-82.1</v>
      </c>
      <c r="J57" s="50">
        <v>-81</v>
      </c>
      <c r="K57" s="50">
        <v>-85</v>
      </c>
      <c r="L57" s="52">
        <v>-32.6</v>
      </c>
      <c r="M57" s="52">
        <v>-36.799999999999997</v>
      </c>
      <c r="N57" s="52">
        <v>-46</v>
      </c>
      <c r="O57" s="52">
        <v>-43.3</v>
      </c>
      <c r="P57" s="52">
        <v>-19.7</v>
      </c>
      <c r="Q57" s="52">
        <v>-70</v>
      </c>
      <c r="R57" s="52">
        <v>-57.5</v>
      </c>
      <c r="S57" s="52">
        <v>-45.7</v>
      </c>
      <c r="T57" s="52">
        <v>-55</v>
      </c>
      <c r="U57" s="52">
        <v>-79.8</v>
      </c>
      <c r="V57" s="52">
        <v>-58</v>
      </c>
      <c r="W57" s="85">
        <v>-55</v>
      </c>
      <c r="X57" s="181">
        <v>-65</v>
      </c>
      <c r="Y57" s="85">
        <v>-79</v>
      </c>
      <c r="Z57" s="85">
        <v>-121</v>
      </c>
      <c r="AA57" s="52">
        <v>-76.8</v>
      </c>
      <c r="AB57" s="52">
        <v>-62</v>
      </c>
      <c r="AC57" s="52">
        <v>-130</v>
      </c>
      <c r="AD57" s="52">
        <v>-120</v>
      </c>
      <c r="AE57" s="52">
        <v>-124</v>
      </c>
      <c r="AF57" s="52">
        <v>-149</v>
      </c>
      <c r="AG57" s="86"/>
      <c r="AH57" s="56">
        <f t="shared" si="2"/>
        <v>-8.1999999999999993</v>
      </c>
      <c r="AI57" s="57">
        <f t="shared" si="3"/>
        <v>-149</v>
      </c>
      <c r="AK57" s="58"/>
    </row>
    <row r="58" spans="1:37" ht="15.75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181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ht="15.75" x14ac:dyDescent="0.25">
      <c r="A59" s="68" t="s">
        <v>67</v>
      </c>
      <c r="B59" s="5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181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ht="15.75" x14ac:dyDescent="0.25">
      <c r="A60" s="68" t="s">
        <v>68</v>
      </c>
      <c r="B60" s="6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181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ht="15.75" x14ac:dyDescent="0.25">
      <c r="A61" s="68" t="s">
        <v>69</v>
      </c>
      <c r="B61" s="62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181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ht="15.75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181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ht="15.75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181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ht="15.75" x14ac:dyDescent="0.25">
      <c r="A64" s="87" t="s">
        <v>72</v>
      </c>
      <c r="B64" s="65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181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6.5" thickBot="1" x14ac:dyDescent="0.3">
      <c r="A65" s="87" t="s">
        <v>73</v>
      </c>
      <c r="B65" s="65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182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-55</v>
      </c>
      <c r="C66" s="74">
        <f t="shared" ref="C66:AF66" si="8">SUM(C55:C65)</f>
        <v>-8.1999999999999993</v>
      </c>
      <c r="D66" s="74">
        <f t="shared" si="8"/>
        <v>-65.8</v>
      </c>
      <c r="E66" s="74">
        <f t="shared" si="8"/>
        <v>-21.6</v>
      </c>
      <c r="F66" s="74">
        <f t="shared" si="8"/>
        <v>-25</v>
      </c>
      <c r="G66" s="74">
        <f t="shared" si="8"/>
        <v>-84</v>
      </c>
      <c r="H66" s="74">
        <f t="shared" si="8"/>
        <v>-88.3</v>
      </c>
      <c r="I66" s="74">
        <f t="shared" si="8"/>
        <v>-82.1</v>
      </c>
      <c r="J66" s="74">
        <f t="shared" si="8"/>
        <v>-81</v>
      </c>
      <c r="K66" s="74">
        <f t="shared" si="8"/>
        <v>-85</v>
      </c>
      <c r="L66" s="74">
        <f>SUM(L55:L65)</f>
        <v>-32.6</v>
      </c>
      <c r="M66" s="74">
        <f t="shared" si="8"/>
        <v>-36.799999999999997</v>
      </c>
      <c r="N66" s="74">
        <f t="shared" si="8"/>
        <v>-46</v>
      </c>
      <c r="O66" s="74">
        <f t="shared" si="8"/>
        <v>-43.3</v>
      </c>
      <c r="P66" s="74">
        <f t="shared" si="8"/>
        <v>-19.7</v>
      </c>
      <c r="Q66" s="74">
        <f t="shared" si="8"/>
        <v>-70</v>
      </c>
      <c r="R66" s="74">
        <f t="shared" si="8"/>
        <v>-57.5</v>
      </c>
      <c r="S66" s="74">
        <f t="shared" si="8"/>
        <v>-45.7</v>
      </c>
      <c r="T66" s="74">
        <f t="shared" si="8"/>
        <v>-55</v>
      </c>
      <c r="U66" s="74">
        <f t="shared" si="8"/>
        <v>-79.8</v>
      </c>
      <c r="V66" s="74">
        <f t="shared" si="8"/>
        <v>-58</v>
      </c>
      <c r="W66" s="74">
        <f t="shared" si="8"/>
        <v>-18.299999999999997</v>
      </c>
      <c r="X66" s="74">
        <f t="shared" si="8"/>
        <v>-5.2999999999999972</v>
      </c>
      <c r="Y66" s="74">
        <f t="shared" si="8"/>
        <v>-26.1</v>
      </c>
      <c r="Z66" s="74">
        <f t="shared" si="8"/>
        <v>-89.5</v>
      </c>
      <c r="AA66" s="74">
        <f t="shared" si="8"/>
        <v>-46.699999999999996</v>
      </c>
      <c r="AB66" s="74">
        <f t="shared" si="8"/>
        <v>-43.8</v>
      </c>
      <c r="AC66" s="74">
        <f t="shared" si="8"/>
        <v>-130</v>
      </c>
      <c r="AD66" s="74">
        <f t="shared" si="8"/>
        <v>-120</v>
      </c>
      <c r="AE66" s="74">
        <f t="shared" si="8"/>
        <v>-124</v>
      </c>
      <c r="AF66" s="74">
        <f t="shared" si="8"/>
        <v>-149</v>
      </c>
      <c r="AG66" s="79">
        <f>SUM(AG55:AG65)</f>
        <v>0</v>
      </c>
      <c r="AH66" s="56">
        <f t="shared" si="2"/>
        <v>-5.2999999999999972</v>
      </c>
      <c r="AI66" s="57">
        <f t="shared" si="3"/>
        <v>-149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5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978.34</v>
      </c>
      <c r="C71" s="90">
        <f t="shared" ref="C71:AG71" si="10">C66+C54+C50+C36+C70</f>
        <v>980.54000000000008</v>
      </c>
      <c r="D71" s="90">
        <f t="shared" si="10"/>
        <v>943.43999999999994</v>
      </c>
      <c r="E71" s="90">
        <f t="shared" si="10"/>
        <v>944.54</v>
      </c>
      <c r="F71" s="90">
        <f t="shared" si="10"/>
        <v>927.84000000000015</v>
      </c>
      <c r="G71" s="90">
        <f t="shared" si="10"/>
        <v>910.74000000000024</v>
      </c>
      <c r="H71" s="90">
        <f t="shared" si="10"/>
        <v>919.04</v>
      </c>
      <c r="I71" s="90">
        <f t="shared" si="10"/>
        <v>912.74</v>
      </c>
      <c r="J71" s="90">
        <f t="shared" si="10"/>
        <v>919.54000000000019</v>
      </c>
      <c r="K71" s="90">
        <f t="shared" si="10"/>
        <v>904.24000000000012</v>
      </c>
      <c r="L71" s="90">
        <f t="shared" si="10"/>
        <v>960.94</v>
      </c>
      <c r="M71" s="90">
        <f t="shared" si="10"/>
        <v>984.94</v>
      </c>
      <c r="N71" s="90">
        <f t="shared" si="10"/>
        <v>1001.2400000000001</v>
      </c>
      <c r="O71" s="90">
        <f t="shared" si="10"/>
        <v>982.24</v>
      </c>
      <c r="P71" s="90">
        <f t="shared" si="10"/>
        <v>1010.8400000000001</v>
      </c>
      <c r="Q71" s="90">
        <f t="shared" si="10"/>
        <v>969.6400000000001</v>
      </c>
      <c r="R71" s="90">
        <f t="shared" si="10"/>
        <v>950.54000000000019</v>
      </c>
      <c r="S71" s="90">
        <f t="shared" si="10"/>
        <v>970.34000000000015</v>
      </c>
      <c r="T71" s="90">
        <f t="shared" si="10"/>
        <v>963.84000000000015</v>
      </c>
      <c r="U71" s="90">
        <f t="shared" si="10"/>
        <v>968.1400000000001</v>
      </c>
      <c r="V71" s="90">
        <f t="shared" si="10"/>
        <v>989.94</v>
      </c>
      <c r="W71" s="90">
        <f t="shared" si="10"/>
        <v>1181.6400000000001</v>
      </c>
      <c r="X71" s="90">
        <f t="shared" si="10"/>
        <v>1205.04</v>
      </c>
      <c r="Y71" s="90">
        <f t="shared" si="10"/>
        <v>1158.24</v>
      </c>
      <c r="Z71" s="90">
        <f t="shared" si="10"/>
        <v>1087.54</v>
      </c>
      <c r="AA71" s="90">
        <f t="shared" si="10"/>
        <v>1045.44</v>
      </c>
      <c r="AB71" s="90">
        <f t="shared" si="10"/>
        <v>1043.24</v>
      </c>
      <c r="AC71" s="90">
        <f t="shared" si="10"/>
        <v>909.54000000000008</v>
      </c>
      <c r="AD71" s="90">
        <f t="shared" si="10"/>
        <v>904.84000000000015</v>
      </c>
      <c r="AE71" s="90">
        <f t="shared" si="10"/>
        <v>864.14</v>
      </c>
      <c r="AF71" s="90">
        <f t="shared" si="10"/>
        <v>845.33999999999992</v>
      </c>
      <c r="AG71" s="90">
        <f t="shared" si="10"/>
        <v>2083.14</v>
      </c>
      <c r="AH71" s="56">
        <f t="shared" si="2"/>
        <v>1205.04</v>
      </c>
      <c r="AI71" s="57">
        <f t="shared" si="3"/>
        <v>845.33999999999992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B70+B66+B54+B50+B36+B72</f>
        <v>978.34</v>
      </c>
      <c r="C73" s="90">
        <f t="shared" ref="C73:AF73" si="11">C70+C66+C54+C50+C36+C72</f>
        <v>980.54000000000008</v>
      </c>
      <c r="D73" s="90">
        <f t="shared" si="11"/>
        <v>943.43999999999994</v>
      </c>
      <c r="E73" s="90">
        <f t="shared" si="11"/>
        <v>944.54</v>
      </c>
      <c r="F73" s="90">
        <f t="shared" si="11"/>
        <v>927.84000000000015</v>
      </c>
      <c r="G73" s="90">
        <f t="shared" si="11"/>
        <v>910.74000000000024</v>
      </c>
      <c r="H73" s="90">
        <f t="shared" si="11"/>
        <v>919.04</v>
      </c>
      <c r="I73" s="90">
        <f t="shared" si="11"/>
        <v>912.74</v>
      </c>
      <c r="J73" s="90">
        <f t="shared" si="11"/>
        <v>919.54000000000019</v>
      </c>
      <c r="K73" s="90">
        <f t="shared" si="11"/>
        <v>904.24000000000012</v>
      </c>
      <c r="L73" s="90">
        <f t="shared" si="11"/>
        <v>960.94</v>
      </c>
      <c r="M73" s="90">
        <f t="shared" si="11"/>
        <v>984.94</v>
      </c>
      <c r="N73" s="90">
        <f t="shared" si="11"/>
        <v>1001.2400000000001</v>
      </c>
      <c r="O73" s="90">
        <f t="shared" si="11"/>
        <v>982.24</v>
      </c>
      <c r="P73" s="90">
        <f t="shared" si="11"/>
        <v>1010.8400000000001</v>
      </c>
      <c r="Q73" s="90">
        <f t="shared" si="11"/>
        <v>969.6400000000001</v>
      </c>
      <c r="R73" s="90">
        <f t="shared" si="11"/>
        <v>950.54000000000019</v>
      </c>
      <c r="S73" s="90">
        <f t="shared" si="11"/>
        <v>970.34000000000015</v>
      </c>
      <c r="T73" s="90">
        <f t="shared" si="11"/>
        <v>963.84000000000015</v>
      </c>
      <c r="U73" s="90">
        <f t="shared" si="11"/>
        <v>968.1400000000001</v>
      </c>
      <c r="V73" s="90">
        <f t="shared" si="11"/>
        <v>989.94</v>
      </c>
      <c r="W73" s="90">
        <f t="shared" si="11"/>
        <v>1181.6400000000001</v>
      </c>
      <c r="X73" s="90">
        <f t="shared" si="11"/>
        <v>1205.04</v>
      </c>
      <c r="Y73" s="90">
        <f t="shared" si="11"/>
        <v>1158.24</v>
      </c>
      <c r="Z73" s="90">
        <f t="shared" si="11"/>
        <v>1087.54</v>
      </c>
      <c r="AA73" s="90">
        <f t="shared" si="11"/>
        <v>1045.44</v>
      </c>
      <c r="AB73" s="90">
        <f t="shared" si="11"/>
        <v>1043.24</v>
      </c>
      <c r="AC73" s="90">
        <f t="shared" si="11"/>
        <v>909.54000000000008</v>
      </c>
      <c r="AD73" s="90">
        <f t="shared" si="11"/>
        <v>904.84000000000015</v>
      </c>
      <c r="AE73" s="90">
        <f t="shared" si="11"/>
        <v>864.14</v>
      </c>
      <c r="AF73" s="90">
        <f t="shared" si="11"/>
        <v>845.33999999999992</v>
      </c>
      <c r="AG73" s="79">
        <f>AG70+AG66+AG54+AG50+AG36+AG72</f>
        <v>2083.14</v>
      </c>
      <c r="AH73" s="56">
        <f t="shared" si="2"/>
        <v>1205.04</v>
      </c>
      <c r="AI73" s="57">
        <f t="shared" si="3"/>
        <v>845.33999999999992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55</v>
      </c>
      <c r="C77" s="60">
        <f t="shared" ref="C77:AF77" si="15">IF(C57&lt;0,C57*-1,0)</f>
        <v>8.1999999999999993</v>
      </c>
      <c r="D77" s="60">
        <f t="shared" si="15"/>
        <v>65.8</v>
      </c>
      <c r="E77" s="60">
        <f t="shared" si="15"/>
        <v>21.6</v>
      </c>
      <c r="F77" s="60">
        <f t="shared" si="15"/>
        <v>25</v>
      </c>
      <c r="G77" s="60">
        <f t="shared" si="15"/>
        <v>84</v>
      </c>
      <c r="H77" s="60">
        <f t="shared" si="15"/>
        <v>88.3</v>
      </c>
      <c r="I77" s="60">
        <f t="shared" si="15"/>
        <v>82.1</v>
      </c>
      <c r="J77" s="60">
        <f t="shared" si="15"/>
        <v>81</v>
      </c>
      <c r="K77" s="60">
        <f t="shared" si="15"/>
        <v>85</v>
      </c>
      <c r="L77" s="60">
        <f t="shared" si="15"/>
        <v>32.6</v>
      </c>
      <c r="M77" s="60">
        <f t="shared" si="15"/>
        <v>36.799999999999997</v>
      </c>
      <c r="N77" s="60">
        <f t="shared" si="15"/>
        <v>46</v>
      </c>
      <c r="O77" s="60">
        <f t="shared" si="15"/>
        <v>43.3</v>
      </c>
      <c r="P77" s="60">
        <f t="shared" si="15"/>
        <v>19.7</v>
      </c>
      <c r="Q77" s="60">
        <f t="shared" si="15"/>
        <v>70</v>
      </c>
      <c r="R77" s="60">
        <f t="shared" si="15"/>
        <v>57.5</v>
      </c>
      <c r="S77" s="60">
        <f t="shared" si="15"/>
        <v>45.7</v>
      </c>
      <c r="T77" s="60">
        <f t="shared" si="15"/>
        <v>55</v>
      </c>
      <c r="U77" s="60">
        <f t="shared" si="15"/>
        <v>79.8</v>
      </c>
      <c r="V77" s="60">
        <f t="shared" si="15"/>
        <v>58</v>
      </c>
      <c r="W77" s="60">
        <f t="shared" si="15"/>
        <v>55</v>
      </c>
      <c r="X77" s="60">
        <f t="shared" si="15"/>
        <v>65</v>
      </c>
      <c r="Y77" s="60">
        <f t="shared" si="15"/>
        <v>79</v>
      </c>
      <c r="Z77" s="60">
        <f t="shared" si="15"/>
        <v>121</v>
      </c>
      <c r="AA77" s="60">
        <f t="shared" si="15"/>
        <v>76.8</v>
      </c>
      <c r="AB77" s="60">
        <f t="shared" si="15"/>
        <v>62</v>
      </c>
      <c r="AC77" s="60">
        <f t="shared" si="15"/>
        <v>130</v>
      </c>
      <c r="AD77" s="60">
        <f t="shared" si="15"/>
        <v>120</v>
      </c>
      <c r="AE77" s="60">
        <f t="shared" si="15"/>
        <v>124</v>
      </c>
      <c r="AF77" s="60">
        <f t="shared" si="15"/>
        <v>149</v>
      </c>
      <c r="AG77" s="93"/>
      <c r="AH77" s="56">
        <f t="shared" ref="AH77:AH89" si="16">MAX(B77:AF77)</f>
        <v>149</v>
      </c>
      <c r="AI77" s="57">
        <f t="shared" ref="AI77:AI89" si="17">MIN(B77:AF77)</f>
        <v>8.1999999999999993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>SUM(B74:B79)</f>
        <v>55</v>
      </c>
      <c r="C80" s="74">
        <f t="shared" ref="C80:AG80" si="19">SUM(C74:C79)</f>
        <v>8.1999999999999993</v>
      </c>
      <c r="D80" s="74">
        <f t="shared" si="19"/>
        <v>65.8</v>
      </c>
      <c r="E80" s="74">
        <f t="shared" si="19"/>
        <v>21.6</v>
      </c>
      <c r="F80" s="74">
        <f t="shared" si="19"/>
        <v>25</v>
      </c>
      <c r="G80" s="74">
        <f t="shared" si="19"/>
        <v>84</v>
      </c>
      <c r="H80" s="74">
        <f t="shared" si="19"/>
        <v>88.3</v>
      </c>
      <c r="I80" s="74">
        <f t="shared" si="19"/>
        <v>82.1</v>
      </c>
      <c r="J80" s="74">
        <f t="shared" si="19"/>
        <v>81</v>
      </c>
      <c r="K80" s="74">
        <f t="shared" si="19"/>
        <v>85</v>
      </c>
      <c r="L80" s="74">
        <f t="shared" si="19"/>
        <v>32.6</v>
      </c>
      <c r="M80" s="74">
        <f t="shared" si="19"/>
        <v>36.799999999999997</v>
      </c>
      <c r="N80" s="74">
        <f t="shared" si="19"/>
        <v>46</v>
      </c>
      <c r="O80" s="74">
        <f t="shared" si="19"/>
        <v>43.3</v>
      </c>
      <c r="P80" s="74">
        <f t="shared" si="19"/>
        <v>19.7</v>
      </c>
      <c r="Q80" s="74">
        <f t="shared" si="19"/>
        <v>70</v>
      </c>
      <c r="R80" s="74">
        <f t="shared" si="19"/>
        <v>57.5</v>
      </c>
      <c r="S80" s="74">
        <f t="shared" si="19"/>
        <v>45.7</v>
      </c>
      <c r="T80" s="74">
        <f t="shared" si="19"/>
        <v>55</v>
      </c>
      <c r="U80" s="74">
        <f t="shared" si="19"/>
        <v>79.8</v>
      </c>
      <c r="V80" s="74">
        <f t="shared" si="19"/>
        <v>58</v>
      </c>
      <c r="W80" s="74">
        <f t="shared" si="19"/>
        <v>55</v>
      </c>
      <c r="X80" s="74">
        <f t="shared" si="19"/>
        <v>65</v>
      </c>
      <c r="Y80" s="74">
        <f t="shared" si="19"/>
        <v>79</v>
      </c>
      <c r="Z80" s="74">
        <f t="shared" si="19"/>
        <v>121</v>
      </c>
      <c r="AA80" s="74">
        <f t="shared" si="19"/>
        <v>76.8</v>
      </c>
      <c r="AB80" s="74">
        <f t="shared" si="19"/>
        <v>62</v>
      </c>
      <c r="AC80" s="74">
        <f t="shared" si="19"/>
        <v>130</v>
      </c>
      <c r="AD80" s="74">
        <f t="shared" si="19"/>
        <v>120</v>
      </c>
      <c r="AE80" s="74">
        <f t="shared" si="19"/>
        <v>124</v>
      </c>
      <c r="AF80" s="74">
        <f t="shared" si="19"/>
        <v>149</v>
      </c>
      <c r="AG80" s="79">
        <f t="shared" si="19"/>
        <v>0</v>
      </c>
      <c r="AH80" s="56">
        <f t="shared" si="16"/>
        <v>149</v>
      </c>
      <c r="AI80" s="57">
        <f t="shared" si="17"/>
        <v>8.1999999999999993</v>
      </c>
      <c r="AK80" s="58"/>
    </row>
    <row r="81" spans="1:88" s="1" customFormat="1" ht="15.75" thickBot="1" x14ac:dyDescent="0.3">
      <c r="A81" s="73" t="s">
        <v>86</v>
      </c>
      <c r="B81" s="74">
        <f>SUM(B68:B80)</f>
        <v>2066.6800000000003</v>
      </c>
      <c r="C81" s="74">
        <f t="shared" ref="C81:AG81" si="20">SUM(C68:C80)</f>
        <v>1977.4800000000002</v>
      </c>
      <c r="D81" s="74">
        <f t="shared" si="20"/>
        <v>2018.4799999999998</v>
      </c>
      <c r="E81" s="74">
        <f t="shared" si="20"/>
        <v>1932.2799999999997</v>
      </c>
      <c r="F81" s="74">
        <f t="shared" si="20"/>
        <v>1905.6800000000003</v>
      </c>
      <c r="G81" s="74">
        <f t="shared" si="20"/>
        <v>1989.4800000000005</v>
      </c>
      <c r="H81" s="74">
        <f t="shared" si="20"/>
        <v>2014.6799999999998</v>
      </c>
      <c r="I81" s="74">
        <f t="shared" si="20"/>
        <v>1989.6799999999998</v>
      </c>
      <c r="J81" s="74">
        <f t="shared" si="20"/>
        <v>2001.0800000000004</v>
      </c>
      <c r="K81" s="74">
        <f t="shared" si="20"/>
        <v>1978.4800000000002</v>
      </c>
      <c r="L81" s="74">
        <f t="shared" si="20"/>
        <v>1987.08</v>
      </c>
      <c r="M81" s="74">
        <f t="shared" si="20"/>
        <v>2043.48</v>
      </c>
      <c r="N81" s="74">
        <f t="shared" si="20"/>
        <v>2094.4800000000005</v>
      </c>
      <c r="O81" s="74">
        <f t="shared" si="20"/>
        <v>2051.08</v>
      </c>
      <c r="P81" s="74">
        <f t="shared" si="20"/>
        <v>2061.0800000000004</v>
      </c>
      <c r="Q81" s="74">
        <f t="shared" si="20"/>
        <v>2079.2800000000002</v>
      </c>
      <c r="R81" s="74">
        <f t="shared" si="20"/>
        <v>2016.0800000000004</v>
      </c>
      <c r="S81" s="74">
        <f t="shared" si="20"/>
        <v>2032.0800000000004</v>
      </c>
      <c r="T81" s="74">
        <f t="shared" si="20"/>
        <v>2037.6800000000003</v>
      </c>
      <c r="U81" s="74">
        <f t="shared" si="20"/>
        <v>2095.88</v>
      </c>
      <c r="V81" s="74">
        <f t="shared" si="20"/>
        <v>2095.88</v>
      </c>
      <c r="W81" s="74">
        <f t="shared" si="20"/>
        <v>2473.2800000000002</v>
      </c>
      <c r="X81" s="74">
        <f t="shared" si="20"/>
        <v>2540.08</v>
      </c>
      <c r="Y81" s="74">
        <f t="shared" si="20"/>
        <v>2474.48</v>
      </c>
      <c r="Z81" s="74">
        <f t="shared" si="20"/>
        <v>2417.08</v>
      </c>
      <c r="AA81" s="74">
        <f t="shared" si="20"/>
        <v>2244.4800000000005</v>
      </c>
      <c r="AB81" s="74">
        <f t="shared" si="20"/>
        <v>2210.48</v>
      </c>
      <c r="AC81" s="74">
        <f t="shared" si="20"/>
        <v>2079.08</v>
      </c>
      <c r="AD81" s="74">
        <f t="shared" si="20"/>
        <v>2049.6800000000003</v>
      </c>
      <c r="AE81" s="74">
        <f t="shared" si="20"/>
        <v>1976.28</v>
      </c>
      <c r="AF81" s="74">
        <f t="shared" si="20"/>
        <v>1988.6799999999998</v>
      </c>
      <c r="AG81" s="79">
        <f t="shared" si="20"/>
        <v>4238.08</v>
      </c>
      <c r="AH81" s="56">
        <f t="shared" si="16"/>
        <v>2540.08</v>
      </c>
      <c r="AI81" s="57">
        <f t="shared" si="17"/>
        <v>1905.6800000000003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7">
        <v>50</v>
      </c>
      <c r="C82" s="96">
        <v>50.031999999999996</v>
      </c>
      <c r="D82" s="96">
        <v>49.999000000000002</v>
      </c>
      <c r="E82" s="96">
        <v>50.024000000000001</v>
      </c>
      <c r="F82" s="96">
        <v>50.027000000000001</v>
      </c>
      <c r="G82" s="96">
        <v>50.027000000000001</v>
      </c>
      <c r="H82" s="96">
        <v>49.893000000000001</v>
      </c>
      <c r="I82" s="96">
        <v>49.942999999999998</v>
      </c>
      <c r="J82" s="96">
        <v>49.801000000000002</v>
      </c>
      <c r="K82" s="96">
        <v>49.972999999999999</v>
      </c>
      <c r="L82" s="96">
        <v>50.07</v>
      </c>
      <c r="M82" s="96">
        <v>50.01</v>
      </c>
      <c r="N82" s="96">
        <v>50.07</v>
      </c>
      <c r="O82" s="96">
        <v>49.988</v>
      </c>
      <c r="P82" s="96">
        <v>49.9</v>
      </c>
      <c r="Q82" s="96">
        <v>49.97</v>
      </c>
      <c r="R82" s="96">
        <v>49.930999999999997</v>
      </c>
      <c r="S82" s="96">
        <v>50.085999999999999</v>
      </c>
      <c r="T82" s="96">
        <v>50.027999999999999</v>
      </c>
      <c r="U82" s="96">
        <v>49.981999999999999</v>
      </c>
      <c r="V82" s="96">
        <v>49.981999999999999</v>
      </c>
      <c r="W82" s="96">
        <v>50.033999999999999</v>
      </c>
      <c r="X82" s="96">
        <v>50.014000000000003</v>
      </c>
      <c r="Y82" s="96">
        <v>50.017000000000003</v>
      </c>
      <c r="Z82" s="96">
        <v>50.017000000000003</v>
      </c>
      <c r="AA82" s="96">
        <v>50.064</v>
      </c>
      <c r="AB82" s="96">
        <v>50.034999999999997</v>
      </c>
      <c r="AC82" s="96">
        <v>50.05</v>
      </c>
      <c r="AD82" s="96">
        <v>50.061999999999998</v>
      </c>
      <c r="AE82" s="96">
        <v>50</v>
      </c>
      <c r="AF82" s="97">
        <v>50.039000000000001</v>
      </c>
      <c r="AG82" s="98"/>
      <c r="AH82" s="56">
        <f t="shared" si="16"/>
        <v>50.085999999999999</v>
      </c>
      <c r="AI82" s="57">
        <f t="shared" si="17"/>
        <v>49.801000000000002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101">
        <v>121.7</v>
      </c>
      <c r="C83" s="52">
        <v>122.4</v>
      </c>
      <c r="D83" s="52">
        <v>123.1</v>
      </c>
      <c r="E83" s="52">
        <v>124.3</v>
      </c>
      <c r="F83" s="52">
        <v>123.6</v>
      </c>
      <c r="G83" s="52">
        <v>122.5</v>
      </c>
      <c r="H83" s="52">
        <v>122.7</v>
      </c>
      <c r="I83" s="52">
        <v>123.5</v>
      </c>
      <c r="J83" s="52">
        <v>122.7</v>
      </c>
      <c r="K83" s="52">
        <v>122.3</v>
      </c>
      <c r="L83" s="52">
        <v>122.3</v>
      </c>
      <c r="M83" s="52">
        <v>122.5</v>
      </c>
      <c r="N83" s="52">
        <v>121.6</v>
      </c>
      <c r="O83" s="52">
        <v>121.8</v>
      </c>
      <c r="P83" s="52">
        <v>120.1</v>
      </c>
      <c r="Q83" s="52">
        <v>121.9</v>
      </c>
      <c r="R83" s="52">
        <v>120.4</v>
      </c>
      <c r="S83" s="52">
        <v>118.3</v>
      </c>
      <c r="T83" s="100">
        <v>119.6</v>
      </c>
      <c r="U83" s="100">
        <v>120.3</v>
      </c>
      <c r="V83" s="100">
        <v>120.3</v>
      </c>
      <c r="W83" s="100">
        <v>123.5</v>
      </c>
      <c r="X83" s="100">
        <v>125.8</v>
      </c>
      <c r="Y83" s="100">
        <v>125.6</v>
      </c>
      <c r="Z83" s="100">
        <v>125.6</v>
      </c>
      <c r="AA83" s="52">
        <v>126.2</v>
      </c>
      <c r="AB83" s="52">
        <v>125.9</v>
      </c>
      <c r="AC83" s="52">
        <v>125.9</v>
      </c>
      <c r="AD83" s="52">
        <v>125.3</v>
      </c>
      <c r="AE83" s="52">
        <v>124.8</v>
      </c>
      <c r="AF83" s="101">
        <v>122.8</v>
      </c>
      <c r="AG83" s="102"/>
      <c r="AH83" s="56">
        <f t="shared" si="16"/>
        <v>126.2</v>
      </c>
      <c r="AI83" s="57">
        <f t="shared" si="17"/>
        <v>118.3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101">
        <v>128.19999999999999</v>
      </c>
      <c r="C84" s="52">
        <v>128.69999999999999</v>
      </c>
      <c r="D84" s="52">
        <v>129.30000000000001</v>
      </c>
      <c r="E84" s="52">
        <v>130.4</v>
      </c>
      <c r="F84" s="52">
        <v>129.19999999999999</v>
      </c>
      <c r="G84" s="52">
        <v>129.1</v>
      </c>
      <c r="H84" s="52">
        <v>128.4</v>
      </c>
      <c r="I84" s="52">
        <v>128.69999999999999</v>
      </c>
      <c r="J84" s="52">
        <v>128</v>
      </c>
      <c r="K84" s="52">
        <v>127.5</v>
      </c>
      <c r="L84" s="52">
        <v>127.7</v>
      </c>
      <c r="M84" s="52">
        <v>127.8</v>
      </c>
      <c r="N84" s="52">
        <v>127.4</v>
      </c>
      <c r="O84" s="52">
        <v>127.4</v>
      </c>
      <c r="P84" s="52">
        <v>127</v>
      </c>
      <c r="Q84" s="52">
        <v>127.7</v>
      </c>
      <c r="R84" s="52">
        <v>126.8</v>
      </c>
      <c r="S84" s="52">
        <v>125.4</v>
      </c>
      <c r="T84" s="100">
        <v>126.6</v>
      </c>
      <c r="U84" s="100">
        <v>126.5</v>
      </c>
      <c r="V84" s="100">
        <v>126.5</v>
      </c>
      <c r="W84" s="100">
        <v>128.6</v>
      </c>
      <c r="X84" s="100">
        <v>130.69999999999999</v>
      </c>
      <c r="Y84" s="100">
        <v>130.30000000000001</v>
      </c>
      <c r="Z84" s="100">
        <v>130.30000000000001</v>
      </c>
      <c r="AA84" s="52">
        <v>131</v>
      </c>
      <c r="AB84" s="52">
        <v>130.69999999999999</v>
      </c>
      <c r="AC84" s="52">
        <v>130.30000000000001</v>
      </c>
      <c r="AD84" s="52">
        <v>130.80000000000001</v>
      </c>
      <c r="AE84" s="52">
        <v>130.5</v>
      </c>
      <c r="AF84" s="101">
        <v>129.4</v>
      </c>
      <c r="AG84" s="102"/>
      <c r="AH84" s="56">
        <f t="shared" si="16"/>
        <v>131</v>
      </c>
      <c r="AI84" s="57">
        <f t="shared" si="17"/>
        <v>125.4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101">
        <v>127.5</v>
      </c>
      <c r="C85" s="52">
        <v>127.8</v>
      </c>
      <c r="D85" s="52">
        <v>129</v>
      </c>
      <c r="E85" s="52">
        <v>130.1</v>
      </c>
      <c r="F85" s="52">
        <v>129.4</v>
      </c>
      <c r="G85" s="52">
        <v>132.80000000000001</v>
      </c>
      <c r="H85" s="52">
        <v>130.4</v>
      </c>
      <c r="I85" s="52">
        <v>130.5</v>
      </c>
      <c r="J85" s="52">
        <v>130.9</v>
      </c>
      <c r="K85" s="52">
        <v>127.1</v>
      </c>
      <c r="L85" s="52">
        <v>129.5</v>
      </c>
      <c r="M85" s="52">
        <v>128.69999999999999</v>
      </c>
      <c r="N85" s="52">
        <v>127.9</v>
      </c>
      <c r="O85" s="52">
        <v>126.9</v>
      </c>
      <c r="P85" s="52">
        <v>129</v>
      </c>
      <c r="Q85" s="52">
        <v>129.5</v>
      </c>
      <c r="R85" s="52">
        <v>128.19999999999999</v>
      </c>
      <c r="S85" s="52"/>
      <c r="T85" s="52"/>
      <c r="U85" s="52"/>
      <c r="V85" s="52"/>
      <c r="W85" s="52"/>
      <c r="X85" s="100"/>
      <c r="Y85" s="100"/>
      <c r="Z85" s="100"/>
      <c r="AA85" s="52"/>
      <c r="AB85" s="52"/>
      <c r="AC85" s="52"/>
      <c r="AD85" s="52"/>
      <c r="AE85" s="52"/>
      <c r="AF85" s="101">
        <v>132.19999999999999</v>
      </c>
      <c r="AG85" s="102"/>
      <c r="AH85" s="56">
        <f t="shared" si="16"/>
        <v>132.80000000000001</v>
      </c>
      <c r="AI85" s="57">
        <f t="shared" si="17"/>
        <v>126.9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101">
        <v>131.1</v>
      </c>
      <c r="C86" s="52">
        <v>131.9</v>
      </c>
      <c r="D86" s="52">
        <v>133.19999999999999</v>
      </c>
      <c r="E86" s="52">
        <v>133.80000000000001</v>
      </c>
      <c r="F86" s="52">
        <v>133.5</v>
      </c>
      <c r="G86" s="52">
        <v>133.1</v>
      </c>
      <c r="H86" s="52">
        <v>134</v>
      </c>
      <c r="I86" s="52">
        <v>134</v>
      </c>
      <c r="J86" s="52">
        <v>133.9</v>
      </c>
      <c r="K86" s="52">
        <v>130.9</v>
      </c>
      <c r="L86" s="52">
        <v>133.30000000000001</v>
      </c>
      <c r="M86" s="52">
        <v>131</v>
      </c>
      <c r="N86" s="52">
        <v>130.1</v>
      </c>
      <c r="O86" s="52">
        <v>129.5</v>
      </c>
      <c r="P86" s="52">
        <v>131</v>
      </c>
      <c r="Q86" s="52">
        <v>131.5</v>
      </c>
      <c r="R86" s="52">
        <v>130.80000000000001</v>
      </c>
      <c r="S86" s="52"/>
      <c r="T86" s="52"/>
      <c r="U86" s="52"/>
      <c r="V86" s="52"/>
      <c r="W86" s="52"/>
      <c r="X86" s="100"/>
      <c r="Y86" s="100"/>
      <c r="Z86" s="100"/>
      <c r="AA86" s="52"/>
      <c r="AB86" s="52"/>
      <c r="AC86" s="52"/>
      <c r="AD86" s="52"/>
      <c r="AE86" s="52"/>
      <c r="AF86" s="101">
        <v>133.6</v>
      </c>
      <c r="AG86" s="102"/>
      <c r="AH86" s="56">
        <f t="shared" si="16"/>
        <v>134</v>
      </c>
      <c r="AI86" s="57">
        <f t="shared" si="17"/>
        <v>129.5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5">
        <v>132.80000000000001</v>
      </c>
      <c r="C87" s="104">
        <v>133.5</v>
      </c>
      <c r="D87" s="104">
        <v>134.30000000000001</v>
      </c>
      <c r="E87" s="104">
        <v>133.6</v>
      </c>
      <c r="F87" s="104">
        <v>132.6</v>
      </c>
      <c r="G87" s="104">
        <v>134.1</v>
      </c>
      <c r="H87" s="104">
        <v>133.80000000000001</v>
      </c>
      <c r="I87" s="104">
        <v>134</v>
      </c>
      <c r="J87" s="104">
        <v>134.5</v>
      </c>
      <c r="K87" s="104">
        <v>132.6</v>
      </c>
      <c r="L87" s="104">
        <v>130.6</v>
      </c>
      <c r="M87" s="104">
        <v>133</v>
      </c>
      <c r="N87" s="104">
        <v>132.6</v>
      </c>
      <c r="O87" s="104">
        <v>133.30000000000001</v>
      </c>
      <c r="P87" s="104">
        <v>134.80000000000001</v>
      </c>
      <c r="Q87" s="104">
        <v>135.4</v>
      </c>
      <c r="R87" s="104">
        <v>133.69999999999999</v>
      </c>
      <c r="S87" s="104">
        <v>133.19999999999999</v>
      </c>
      <c r="T87" s="104">
        <v>132.5</v>
      </c>
      <c r="U87" s="104">
        <v>134.69999999999999</v>
      </c>
      <c r="V87" s="104">
        <v>134.69999999999999</v>
      </c>
      <c r="W87" s="104">
        <v>135</v>
      </c>
      <c r="X87" s="100">
        <v>135.19999999999999</v>
      </c>
      <c r="Y87" s="100">
        <v>135.19999999999999</v>
      </c>
      <c r="Z87" s="100">
        <v>134.6</v>
      </c>
      <c r="AA87" s="104">
        <v>135.6</v>
      </c>
      <c r="AB87" s="104">
        <v>134.9</v>
      </c>
      <c r="AC87" s="104">
        <v>133.80000000000001</v>
      </c>
      <c r="AD87" s="104">
        <v>135.30000000000001</v>
      </c>
      <c r="AE87" s="104">
        <v>136</v>
      </c>
      <c r="AF87" s="105">
        <v>134.30000000000001</v>
      </c>
      <c r="AG87" s="106"/>
      <c r="AH87" s="56">
        <f t="shared" si="16"/>
        <v>136</v>
      </c>
      <c r="AI87" s="57">
        <f t="shared" si="17"/>
        <v>130.6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101">
        <v>133.6</v>
      </c>
      <c r="C88" s="52">
        <v>133.80000000000001</v>
      </c>
      <c r="D88" s="52">
        <v>135</v>
      </c>
      <c r="E88" s="52">
        <v>135.1</v>
      </c>
      <c r="F88" s="52">
        <v>134.69999999999999</v>
      </c>
      <c r="G88" s="52">
        <v>133.19999999999999</v>
      </c>
      <c r="H88" s="52">
        <v>133.69999999999999</v>
      </c>
      <c r="I88" s="52">
        <v>133.69999999999999</v>
      </c>
      <c r="J88" s="52">
        <v>133.6</v>
      </c>
      <c r="K88" s="52">
        <v>131.5</v>
      </c>
      <c r="L88" s="52">
        <v>127.9</v>
      </c>
      <c r="M88" s="52">
        <v>133.9</v>
      </c>
      <c r="N88" s="52">
        <v>133</v>
      </c>
      <c r="O88" s="52">
        <v>132.69999999999999</v>
      </c>
      <c r="P88" s="52">
        <v>132.19999999999999</v>
      </c>
      <c r="Q88" s="52">
        <v>135.69999999999999</v>
      </c>
      <c r="R88" s="52">
        <v>133.80000000000001</v>
      </c>
      <c r="S88" s="52">
        <v>130.69999999999999</v>
      </c>
      <c r="T88" s="52">
        <v>129.69999999999999</v>
      </c>
      <c r="U88" s="52">
        <v>131.19999999999999</v>
      </c>
      <c r="V88" s="52">
        <v>131.19999999999999</v>
      </c>
      <c r="W88" s="52">
        <v>134.9</v>
      </c>
      <c r="X88" s="100">
        <v>131.69999999999999</v>
      </c>
      <c r="Y88" s="100">
        <v>131.19999999999999</v>
      </c>
      <c r="Z88" s="100">
        <v>133.69999999999999</v>
      </c>
      <c r="AA88" s="52">
        <v>130.69999999999999</v>
      </c>
      <c r="AB88" s="52">
        <v>131.69999999999999</v>
      </c>
      <c r="AC88" s="52">
        <v>130.5</v>
      </c>
      <c r="AD88" s="52">
        <v>134.30000000000001</v>
      </c>
      <c r="AE88" s="52">
        <v>135.6</v>
      </c>
      <c r="AF88" s="101">
        <v>133.6</v>
      </c>
      <c r="AG88" s="102"/>
      <c r="AH88" s="56">
        <f t="shared" si="16"/>
        <v>135.69999999999999</v>
      </c>
      <c r="AI88" s="57">
        <f t="shared" si="17"/>
        <v>127.9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8">
        <v>65.5</v>
      </c>
      <c r="C89" s="107">
        <v>66</v>
      </c>
      <c r="D89" s="107">
        <v>66.099999999999994</v>
      </c>
      <c r="E89" s="107">
        <v>66.599999999999994</v>
      </c>
      <c r="F89" s="107">
        <v>66.099999999999994</v>
      </c>
      <c r="G89" s="107">
        <v>65.8</v>
      </c>
      <c r="H89" s="107">
        <v>65.599999999999994</v>
      </c>
      <c r="I89" s="107">
        <v>65.7</v>
      </c>
      <c r="J89" s="107">
        <v>65.2</v>
      </c>
      <c r="K89" s="107">
        <v>65.2</v>
      </c>
      <c r="L89" s="107">
        <v>65</v>
      </c>
      <c r="M89" s="107">
        <v>65.2</v>
      </c>
      <c r="N89" s="107">
        <v>64.7</v>
      </c>
      <c r="O89" s="107">
        <v>65.3</v>
      </c>
      <c r="P89" s="107">
        <v>65</v>
      </c>
      <c r="Q89" s="107">
        <v>65.5</v>
      </c>
      <c r="R89" s="107">
        <v>64.900000000000006</v>
      </c>
      <c r="S89" s="107">
        <v>64.400000000000006</v>
      </c>
      <c r="T89" s="107">
        <v>647</v>
      </c>
      <c r="U89" s="107">
        <v>65</v>
      </c>
      <c r="V89" s="107">
        <v>65</v>
      </c>
      <c r="W89" s="107">
        <v>66</v>
      </c>
      <c r="X89" s="107">
        <v>66.099999999999994</v>
      </c>
      <c r="Y89" s="107">
        <v>66.7</v>
      </c>
      <c r="Z89" s="107">
        <v>66.3</v>
      </c>
      <c r="AA89" s="107">
        <v>66.900000000000006</v>
      </c>
      <c r="AB89" s="107">
        <v>66.8</v>
      </c>
      <c r="AC89" s="107">
        <v>66.900000000000006</v>
      </c>
      <c r="AD89" s="107">
        <v>66.8</v>
      </c>
      <c r="AE89" s="107">
        <v>66.599999999999994</v>
      </c>
      <c r="AF89" s="108">
        <v>66.599999999999994</v>
      </c>
      <c r="AG89" s="109"/>
      <c r="AH89" s="56">
        <f t="shared" si="16"/>
        <v>647</v>
      </c>
      <c r="AI89" s="57">
        <f t="shared" si="17"/>
        <v>64.400000000000006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5">
        <f>SUM(B14,B17,B20:B21,B40,B42:B43,B45,B47,B92:B95,B100,B106,B112,B121,B123,B135,B142,B145:B146,B153,B155,B157,B161:B163,B165:B167,B172,B178:B179,B181:B183,B191,B196)</f>
        <v>122.24000000000002</v>
      </c>
      <c r="C91" s="114">
        <f t="shared" ref="C91:AF91" si="21">SUM(C14,C17,C20:C21,C40,C42:C43,C45,C47,C92:C95,C100,C106,C112,C121,C123,C135,C142,C145:C146,C153,C155,C157,C161:C163,C165:C167,C172,C178:C179,C181:C183,C191,C196)</f>
        <v>107.84000000000002</v>
      </c>
      <c r="D91" s="114">
        <f t="shared" si="21"/>
        <v>111.04</v>
      </c>
      <c r="E91" s="114">
        <f t="shared" si="21"/>
        <v>100.33999999999999</v>
      </c>
      <c r="F91" s="115">
        <f t="shared" si="21"/>
        <v>128.64000000000001</v>
      </c>
      <c r="G91" s="115">
        <f t="shared" si="21"/>
        <v>141.84</v>
      </c>
      <c r="H91" s="115">
        <f t="shared" si="21"/>
        <v>185.83999999999997</v>
      </c>
      <c r="I91" s="115">
        <f t="shared" si="21"/>
        <v>190.53999999999996</v>
      </c>
      <c r="J91" s="115">
        <f t="shared" si="21"/>
        <v>199.83999999999997</v>
      </c>
      <c r="K91" s="115">
        <f t="shared" si="21"/>
        <v>244.64</v>
      </c>
      <c r="L91" s="115">
        <f t="shared" si="21"/>
        <v>231.53999999999996</v>
      </c>
      <c r="M91" s="115">
        <f t="shared" si="21"/>
        <v>226.93999999999994</v>
      </c>
      <c r="N91" s="115">
        <f t="shared" si="21"/>
        <v>229.83999999999997</v>
      </c>
      <c r="O91" s="115">
        <f t="shared" si="21"/>
        <v>221.03999999999996</v>
      </c>
      <c r="P91" s="115">
        <f t="shared" si="21"/>
        <v>241.94</v>
      </c>
      <c r="Q91" s="115">
        <f t="shared" si="21"/>
        <v>219.7399999999999</v>
      </c>
      <c r="R91" s="115">
        <f t="shared" si="21"/>
        <v>204.03999999999994</v>
      </c>
      <c r="S91" s="115">
        <f t="shared" si="21"/>
        <v>198.93999999999994</v>
      </c>
      <c r="T91" s="115">
        <f t="shared" si="21"/>
        <v>201.03999999999994</v>
      </c>
      <c r="U91" s="115">
        <f t="shared" si="21"/>
        <v>238.53999999999994</v>
      </c>
      <c r="V91" s="115">
        <f t="shared" si="21"/>
        <v>238.53999999999994</v>
      </c>
      <c r="W91" s="115">
        <f t="shared" si="21"/>
        <v>288.74000000000007</v>
      </c>
      <c r="X91" s="115">
        <f t="shared" si="21"/>
        <v>291.74</v>
      </c>
      <c r="Y91" s="115">
        <f t="shared" si="21"/>
        <v>260.64000000000004</v>
      </c>
      <c r="Z91" s="115">
        <f t="shared" si="21"/>
        <v>258.44000000000005</v>
      </c>
      <c r="AA91" s="115">
        <f t="shared" si="21"/>
        <v>235.33999999999997</v>
      </c>
      <c r="AB91" s="115">
        <f t="shared" si="21"/>
        <v>217.53999999999996</v>
      </c>
      <c r="AC91" s="115">
        <f t="shared" si="21"/>
        <v>190.53999999999996</v>
      </c>
      <c r="AD91" s="115">
        <f t="shared" si="21"/>
        <v>162.13999999999999</v>
      </c>
      <c r="AE91" s="115">
        <f t="shared" si="21"/>
        <v>165.33999999999992</v>
      </c>
      <c r="AF91" s="115">
        <f t="shared" si="21"/>
        <v>130.23999999999992</v>
      </c>
      <c r="AG91" s="116"/>
      <c r="AH91" s="56">
        <f>MAX(B91:AF91)</f>
        <v>291.74</v>
      </c>
      <c r="AI91" s="57">
        <f>MIN(B91:AF91)</f>
        <v>100.33999999999999</v>
      </c>
    </row>
    <row r="92" spans="1:88" x14ac:dyDescent="0.25">
      <c r="A92" s="117" t="s">
        <v>96</v>
      </c>
      <c r="B92" s="119">
        <v>39.299999999999997</v>
      </c>
      <c r="C92" s="60">
        <v>48.5</v>
      </c>
      <c r="D92" s="60">
        <v>38.799999999999997</v>
      </c>
      <c r="E92" s="60">
        <v>34.5</v>
      </c>
      <c r="F92" s="118">
        <v>20.3</v>
      </c>
      <c r="G92" s="118">
        <v>20.3</v>
      </c>
      <c r="H92" s="118">
        <v>36.200000000000003</v>
      </c>
      <c r="I92" s="118">
        <v>32.200000000000003</v>
      </c>
      <c r="J92" s="118">
        <v>48.2</v>
      </c>
      <c r="K92" s="118">
        <v>44.2</v>
      </c>
      <c r="L92" s="54">
        <v>36.9</v>
      </c>
      <c r="M92" s="54">
        <v>41.6</v>
      </c>
      <c r="N92" s="118">
        <v>39.200000000000003</v>
      </c>
      <c r="O92" s="118">
        <v>42.1</v>
      </c>
      <c r="P92" s="118">
        <v>42.9</v>
      </c>
      <c r="Q92" s="118">
        <v>55.3</v>
      </c>
      <c r="R92" s="118">
        <v>44.1</v>
      </c>
      <c r="S92" s="118">
        <v>36.700000000000003</v>
      </c>
      <c r="T92" s="118">
        <v>31.7</v>
      </c>
      <c r="U92" s="54">
        <v>40.1</v>
      </c>
      <c r="V92" s="54">
        <v>40.1</v>
      </c>
      <c r="W92" s="54">
        <v>38.9</v>
      </c>
      <c r="X92" s="118">
        <v>29.6</v>
      </c>
      <c r="Y92" s="118">
        <v>29.4</v>
      </c>
      <c r="Z92" s="118">
        <v>20.6</v>
      </c>
      <c r="AA92" s="54">
        <v>27.9</v>
      </c>
      <c r="AB92" s="54">
        <v>19.100000000000001</v>
      </c>
      <c r="AC92" s="54">
        <v>21.6</v>
      </c>
      <c r="AD92" s="54">
        <v>35.700000000000003</v>
      </c>
      <c r="AE92" s="54">
        <v>36.299999999999997</v>
      </c>
      <c r="AF92" s="119">
        <v>47.3</v>
      </c>
      <c r="AG92" s="120">
        <v>75</v>
      </c>
      <c r="AH92" s="56">
        <f t="shared" ref="AH92:AH97" si="22">IF(ABS(MAX(B92:AF92))&gt;ABS(MIN(B92:AF92)),MAX(B92:AF92),MIN(B92:AF92))</f>
        <v>55.3</v>
      </c>
      <c r="AI92" s="121">
        <f t="shared" ref="AI92:AI97" si="23">INDEX($B$9:$AF$9,1,MATCH(AH92,B92:AF92,0))</f>
        <v>0.54166666666666696</v>
      </c>
    </row>
    <row r="93" spans="1:88" x14ac:dyDescent="0.25">
      <c r="A93" s="122" t="s">
        <v>97</v>
      </c>
      <c r="B93" s="123">
        <f>-52.6-62.1</f>
        <v>-114.7</v>
      </c>
      <c r="C93" s="62">
        <v>-115.7</v>
      </c>
      <c r="D93" s="62">
        <v>-110</v>
      </c>
      <c r="E93" s="62">
        <v>-116.2</v>
      </c>
      <c r="F93" s="62">
        <v>-114</v>
      </c>
      <c r="G93" s="62">
        <v>-105</v>
      </c>
      <c r="H93" s="62">
        <v>-100.9</v>
      </c>
      <c r="I93" s="62">
        <v>-97.8</v>
      </c>
      <c r="J93" s="62">
        <v>-87.5</v>
      </c>
      <c r="K93" s="62">
        <v>-87.9</v>
      </c>
      <c r="L93" s="62">
        <v>-96</v>
      </c>
      <c r="M93" s="62">
        <f>-40.5-49.8</f>
        <v>-90.3</v>
      </c>
      <c r="N93" s="62">
        <v>-89.8</v>
      </c>
      <c r="O93" s="62">
        <f>-40.5-49.8</f>
        <v>-90.3</v>
      </c>
      <c r="P93" s="62">
        <v>-104.3</v>
      </c>
      <c r="Q93" s="62">
        <v>-78.900000000000006</v>
      </c>
      <c r="R93" s="62">
        <v>-90.4</v>
      </c>
      <c r="S93" s="62">
        <v>-112.8</v>
      </c>
      <c r="T93" s="62">
        <v>-110.4</v>
      </c>
      <c r="U93" s="62">
        <v>-97</v>
      </c>
      <c r="V93" s="62">
        <v>-97</v>
      </c>
      <c r="W93" s="62">
        <v>-85.6</v>
      </c>
      <c r="X93" s="62">
        <v>-76.400000000000006</v>
      </c>
      <c r="Y93" s="62">
        <v>-90.1</v>
      </c>
      <c r="Z93" s="62">
        <v>-98.8</v>
      </c>
      <c r="AA93" s="52">
        <v>-90.6</v>
      </c>
      <c r="AB93" s="52">
        <v>-97.2</v>
      </c>
      <c r="AC93" s="52">
        <v>-109.3</v>
      </c>
      <c r="AD93" s="52">
        <v>-100</v>
      </c>
      <c r="AE93" s="52">
        <v>-108</v>
      </c>
      <c r="AF93" s="123">
        <v>-101</v>
      </c>
      <c r="AG93" s="120">
        <v>240</v>
      </c>
      <c r="AH93" s="56">
        <f t="shared" si="22"/>
        <v>-116.2</v>
      </c>
      <c r="AI93" s="121">
        <f t="shared" si="23"/>
        <v>0.16666666666666699</v>
      </c>
    </row>
    <row r="94" spans="1:88" x14ac:dyDescent="0.25">
      <c r="A94" s="122" t="s">
        <v>98</v>
      </c>
      <c r="B94" s="123">
        <v>-20.9</v>
      </c>
      <c r="C94" s="62">
        <v>-25.3</v>
      </c>
      <c r="D94" s="62">
        <v>-19.7</v>
      </c>
      <c r="E94" s="62">
        <v>-13.3</v>
      </c>
      <c r="F94" s="62">
        <v>-17.100000000000001</v>
      </c>
      <c r="G94" s="62">
        <v>-14.8</v>
      </c>
      <c r="H94" s="62">
        <v>-15.8</v>
      </c>
      <c r="I94" s="62">
        <v>-14.5</v>
      </c>
      <c r="J94" s="62">
        <v>-11.8</v>
      </c>
      <c r="K94" s="62">
        <v>-4.5</v>
      </c>
      <c r="L94" s="62">
        <v>-2.4</v>
      </c>
      <c r="M94" s="62">
        <v>0</v>
      </c>
      <c r="N94" s="62">
        <v>5.3</v>
      </c>
      <c r="O94" s="62">
        <v>4.9000000000000004</v>
      </c>
      <c r="P94" s="62">
        <v>-7.3</v>
      </c>
      <c r="Q94" s="62">
        <v>1.2</v>
      </c>
      <c r="R94" s="62">
        <v>-3</v>
      </c>
      <c r="S94" s="62">
        <v>-8.5</v>
      </c>
      <c r="T94" s="62">
        <v>-5.3</v>
      </c>
      <c r="U94" s="62">
        <v>-1.9</v>
      </c>
      <c r="V94" s="62">
        <v>-1.9</v>
      </c>
      <c r="W94" s="62">
        <v>21.8</v>
      </c>
      <c r="X94" s="62">
        <v>19.399999999999999</v>
      </c>
      <c r="Y94" s="62">
        <v>16.7</v>
      </c>
      <c r="Z94" s="62">
        <v>8.9</v>
      </c>
      <c r="AA94" s="52">
        <v>14.8</v>
      </c>
      <c r="AB94" s="52">
        <v>7.5</v>
      </c>
      <c r="AC94" s="52">
        <v>-10</v>
      </c>
      <c r="AD94" s="52">
        <v>-13.8</v>
      </c>
      <c r="AE94" s="52">
        <v>11.2</v>
      </c>
      <c r="AF94" s="123">
        <v>-14.9</v>
      </c>
      <c r="AG94" s="120">
        <v>60</v>
      </c>
      <c r="AH94" s="56">
        <f t="shared" si="22"/>
        <v>-25.3</v>
      </c>
      <c r="AI94" s="121">
        <f t="shared" si="23"/>
        <v>8.3333333333333301E-2</v>
      </c>
    </row>
    <row r="95" spans="1:88" x14ac:dyDescent="0.25">
      <c r="A95" s="124" t="s">
        <v>99</v>
      </c>
      <c r="B95" s="126">
        <v>11.7</v>
      </c>
      <c r="C95" s="65">
        <v>-6.7</v>
      </c>
      <c r="D95" s="65">
        <v>-5.0999999999999996</v>
      </c>
      <c r="E95" s="65">
        <v>-7.3</v>
      </c>
      <c r="F95" s="65">
        <v>16.399999999999999</v>
      </c>
      <c r="G95" s="65">
        <v>12.8</v>
      </c>
      <c r="H95" s="65">
        <v>37.700000000000003</v>
      </c>
      <c r="I95" s="65">
        <v>42.2</v>
      </c>
      <c r="J95" s="65">
        <v>22.2</v>
      </c>
      <c r="K95" s="65">
        <v>64.2</v>
      </c>
      <c r="L95" s="65">
        <v>80</v>
      </c>
      <c r="M95" s="65">
        <v>52.7</v>
      </c>
      <c r="N95" s="65">
        <v>52</v>
      </c>
      <c r="O95" s="65">
        <v>46.1</v>
      </c>
      <c r="P95" s="65">
        <v>83.9</v>
      </c>
      <c r="Q95" s="65">
        <v>33.799999999999997</v>
      </c>
      <c r="R95" s="65">
        <v>25.9</v>
      </c>
      <c r="S95" s="65">
        <v>56.1</v>
      </c>
      <c r="T95" s="65">
        <v>57.6</v>
      </c>
      <c r="U95" s="65">
        <v>70.400000000000006</v>
      </c>
      <c r="V95" s="65">
        <v>70.400000000000006</v>
      </c>
      <c r="W95" s="65">
        <v>76.8</v>
      </c>
      <c r="X95" s="65">
        <v>79.5</v>
      </c>
      <c r="Y95" s="65">
        <v>69.400000000000006</v>
      </c>
      <c r="Z95" s="65">
        <v>92.5</v>
      </c>
      <c r="AA95" s="125">
        <v>51</v>
      </c>
      <c r="AB95" s="125">
        <v>55.5</v>
      </c>
      <c r="AC95" s="125">
        <v>55.6</v>
      </c>
      <c r="AD95" s="125">
        <v>7.6</v>
      </c>
      <c r="AE95" s="125">
        <v>7</v>
      </c>
      <c r="AF95" s="126">
        <v>-20</v>
      </c>
      <c r="AG95" s="127">
        <v>120</v>
      </c>
      <c r="AH95" s="56">
        <f t="shared" si="22"/>
        <v>92.5</v>
      </c>
      <c r="AI95" s="121">
        <f t="shared" si="23"/>
        <v>0.8125</v>
      </c>
    </row>
    <row r="96" spans="1:88" x14ac:dyDescent="0.25">
      <c r="A96" s="124" t="s">
        <v>100</v>
      </c>
      <c r="B96" s="126">
        <v>0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125">
        <v>0</v>
      </c>
      <c r="AB96" s="125">
        <v>0</v>
      </c>
      <c r="AC96" s="125">
        <v>0</v>
      </c>
      <c r="AD96" s="125">
        <v>0</v>
      </c>
      <c r="AE96" s="125">
        <v>0</v>
      </c>
      <c r="AF96" s="126">
        <v>0</v>
      </c>
      <c r="AG96" s="127"/>
      <c r="AH96" s="56">
        <f t="shared" si="22"/>
        <v>0</v>
      </c>
      <c r="AI96" s="121">
        <f t="shared" si="23"/>
        <v>4.1666666666666664E-2</v>
      </c>
    </row>
    <row r="97" spans="1:37" ht="15.75" thickBot="1" x14ac:dyDescent="0.3">
      <c r="A97" s="124" t="s">
        <v>101</v>
      </c>
      <c r="B97" s="126">
        <v>18.899999999999999</v>
      </c>
      <c r="C97" s="65">
        <v>11.6</v>
      </c>
      <c r="D97" s="65">
        <v>12.2</v>
      </c>
      <c r="E97" s="65">
        <v>7.7</v>
      </c>
      <c r="F97" s="65">
        <v>14.2</v>
      </c>
      <c r="G97" s="65">
        <v>7.5</v>
      </c>
      <c r="H97" s="65">
        <v>8.3000000000000007</v>
      </c>
      <c r="I97" s="65">
        <v>7.1</v>
      </c>
      <c r="J97" s="65">
        <v>-5.5</v>
      </c>
      <c r="K97" s="65">
        <v>2.2000000000000002</v>
      </c>
      <c r="L97" s="65">
        <v>14.6</v>
      </c>
      <c r="M97" s="65">
        <v>5.0999999999999996</v>
      </c>
      <c r="N97" s="65">
        <v>8.8000000000000007</v>
      </c>
      <c r="O97" s="65">
        <v>5.5</v>
      </c>
      <c r="P97" s="65">
        <v>4.5999999999999996</v>
      </c>
      <c r="Q97" s="65">
        <v>2.9</v>
      </c>
      <c r="R97" s="65">
        <v>12.6</v>
      </c>
      <c r="S97" s="65">
        <v>15.3</v>
      </c>
      <c r="T97" s="65">
        <v>23.9</v>
      </c>
      <c r="U97" s="65">
        <v>24.3</v>
      </c>
      <c r="V97" s="65">
        <v>24.3</v>
      </c>
      <c r="W97" s="65">
        <v>29.8</v>
      </c>
      <c r="X97" s="65">
        <v>37.4</v>
      </c>
      <c r="Y97" s="65">
        <v>42.5</v>
      </c>
      <c r="Z97" s="65">
        <v>52.3</v>
      </c>
      <c r="AA97" s="125">
        <v>44.3</v>
      </c>
      <c r="AB97" s="125">
        <v>52.5</v>
      </c>
      <c r="AC97" s="125">
        <v>53.6</v>
      </c>
      <c r="AD97" s="125">
        <v>37.299999999999997</v>
      </c>
      <c r="AE97" s="125">
        <v>33.5</v>
      </c>
      <c r="AF97" s="126">
        <v>20.9</v>
      </c>
      <c r="AG97" s="128"/>
      <c r="AH97" s="56">
        <f t="shared" si="22"/>
        <v>53.6</v>
      </c>
      <c r="AI97" s="121">
        <f t="shared" si="23"/>
        <v>0.875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984.94</v>
      </c>
      <c r="C206" s="164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978.34</v>
      </c>
      <c r="U211" s="173">
        <f t="shared" si="52"/>
        <v>980.54000000000008</v>
      </c>
      <c r="V211" s="173">
        <f t="shared" si="52"/>
        <v>943.43999999999994</v>
      </c>
      <c r="W211" s="173">
        <f t="shared" si="52"/>
        <v>944.54</v>
      </c>
      <c r="X211" s="173">
        <f t="shared" si="52"/>
        <v>927.84000000000015</v>
      </c>
      <c r="Y211" s="173">
        <f t="shared" si="52"/>
        <v>910.74000000000024</v>
      </c>
      <c r="Z211" s="173">
        <f t="shared" si="52"/>
        <v>919.04</v>
      </c>
      <c r="AA211" s="173">
        <f t="shared" si="52"/>
        <v>912.74</v>
      </c>
      <c r="AB211" s="173">
        <f t="shared" si="52"/>
        <v>919.54000000000019</v>
      </c>
      <c r="AC211" s="173">
        <f t="shared" si="52"/>
        <v>904.24000000000012</v>
      </c>
      <c r="AD211" s="173">
        <f t="shared" si="52"/>
        <v>960.94</v>
      </c>
      <c r="AE211" s="173">
        <f t="shared" si="52"/>
        <v>984.94</v>
      </c>
      <c r="AF211" s="173">
        <f t="shared" si="52"/>
        <v>1001.2400000000001</v>
      </c>
      <c r="AG211" s="173">
        <f t="shared" si="52"/>
        <v>982.24</v>
      </c>
      <c r="AH211" s="173">
        <f t="shared" si="52"/>
        <v>1010.8400000000001</v>
      </c>
      <c r="AI211" s="173">
        <f t="shared" si="52"/>
        <v>969.6400000000001</v>
      </c>
      <c r="AJ211" s="173">
        <f t="shared" si="52"/>
        <v>950.54000000000019</v>
      </c>
      <c r="AK211" s="173">
        <f t="shared" si="52"/>
        <v>970.34000000000015</v>
      </c>
      <c r="AL211" s="173">
        <f t="shared" si="52"/>
        <v>963.84000000000015</v>
      </c>
      <c r="AM211" s="173">
        <f t="shared" si="52"/>
        <v>968.1400000000001</v>
      </c>
      <c r="AN211" s="173">
        <f t="shared" si="52"/>
        <v>989.94</v>
      </c>
      <c r="AO211" s="173">
        <f t="shared" si="52"/>
        <v>1181.6400000000001</v>
      </c>
      <c r="AP211" s="173">
        <f t="shared" si="52"/>
        <v>1205.04</v>
      </c>
      <c r="AQ211" s="173">
        <f t="shared" si="52"/>
        <v>1158.24</v>
      </c>
      <c r="AR211" s="173">
        <f t="shared" si="52"/>
        <v>1087.54</v>
      </c>
      <c r="AS211" s="173">
        <f t="shared" si="52"/>
        <v>1045.44</v>
      </c>
      <c r="AT211" s="173">
        <f t="shared" si="52"/>
        <v>1043.24</v>
      </c>
      <c r="AU211" s="173">
        <f t="shared" si="52"/>
        <v>909.54000000000008</v>
      </c>
      <c r="AV211" s="173">
        <f t="shared" si="52"/>
        <v>904.84000000000015</v>
      </c>
      <c r="AW211" s="173">
        <f t="shared" si="52"/>
        <v>864.14</v>
      </c>
      <c r="AX211" s="173">
        <f t="shared" si="52"/>
        <v>845.33999999999992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1161" priority="530">
      <formula>S$9&gt;=20/24</formula>
    </cfRule>
    <cfRule type="expression" dxfId="11160" priority="531">
      <formula>AND(S$9&gt;=14/24,S$9&lt;20/24)</formula>
    </cfRule>
    <cfRule type="expression" dxfId="11159" priority="532">
      <formula>AND(S$9&gt;=8/24,S$9&lt;14/24)</formula>
    </cfRule>
    <cfRule type="expression" dxfId="11158" priority="533">
      <formula>S$9&lt;8/24</formula>
    </cfRule>
  </conditionalFormatting>
  <conditionalFormatting sqref="B8:AF10 AA79:AF79 C79:Q79 C54:AF54 C80:AF80 C191:AF197 AE55:AF58 C55:K57 T210:AX210 C61:C65 O37:Q37 C58:L59 O38:P40 Q40 N15:P15 L56:L57 Y12:Y13 AA82:AF89 C72:AF76 C78:AF78 C66:AF70 N12:Q12 L35:N35 L11:M13 L37:N40 M56:M59 P35:Q35 N16 N43:P46 N13:P13 N58:Q65 W17:X29 N11:Y11 T29:V29 Q38:V39 L51:W53 N56:V57 Y15:Z30 W38:AD38 X83:Z89 Y41:AC41 W39:AC40 AD39:AD41 Z11:AF13 AA27:AF30 AA15:AF25 Y51:AF53">
    <cfRule type="expression" dxfId="11157" priority="526">
      <formula>B$9&gt;=20/24</formula>
    </cfRule>
    <cfRule type="expression" dxfId="11156" priority="527">
      <formula>AND(B$9&gt;=14/24,B$9&lt;20/24)</formula>
    </cfRule>
    <cfRule type="expression" dxfId="11155" priority="528">
      <formula>AND(B$9&gt;=8/24,B$9&lt;14/24)</formula>
    </cfRule>
    <cfRule type="expression" dxfId="11154" priority="529">
      <formula>B$9&lt;8/24</formula>
    </cfRule>
  </conditionalFormatting>
  <conditionalFormatting sqref="B189:AF189">
    <cfRule type="expression" dxfId="11153" priority="522">
      <formula>B$9&gt;=20/24</formula>
    </cfRule>
    <cfRule type="expression" dxfId="11152" priority="523">
      <formula>AND(B$9&gt;=14/24,B$9&lt;20/24)</formula>
    </cfRule>
    <cfRule type="expression" dxfId="11151" priority="524">
      <formula>AND(B$9&gt;=8/24,B$9&lt;14/24)</formula>
    </cfRule>
    <cfRule type="expression" dxfId="11150" priority="525">
      <formula>B$9&lt;8/24</formula>
    </cfRule>
  </conditionalFormatting>
  <conditionalFormatting sqref="AL5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11149" priority="517">
      <formula>L$9&gt;=20/24</formula>
    </cfRule>
    <cfRule type="expression" dxfId="11148" priority="518">
      <formula>AND(L$9&gt;=14/24,L$9&lt;20/24)</formula>
    </cfRule>
    <cfRule type="expression" dxfId="11147" priority="519">
      <formula>AND(L$9&gt;=8/24,L$9&lt;14/24)</formula>
    </cfRule>
    <cfRule type="expression" dxfId="11146" priority="520">
      <formula>L$9&lt;8/24</formula>
    </cfRule>
  </conditionalFormatting>
  <conditionalFormatting sqref="L41:Q41">
    <cfRule type="expression" dxfId="11145" priority="513">
      <formula>L$9&gt;=20/24</formula>
    </cfRule>
    <cfRule type="expression" dxfId="11144" priority="514">
      <formula>AND(L$9&gt;=14/24,L$9&lt;20/24)</formula>
    </cfRule>
    <cfRule type="expression" dxfId="11143" priority="515">
      <formula>AND(L$9&gt;=8/24,L$9&lt;14/24)</formula>
    </cfRule>
    <cfRule type="expression" dxfId="11142" priority="516">
      <formula>L$9&lt;8/24</formula>
    </cfRule>
  </conditionalFormatting>
  <conditionalFormatting sqref="Y31:AF31">
    <cfRule type="expression" dxfId="11141" priority="509">
      <formula>Y$9&gt;=20/24</formula>
    </cfRule>
    <cfRule type="expression" dxfId="11140" priority="510">
      <formula>AND(Y$9&gt;=14/24,Y$9&lt;20/24)</formula>
    </cfRule>
    <cfRule type="expression" dxfId="11139" priority="511">
      <formula>AND(Y$9&gt;=8/24,Y$9&lt;14/24)</formula>
    </cfRule>
    <cfRule type="expression" dxfId="11138" priority="512">
      <formula>Y$9&lt;8/24</formula>
    </cfRule>
  </conditionalFormatting>
  <conditionalFormatting sqref="R37:AD37">
    <cfRule type="expression" dxfId="11137" priority="505">
      <formula>R$9&gt;=20/24</formula>
    </cfRule>
    <cfRule type="expression" dxfId="11136" priority="506">
      <formula>AND(R$9&gt;=14/24,R$9&lt;20/24)</formula>
    </cfRule>
    <cfRule type="expression" dxfId="11135" priority="507">
      <formula>AND(R$9&gt;=8/24,R$9&lt;14/24)</formula>
    </cfRule>
    <cfRule type="expression" dxfId="11134" priority="508">
      <formula>R$9&lt;8/24</formula>
    </cfRule>
  </conditionalFormatting>
  <conditionalFormatting sqref="R55:W55 Y55:AD55">
    <cfRule type="expression" dxfId="11133" priority="501">
      <formula>R$9&gt;=20/24</formula>
    </cfRule>
    <cfRule type="expression" dxfId="11132" priority="502">
      <formula>AND(R$9&gt;=14/24,R$9&lt;20/24)</formula>
    </cfRule>
    <cfRule type="expression" dxfId="11131" priority="503">
      <formula>AND(R$9&gt;=8/24,R$9&lt;14/24)</formula>
    </cfRule>
    <cfRule type="expression" dxfId="11130" priority="504">
      <formula>R$9&lt;8/24</formula>
    </cfRule>
  </conditionalFormatting>
  <conditionalFormatting sqref="R79:Z79">
    <cfRule type="expression" dxfId="11129" priority="497">
      <formula>R$9&gt;=20/24</formula>
    </cfRule>
    <cfRule type="expression" dxfId="11128" priority="498">
      <formula>AND(R$9&gt;=14/24,R$9&lt;20/24)</formula>
    </cfRule>
    <cfRule type="expression" dxfId="11127" priority="499">
      <formula>AND(R$9&gt;=8/24,R$9&lt;14/24)</formula>
    </cfRule>
    <cfRule type="expression" dxfId="11126" priority="500">
      <formula>R$9&lt;8/24</formula>
    </cfRule>
  </conditionalFormatting>
  <conditionalFormatting sqref="T82:Z82">
    <cfRule type="expression" dxfId="11125" priority="493">
      <formula>T$9&gt;=20/24</formula>
    </cfRule>
    <cfRule type="expression" dxfId="11124" priority="494">
      <formula>AND(T$9&gt;=14/24,T$9&lt;20/24)</formula>
    </cfRule>
    <cfRule type="expression" dxfId="11123" priority="495">
      <formula>AND(T$9&gt;=8/24,T$9&lt;14/24)</formula>
    </cfRule>
    <cfRule type="expression" dxfId="11122" priority="496">
      <formula>T$9&lt;8/24</formula>
    </cfRule>
  </conditionalFormatting>
  <conditionalFormatting sqref="L47:P47">
    <cfRule type="expression" dxfId="11121" priority="485">
      <formula>L$9&gt;=20/24</formula>
    </cfRule>
    <cfRule type="expression" dxfId="11120" priority="486">
      <formula>AND(L$9&gt;=14/24,L$9&lt;20/24)</formula>
    </cfRule>
    <cfRule type="expression" dxfId="11119" priority="487">
      <formula>AND(L$9&gt;=8/24,L$9&lt;14/24)</formula>
    </cfRule>
    <cfRule type="expression" dxfId="11118" priority="488">
      <formula>L$9&lt;8/24</formula>
    </cfRule>
  </conditionalFormatting>
  <conditionalFormatting sqref="L48:P48">
    <cfRule type="expression" dxfId="11117" priority="481">
      <formula>L$9&gt;=20/24</formula>
    </cfRule>
    <cfRule type="expression" dxfId="11116" priority="482">
      <formula>AND(L$9&gt;=14/24,L$9&lt;20/24)</formula>
    </cfRule>
    <cfRule type="expression" dxfId="11115" priority="483">
      <formula>AND(L$9&gt;=8/24,L$9&lt;14/24)</formula>
    </cfRule>
    <cfRule type="expression" dxfId="11114" priority="484">
      <formula>L$9&lt;8/24</formula>
    </cfRule>
  </conditionalFormatting>
  <conditionalFormatting sqref="L43:P46">
    <cfRule type="expression" dxfId="11113" priority="477">
      <formula>L$9&gt;=20/24</formula>
    </cfRule>
    <cfRule type="expression" dxfId="11112" priority="478">
      <formula>AND(L$9&gt;=14/24,L$9&lt;20/24)</formula>
    </cfRule>
    <cfRule type="expression" dxfId="11111" priority="479">
      <formula>AND(L$9&gt;=8/24,L$9&lt;14/24)</formula>
    </cfRule>
    <cfRule type="expression" dxfId="11110" priority="480">
      <formula>L$9&lt;8/24</formula>
    </cfRule>
  </conditionalFormatting>
  <conditionalFormatting sqref="R35:AD35">
    <cfRule type="expression" dxfId="11109" priority="473">
      <formula>R$9&gt;=20/24</formula>
    </cfRule>
    <cfRule type="expression" dxfId="11108" priority="474">
      <formula>AND(R$9&gt;=14/24,R$9&lt;20/24)</formula>
    </cfRule>
    <cfRule type="expression" dxfId="11107" priority="475">
      <formula>AND(R$9&gt;=8/24,R$9&lt;14/24)</formula>
    </cfRule>
    <cfRule type="expression" dxfId="11106" priority="476">
      <formula>R$9&lt;8/24</formula>
    </cfRule>
  </conditionalFormatting>
  <conditionalFormatting sqref="W30:X31 W33:AF33">
    <cfRule type="expression" dxfId="11105" priority="469">
      <formula>W$9&gt;=20/24</formula>
    </cfRule>
    <cfRule type="expression" dxfId="11104" priority="470">
      <formula>AND(W$9&gt;=14/24,W$9&lt;20/24)</formula>
    </cfRule>
    <cfRule type="expression" dxfId="11103" priority="471">
      <formula>AND(W$9&gt;=8/24,W$9&lt;14/24)</formula>
    </cfRule>
    <cfRule type="expression" dxfId="11102" priority="472">
      <formula>W$9&lt;8/24</formula>
    </cfRule>
  </conditionalFormatting>
  <conditionalFormatting sqref="W41:X41 R40:V41 R43:V43 W43:AD46">
    <cfRule type="expression" dxfId="11101" priority="465">
      <formula>R$9&gt;=20/24</formula>
    </cfRule>
    <cfRule type="expression" dxfId="11100" priority="466">
      <formula>AND(R$9&gt;=14/24,R$9&lt;20/24)</formula>
    </cfRule>
    <cfRule type="expression" dxfId="11099" priority="467">
      <formula>AND(R$9&gt;=8/24,R$9&lt;14/24)</formula>
    </cfRule>
    <cfRule type="expression" dxfId="11098" priority="468">
      <formula>R$9&lt;8/24</formula>
    </cfRule>
  </conditionalFormatting>
  <conditionalFormatting sqref="W47:AD47">
    <cfRule type="expression" dxfId="11097" priority="461">
      <formula>W$9&gt;=20/24</formula>
    </cfRule>
    <cfRule type="expression" dxfId="11096" priority="462">
      <formula>AND(W$9&gt;=14/24,W$9&lt;20/24)</formula>
    </cfRule>
    <cfRule type="expression" dxfId="11095" priority="463">
      <formula>AND(W$9&gt;=8/24,W$9&lt;14/24)</formula>
    </cfRule>
    <cfRule type="expression" dxfId="11094" priority="464">
      <formula>W$9&lt;8/24</formula>
    </cfRule>
  </conditionalFormatting>
  <conditionalFormatting sqref="W48:AD48">
    <cfRule type="expression" dxfId="11093" priority="457">
      <formula>W$9&gt;=20/24</formula>
    </cfRule>
    <cfRule type="expression" dxfId="11092" priority="458">
      <formula>AND(W$9&gt;=14/24,W$9&lt;20/24)</formula>
    </cfRule>
    <cfRule type="expression" dxfId="11091" priority="459">
      <formula>AND(W$9&gt;=8/24,W$9&lt;14/24)</formula>
    </cfRule>
    <cfRule type="expression" dxfId="11090" priority="460">
      <formula>W$9&lt;8/24</formula>
    </cfRule>
  </conditionalFormatting>
  <conditionalFormatting sqref="AE59:AF65 W58:W65 R58:S65 Y58:AD65">
    <cfRule type="expression" dxfId="11089" priority="453">
      <formula>R$9&gt;=20/24</formula>
    </cfRule>
    <cfRule type="expression" dxfId="11088" priority="454">
      <formula>AND(R$9&gt;=14/24,R$9&lt;20/24)</formula>
    </cfRule>
    <cfRule type="expression" dxfId="11087" priority="455">
      <formula>AND(R$9&gt;=8/24,R$9&lt;14/24)</formula>
    </cfRule>
    <cfRule type="expression" dxfId="11086" priority="456">
      <formula>R$9&lt;8/24</formula>
    </cfRule>
  </conditionalFormatting>
  <conditionalFormatting sqref="AA92:AF95">
    <cfRule type="expression" dxfId="11085" priority="449">
      <formula>AA$9&gt;=20/24</formula>
    </cfRule>
    <cfRule type="expression" dxfId="11084" priority="450">
      <formula>AND(AA$9&gt;=14/24,AA$9&lt;20/24)</formula>
    </cfRule>
    <cfRule type="expression" dxfId="11083" priority="451">
      <formula>AND(AA$9&gt;=8/24,AA$9&lt;14/24)</formula>
    </cfRule>
    <cfRule type="expression" dxfId="11082" priority="452">
      <formula>AA$9&lt;8/24</formula>
    </cfRule>
  </conditionalFormatting>
  <conditionalFormatting sqref="C60:H60 H61:H65 I60:K65">
    <cfRule type="expression" dxfId="11081" priority="445">
      <formula>C$9&gt;=20/24</formula>
    </cfRule>
    <cfRule type="expression" dxfId="11080" priority="446">
      <formula>AND(C$9&gt;=14/24,C$9&lt;20/24)</formula>
    </cfRule>
    <cfRule type="expression" dxfId="11079" priority="447">
      <formula>AND(C$9&gt;=8/24,C$9&lt;14/24)</formula>
    </cfRule>
    <cfRule type="expression" dxfId="11078" priority="448">
      <formula>C$9&lt;8/24</formula>
    </cfRule>
  </conditionalFormatting>
  <conditionalFormatting sqref="U92:Z95">
    <cfRule type="expression" dxfId="11077" priority="441">
      <formula>U$9&gt;=20/24</formula>
    </cfRule>
    <cfRule type="expression" dxfId="11076" priority="442">
      <formula>AND(U$9&gt;=14/24,U$9&lt;20/24)</formula>
    </cfRule>
    <cfRule type="expression" dxfId="11075" priority="443">
      <formula>AND(U$9&gt;=8/24,U$9&lt;14/24)</formula>
    </cfRule>
    <cfRule type="expression" dxfId="11074" priority="444">
      <formula>U$9&lt;8/24</formula>
    </cfRule>
  </conditionalFormatting>
  <conditionalFormatting sqref="AG49 E15:F16 Y15:Y16 F17:F18 Y12:Y13 C11:G12 E13:G13 C43:L43 G15:I18 J44:L44 N15:P15 J15:K31 J34:L34 J33:K33 C35:L35 N35 N12:Q12 H11:M13 M34:M35 C45:L48 N16 M43:P48 N13:P13 P35:AF35 W17:Y31 N11:Y11 T29:V29 R43:V43 C49:AF50 C54:AF54 C51:W53 C36:AF41 Z11:AF13 W33:AF34 Z15:AF31 W43:AF48 Y51:AF53">
    <cfRule type="expression" dxfId="11073" priority="440">
      <formula>C11&gt;$AG11</formula>
    </cfRule>
  </conditionalFormatting>
  <conditionalFormatting sqref="A98:A154 A82:A95 A11:A13 A15:A31 A43:A70 A78:A80 A72:A76 A33:A41 A167:A198">
    <cfRule type="expression" dxfId="11072" priority="439">
      <formula>$AH11=0</formula>
    </cfRule>
  </conditionalFormatting>
  <conditionalFormatting sqref="AA96:AF96">
    <cfRule type="expression" dxfId="11071" priority="435">
      <formula>AA$9&gt;=20/24</formula>
    </cfRule>
    <cfRule type="expression" dxfId="11070" priority="436">
      <formula>AND(AA$9&gt;=14/24,AA$9&lt;20/24)</formula>
    </cfRule>
    <cfRule type="expression" dxfId="11069" priority="437">
      <formula>AND(AA$9&gt;=8/24,AA$9&lt;14/24)</formula>
    </cfRule>
    <cfRule type="expression" dxfId="11068" priority="438">
      <formula>AA$9&lt;8/24</formula>
    </cfRule>
  </conditionalFormatting>
  <conditionalFormatting sqref="U96:Z96">
    <cfRule type="expression" dxfId="11067" priority="431">
      <formula>U$9&gt;=20/24</formula>
    </cfRule>
    <cfRule type="expression" dxfId="11066" priority="432">
      <formula>AND(U$9&gt;=14/24,U$9&lt;20/24)</formula>
    </cfRule>
    <cfRule type="expression" dxfId="11065" priority="433">
      <formula>AND(U$9&gt;=8/24,U$9&lt;14/24)</formula>
    </cfRule>
    <cfRule type="expression" dxfId="11064" priority="434">
      <formula>U$9&lt;8/24</formula>
    </cfRule>
  </conditionalFormatting>
  <conditionalFormatting sqref="A96">
    <cfRule type="expression" dxfId="11063" priority="430">
      <formula>$AH96=0</formula>
    </cfRule>
  </conditionalFormatting>
  <conditionalFormatting sqref="J34:M34 W34:AF34">
    <cfRule type="expression" dxfId="11062" priority="426">
      <formula>J$9&gt;=20/24</formula>
    </cfRule>
    <cfRule type="expression" dxfId="11061" priority="427">
      <formula>AND(J$9&gt;=14/24,J$9&lt;20/24)</formula>
    </cfRule>
    <cfRule type="expression" dxfId="11060" priority="428">
      <formula>AND(J$9&gt;=8/24,J$9&lt;14/24)</formula>
    </cfRule>
    <cfRule type="expression" dxfId="11059" priority="429">
      <formula>J$9&lt;8/24</formula>
    </cfRule>
  </conditionalFormatting>
  <conditionalFormatting sqref="W34:AF34">
    <cfRule type="expression" dxfId="11058" priority="422">
      <formula>W$9&gt;=20/24</formula>
    </cfRule>
    <cfRule type="expression" dxfId="11057" priority="423">
      <formula>AND(W$9&gt;=14/24,W$9&lt;20/24)</formula>
    </cfRule>
    <cfRule type="expression" dxfId="11056" priority="424">
      <formula>AND(W$9&gt;=8/24,W$9&lt;14/24)</formula>
    </cfRule>
    <cfRule type="expression" dxfId="11055" priority="425">
      <formula>W$9&lt;8/24</formula>
    </cfRule>
  </conditionalFormatting>
  <conditionalFormatting sqref="D61:G65">
    <cfRule type="expression" dxfId="11054" priority="414">
      <formula>D$9&gt;=20/24</formula>
    </cfRule>
    <cfRule type="expression" dxfId="11053" priority="415">
      <formula>AND(D$9&gt;=14/24,D$9&lt;20/24)</formula>
    </cfRule>
    <cfRule type="expression" dxfId="11052" priority="416">
      <formula>AND(D$9&gt;=8/24,D$9&lt;14/24)</formula>
    </cfRule>
    <cfRule type="expression" dxfId="11051" priority="417">
      <formula>D$9&lt;8/24</formula>
    </cfRule>
  </conditionalFormatting>
  <conditionalFormatting sqref="L60:M65">
    <cfRule type="expression" dxfId="11050" priority="410">
      <formula>L$9&gt;=20/24</formula>
    </cfRule>
    <cfRule type="expression" dxfId="11049" priority="411">
      <formula>AND(L$9&gt;=14/24,L$9&lt;20/24)</formula>
    </cfRule>
    <cfRule type="expression" dxfId="11048" priority="412">
      <formula>AND(L$9&gt;=8/24,L$9&lt;14/24)</formula>
    </cfRule>
    <cfRule type="expression" dxfId="11047" priority="413">
      <formula>L$9&lt;8/24</formula>
    </cfRule>
  </conditionalFormatting>
  <conditionalFormatting sqref="AL31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11046" priority="405">
      <formula>Y$9&gt;=20/24</formula>
    </cfRule>
    <cfRule type="expression" dxfId="11045" priority="406">
      <formula>AND(Y$9&gt;=14/24,Y$9&lt;20/24)</formula>
    </cfRule>
    <cfRule type="expression" dxfId="11044" priority="407">
      <formula>AND(Y$9&gt;=8/24,Y$9&lt;14/24)</formula>
    </cfRule>
    <cfRule type="expression" dxfId="11043" priority="408">
      <formula>Y$9&lt;8/24</formula>
    </cfRule>
  </conditionalFormatting>
  <conditionalFormatting sqref="W32:X32">
    <cfRule type="expression" dxfId="11042" priority="397">
      <formula>W$9&gt;=20/24</formula>
    </cfRule>
    <cfRule type="expression" dxfId="11041" priority="398">
      <formula>AND(W$9&gt;=14/24,W$9&lt;20/24)</formula>
    </cfRule>
    <cfRule type="expression" dxfId="11040" priority="399">
      <formula>AND(W$9&gt;=8/24,W$9&lt;14/24)</formula>
    </cfRule>
    <cfRule type="expression" dxfId="11039" priority="400">
      <formula>W$9&lt;8/24</formula>
    </cfRule>
  </conditionalFormatting>
  <conditionalFormatting sqref="J32:K32 W32:AF32">
    <cfRule type="expression" dxfId="11038" priority="396">
      <formula>J32&gt;$AG32</formula>
    </cfRule>
  </conditionalFormatting>
  <conditionalFormatting sqref="A32">
    <cfRule type="expression" dxfId="11037" priority="395">
      <formula>$AH32=0</formula>
    </cfRule>
  </conditionalFormatting>
  <conditionalFormatting sqref="C81:AF81">
    <cfRule type="expression" dxfId="11036" priority="391">
      <formula>C$9&gt;=20/24</formula>
    </cfRule>
    <cfRule type="expression" dxfId="11035" priority="392">
      <formula>AND(C$9&gt;=14/24,C$9&lt;20/24)</formula>
    </cfRule>
    <cfRule type="expression" dxfId="11034" priority="393">
      <formula>AND(C$9&gt;=8/24,C$9&lt;14/24)</formula>
    </cfRule>
    <cfRule type="expression" dxfId="11033" priority="394">
      <formula>C$9&lt;8/24</formula>
    </cfRule>
  </conditionalFormatting>
  <conditionalFormatting sqref="A81">
    <cfRule type="expression" dxfId="11032" priority="390">
      <formula>$AH81=0</formula>
    </cfRule>
  </conditionalFormatting>
  <conditionalFormatting sqref="Y14:AF14">
    <cfRule type="expression" dxfId="11031" priority="386">
      <formula>Y$9&gt;=20/24</formula>
    </cfRule>
    <cfRule type="expression" dxfId="11030" priority="387">
      <formula>AND(Y$9&gt;=14/24,Y$9&lt;20/24)</formula>
    </cfRule>
    <cfRule type="expression" dxfId="11029" priority="388">
      <formula>AND(Y$9&gt;=8/24,Y$9&lt;14/24)</formula>
    </cfRule>
    <cfRule type="expression" dxfId="11028" priority="389">
      <formula>Y$9&lt;8/24</formula>
    </cfRule>
  </conditionalFormatting>
  <conditionalFormatting sqref="N14:P14">
    <cfRule type="expression" dxfId="11027" priority="382">
      <formula>N$9&gt;=20/24</formula>
    </cfRule>
    <cfRule type="expression" dxfId="11026" priority="383">
      <formula>AND(N$9&gt;=14/24,N$9&lt;20/24)</formula>
    </cfRule>
    <cfRule type="expression" dxfId="11025" priority="384">
      <formula>AND(N$9&gt;=8/24,N$9&lt;14/24)</formula>
    </cfRule>
    <cfRule type="expression" dxfId="11024" priority="385">
      <formula>N$9&lt;8/24</formula>
    </cfRule>
  </conditionalFormatting>
  <conditionalFormatting sqref="E14:K14 N14:P14 Y14:AF14">
    <cfRule type="expression" dxfId="11023" priority="381">
      <formula>E14&gt;$AG14</formula>
    </cfRule>
  </conditionalFormatting>
  <conditionalFormatting sqref="A14">
    <cfRule type="expression" dxfId="11022" priority="380">
      <formula>$AH14=0</formula>
    </cfRule>
  </conditionalFormatting>
  <conditionalFormatting sqref="A161:A166">
    <cfRule type="expression" dxfId="11021" priority="379">
      <formula>$AH161=0</formula>
    </cfRule>
  </conditionalFormatting>
  <conditionalFormatting sqref="A155:A160">
    <cfRule type="expression" dxfId="11020" priority="378">
      <formula>$AH155=0</formula>
    </cfRule>
  </conditionalFormatting>
  <conditionalFormatting sqref="Y42:AD42">
    <cfRule type="expression" dxfId="11019" priority="374">
      <formula>Y$9&gt;=20/24</formula>
    </cfRule>
    <cfRule type="expression" dxfId="11018" priority="375">
      <formula>AND(Y$9&gt;=14/24,Y$9&lt;20/24)</formula>
    </cfRule>
    <cfRule type="expression" dxfId="11017" priority="376">
      <formula>AND(Y$9&gt;=8/24,Y$9&lt;14/24)</formula>
    </cfRule>
    <cfRule type="expression" dxfId="11016" priority="377">
      <formula>Y$9&lt;8/24</formula>
    </cfRule>
  </conditionalFormatting>
  <conditionalFormatting sqref="L42:P42">
    <cfRule type="expression" dxfId="11015" priority="370">
      <formula>L$9&gt;=20/24</formula>
    </cfRule>
    <cfRule type="expression" dxfId="11014" priority="371">
      <formula>AND(L$9&gt;=14/24,L$9&lt;20/24)</formula>
    </cfRule>
    <cfRule type="expression" dxfId="11013" priority="372">
      <formula>AND(L$9&gt;=8/24,L$9&lt;14/24)</formula>
    </cfRule>
    <cfRule type="expression" dxfId="11012" priority="373">
      <formula>L$9&lt;8/24</formula>
    </cfRule>
  </conditionalFormatting>
  <conditionalFormatting sqref="R42:X42">
    <cfRule type="expression" dxfId="11011" priority="366">
      <formula>R$9&gt;=20/24</formula>
    </cfRule>
    <cfRule type="expression" dxfId="11010" priority="367">
      <formula>AND(R$9&gt;=14/24,R$9&lt;20/24)</formula>
    </cfRule>
    <cfRule type="expression" dxfId="11009" priority="368">
      <formula>AND(R$9&gt;=8/24,R$9&lt;14/24)</formula>
    </cfRule>
    <cfRule type="expression" dxfId="11008" priority="369">
      <formula>R$9&lt;8/24</formula>
    </cfRule>
  </conditionalFormatting>
  <conditionalFormatting sqref="C42:P42 R42:AF42">
    <cfRule type="expression" dxfId="11007" priority="365">
      <formula>C42&gt;$AG42</formula>
    </cfRule>
  </conditionalFormatting>
  <conditionalFormatting sqref="A42">
    <cfRule type="expression" dxfId="11006" priority="364">
      <formula>$AH42=0</formula>
    </cfRule>
  </conditionalFormatting>
  <conditionalFormatting sqref="C77:AF77">
    <cfRule type="expression" dxfId="11005" priority="360">
      <formula>C$9&gt;=20/24</formula>
    </cfRule>
    <cfRule type="expression" dxfId="11004" priority="361">
      <formula>AND(C$9&gt;=14/24,C$9&lt;20/24)</formula>
    </cfRule>
    <cfRule type="expression" dxfId="11003" priority="362">
      <formula>AND(C$9&gt;=8/24,C$9&lt;14/24)</formula>
    </cfRule>
    <cfRule type="expression" dxfId="11002" priority="363">
      <formula>C$9&lt;8/24</formula>
    </cfRule>
  </conditionalFormatting>
  <conditionalFormatting sqref="A77">
    <cfRule type="expression" dxfId="11001" priority="359">
      <formula>$AH77=0</formula>
    </cfRule>
  </conditionalFormatting>
  <conditionalFormatting sqref="C71:AG71">
    <cfRule type="expression" dxfId="11000" priority="355">
      <formula>C$9&gt;=20/24</formula>
    </cfRule>
    <cfRule type="expression" dxfId="10999" priority="356">
      <formula>AND(C$9&gt;=14/24,C$9&lt;20/24)</formula>
    </cfRule>
    <cfRule type="expression" dxfId="10998" priority="357">
      <formula>AND(C$9&gt;=8/24,C$9&lt;14/24)</formula>
    </cfRule>
    <cfRule type="expression" dxfId="10997" priority="358">
      <formula>C$9&lt;8/24</formula>
    </cfRule>
  </conditionalFormatting>
  <conditionalFormatting sqref="A71">
    <cfRule type="expression" dxfId="10996" priority="354">
      <formula>$AH71=0</formula>
    </cfRule>
  </conditionalFormatting>
  <conditionalFormatting sqref="AL32:AL33 AL8:AL30">
    <cfRule type="iconSet" priority="53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10995" priority="350">
      <formula>T$9&gt;=20/24</formula>
    </cfRule>
    <cfRule type="expression" dxfId="10994" priority="351">
      <formula>AND(T$9&gt;=14/24,T$9&lt;20/24)</formula>
    </cfRule>
    <cfRule type="expression" dxfId="10993" priority="352">
      <formula>AND(T$9&gt;=8/24,T$9&lt;14/24)</formula>
    </cfRule>
    <cfRule type="expression" dxfId="10992" priority="353">
      <formula>T$9&lt;8/24</formula>
    </cfRule>
  </conditionalFormatting>
  <conditionalFormatting sqref="T83:W89">
    <cfRule type="expression" dxfId="10991" priority="346">
      <formula>T$9&gt;=20/24</formula>
    </cfRule>
    <cfRule type="expression" dxfId="10990" priority="347">
      <formula>AND(T$9&gt;=14/24,T$9&lt;20/24)</formula>
    </cfRule>
    <cfRule type="expression" dxfId="10989" priority="348">
      <formula>AND(T$9&gt;=8/24,T$9&lt;14/24)</formula>
    </cfRule>
    <cfRule type="expression" dxfId="10988" priority="349">
      <formula>T$9&lt;8/24</formula>
    </cfRule>
  </conditionalFormatting>
  <conditionalFormatting sqref="C82:Q89 R83:S89">
    <cfRule type="expression" dxfId="10987" priority="342">
      <formula>C$9&gt;=20/24</formula>
    </cfRule>
    <cfRule type="expression" dxfId="10986" priority="343">
      <formula>AND(C$9&gt;=14/24,C$9&lt;20/24)</formula>
    </cfRule>
    <cfRule type="expression" dxfId="10985" priority="344">
      <formula>AND(C$9&gt;=8/24,C$9&lt;14/24)</formula>
    </cfRule>
    <cfRule type="expression" dxfId="10984" priority="345">
      <formula>C$9&lt;8/24</formula>
    </cfRule>
  </conditionalFormatting>
  <conditionalFormatting sqref="R82:S82">
    <cfRule type="expression" dxfId="10983" priority="338">
      <formula>R$9&gt;=20/24</formula>
    </cfRule>
    <cfRule type="expression" dxfId="10982" priority="339">
      <formula>AND(R$9&gt;=14/24,R$9&lt;20/24)</formula>
    </cfRule>
    <cfRule type="expression" dxfId="10981" priority="340">
      <formula>AND(R$9&gt;=8/24,R$9&lt;14/24)</formula>
    </cfRule>
    <cfRule type="expression" dxfId="10980" priority="341">
      <formula>R$9&lt;8/24</formula>
    </cfRule>
  </conditionalFormatting>
  <conditionalFormatting sqref="C92:E92 C93:M95">
    <cfRule type="expression" dxfId="10979" priority="334">
      <formula>C$9&gt;=20/24</formula>
    </cfRule>
    <cfRule type="expression" dxfId="10978" priority="335">
      <formula>AND(C$9&gt;=14/24,C$9&lt;20/24)</formula>
    </cfRule>
    <cfRule type="expression" dxfId="10977" priority="336">
      <formula>AND(C$9&gt;=8/24,C$9&lt;14/24)</formula>
    </cfRule>
    <cfRule type="expression" dxfId="10976" priority="337">
      <formula>C$9&lt;8/24</formula>
    </cfRule>
  </conditionalFormatting>
  <conditionalFormatting sqref="N92:Q95">
    <cfRule type="expression" dxfId="10975" priority="330">
      <formula>N$9&gt;=20/24</formula>
    </cfRule>
    <cfRule type="expression" dxfId="10974" priority="331">
      <formula>AND(N$9&gt;=14/24,N$9&lt;20/24)</formula>
    </cfRule>
    <cfRule type="expression" dxfId="10973" priority="332">
      <formula>AND(N$9&gt;=8/24,N$9&lt;14/24)</formula>
    </cfRule>
    <cfRule type="expression" dxfId="10972" priority="333">
      <formula>N$9&lt;8/24</formula>
    </cfRule>
  </conditionalFormatting>
  <conditionalFormatting sqref="R92:T95">
    <cfRule type="expression" dxfId="10971" priority="326">
      <formula>R$9&gt;=20/24</formula>
    </cfRule>
    <cfRule type="expression" dxfId="10970" priority="327">
      <formula>AND(R$9&gt;=14/24,R$9&lt;20/24)</formula>
    </cfRule>
    <cfRule type="expression" dxfId="10969" priority="328">
      <formula>AND(R$9&gt;=8/24,R$9&lt;14/24)</formula>
    </cfRule>
    <cfRule type="expression" dxfId="10968" priority="329">
      <formula>R$9&lt;8/24</formula>
    </cfRule>
  </conditionalFormatting>
  <conditionalFormatting sqref="C96:M96">
    <cfRule type="expression" dxfId="10967" priority="322">
      <formula>C$9&gt;=20/24</formula>
    </cfRule>
    <cfRule type="expression" dxfId="10966" priority="323">
      <formula>AND(C$9&gt;=14/24,C$9&lt;20/24)</formula>
    </cfRule>
    <cfRule type="expression" dxfId="10965" priority="324">
      <formula>AND(C$9&gt;=8/24,C$9&lt;14/24)</formula>
    </cfRule>
    <cfRule type="expression" dxfId="10964" priority="325">
      <formula>C$9&lt;8/24</formula>
    </cfRule>
  </conditionalFormatting>
  <conditionalFormatting sqref="N96:Q96">
    <cfRule type="expression" dxfId="10963" priority="318">
      <formula>N$9&gt;=20/24</formula>
    </cfRule>
    <cfRule type="expression" dxfId="10962" priority="319">
      <formula>AND(N$9&gt;=14/24,N$9&lt;20/24)</formula>
    </cfRule>
    <cfRule type="expression" dxfId="10961" priority="320">
      <formula>AND(N$9&gt;=8/24,N$9&lt;14/24)</formula>
    </cfRule>
    <cfRule type="expression" dxfId="10960" priority="321">
      <formula>N$9&lt;8/24</formula>
    </cfRule>
  </conditionalFormatting>
  <conditionalFormatting sqref="R96:T96">
    <cfRule type="expression" dxfId="10959" priority="314">
      <formula>R$9&gt;=20/24</formula>
    </cfRule>
    <cfRule type="expression" dxfId="10958" priority="315">
      <formula>AND(R$9&gt;=14/24,R$9&lt;20/24)</formula>
    </cfRule>
    <cfRule type="expression" dxfId="10957" priority="316">
      <formula>AND(R$9&gt;=8/24,R$9&lt;14/24)</formula>
    </cfRule>
    <cfRule type="expression" dxfId="10956" priority="317">
      <formula>R$9&lt;8/24</formula>
    </cfRule>
  </conditionalFormatting>
  <conditionalFormatting sqref="L92:M92">
    <cfRule type="expression" dxfId="10955" priority="310">
      <formula>L$9&gt;=20/24</formula>
    </cfRule>
    <cfRule type="expression" dxfId="10954" priority="311">
      <formula>AND(L$9&gt;=14/24,L$9&lt;20/24)</formula>
    </cfRule>
    <cfRule type="expression" dxfId="10953" priority="312">
      <formula>AND(L$9&gt;=8/24,L$9&lt;14/24)</formula>
    </cfRule>
    <cfRule type="expression" dxfId="10952" priority="313">
      <formula>L$9&lt;8/24</formula>
    </cfRule>
  </conditionalFormatting>
  <conditionalFormatting sqref="F92:K92">
    <cfRule type="expression" dxfId="10951" priority="306">
      <formula>F$9&gt;=20/24</formula>
    </cfRule>
    <cfRule type="expression" dxfId="10950" priority="307">
      <formula>AND(F$9&gt;=14/24,F$9&lt;20/24)</formula>
    </cfRule>
    <cfRule type="expression" dxfId="10949" priority="308">
      <formula>AND(F$9&gt;=8/24,F$9&lt;14/24)</formula>
    </cfRule>
    <cfRule type="expression" dxfId="10948" priority="309">
      <formula>F$9&lt;8/24</formula>
    </cfRule>
  </conditionalFormatting>
  <conditionalFormatting sqref="U92:W92">
    <cfRule type="expression" dxfId="10947" priority="302">
      <formula>U$9&gt;=20/24</formula>
    </cfRule>
    <cfRule type="expression" dxfId="10946" priority="303">
      <formula>AND(U$9&gt;=14/24,U$9&lt;20/24)</formula>
    </cfRule>
    <cfRule type="expression" dxfId="10945" priority="304">
      <formula>AND(U$9&gt;=8/24,U$9&lt;14/24)</formula>
    </cfRule>
    <cfRule type="expression" dxfId="10944" priority="305">
      <formula>U$9&lt;8/24</formula>
    </cfRule>
  </conditionalFormatting>
  <conditionalFormatting sqref="N92:T92">
    <cfRule type="expression" dxfId="10943" priority="298">
      <formula>N$9&gt;=20/24</formula>
    </cfRule>
    <cfRule type="expression" dxfId="10942" priority="299">
      <formula>AND(N$9&gt;=14/24,N$9&lt;20/24)</formula>
    </cfRule>
    <cfRule type="expression" dxfId="10941" priority="300">
      <formula>AND(N$9&gt;=8/24,N$9&lt;14/24)</formula>
    </cfRule>
    <cfRule type="expression" dxfId="10940" priority="301">
      <formula>N$9&lt;8/24</formula>
    </cfRule>
  </conditionalFormatting>
  <conditionalFormatting sqref="AA97:AF97">
    <cfRule type="expression" dxfId="10939" priority="294">
      <formula>AA$9&gt;=20/24</formula>
    </cfRule>
    <cfRule type="expression" dxfId="10938" priority="295">
      <formula>AND(AA$9&gt;=14/24,AA$9&lt;20/24)</formula>
    </cfRule>
    <cfRule type="expression" dxfId="10937" priority="296">
      <formula>AND(AA$9&gt;=8/24,AA$9&lt;14/24)</formula>
    </cfRule>
    <cfRule type="expression" dxfId="10936" priority="297">
      <formula>AA$9&lt;8/24</formula>
    </cfRule>
  </conditionalFormatting>
  <conditionalFormatting sqref="U97:Z97">
    <cfRule type="expression" dxfId="10935" priority="290">
      <formula>U$9&gt;=20/24</formula>
    </cfRule>
    <cfRule type="expression" dxfId="10934" priority="291">
      <formula>AND(U$9&gt;=14/24,U$9&lt;20/24)</formula>
    </cfRule>
    <cfRule type="expression" dxfId="10933" priority="292">
      <formula>AND(U$9&gt;=8/24,U$9&lt;14/24)</formula>
    </cfRule>
    <cfRule type="expression" dxfId="10932" priority="293">
      <formula>U$9&lt;8/24</formula>
    </cfRule>
  </conditionalFormatting>
  <conditionalFormatting sqref="A97">
    <cfRule type="expression" dxfId="10931" priority="289">
      <formula>$AH97=0</formula>
    </cfRule>
  </conditionalFormatting>
  <conditionalFormatting sqref="C97:M97">
    <cfRule type="expression" dxfId="10930" priority="285">
      <formula>C$9&gt;=20/24</formula>
    </cfRule>
    <cfRule type="expression" dxfId="10929" priority="286">
      <formula>AND(C$9&gt;=14/24,C$9&lt;20/24)</formula>
    </cfRule>
    <cfRule type="expression" dxfId="10928" priority="287">
      <formula>AND(C$9&gt;=8/24,C$9&lt;14/24)</formula>
    </cfRule>
    <cfRule type="expression" dxfId="10927" priority="288">
      <formula>C$9&lt;8/24</formula>
    </cfRule>
  </conditionalFormatting>
  <conditionalFormatting sqref="N97:Q97">
    <cfRule type="expression" dxfId="10926" priority="281">
      <formula>N$9&gt;=20/24</formula>
    </cfRule>
    <cfRule type="expression" dxfId="10925" priority="282">
      <formula>AND(N$9&gt;=14/24,N$9&lt;20/24)</formula>
    </cfRule>
    <cfRule type="expression" dxfId="10924" priority="283">
      <formula>AND(N$9&gt;=8/24,N$9&lt;14/24)</formula>
    </cfRule>
    <cfRule type="expression" dxfId="10923" priority="284">
      <formula>N$9&lt;8/24</formula>
    </cfRule>
  </conditionalFormatting>
  <conditionalFormatting sqref="R97:T97">
    <cfRule type="expression" dxfId="10922" priority="277">
      <formula>R$9&gt;=20/24</formula>
    </cfRule>
    <cfRule type="expression" dxfId="10921" priority="278">
      <formula>AND(R$9&gt;=14/24,R$9&lt;20/24)</formula>
    </cfRule>
    <cfRule type="expression" dxfId="10920" priority="279">
      <formula>AND(R$9&gt;=8/24,R$9&lt;14/24)</formula>
    </cfRule>
    <cfRule type="expression" dxfId="10919" priority="280">
      <formula>R$9&lt;8/24</formula>
    </cfRule>
  </conditionalFormatting>
  <conditionalFormatting sqref="R12:T12 U12:X15">
    <cfRule type="expression" dxfId="10918" priority="273">
      <formula>R$9&gt;=20/24</formula>
    </cfRule>
    <cfRule type="expression" dxfId="10917" priority="274">
      <formula>AND(R$9&gt;=14/24,R$9&lt;20/24)</formula>
    </cfRule>
    <cfRule type="expression" dxfId="10916" priority="275">
      <formula>AND(R$9&gt;=8/24,R$9&lt;14/24)</formula>
    </cfRule>
    <cfRule type="expression" dxfId="10915" priority="276">
      <formula>R$9&lt;8/24</formula>
    </cfRule>
  </conditionalFormatting>
  <conditionalFormatting sqref="U16:X16">
    <cfRule type="expression" dxfId="10914" priority="269">
      <formula>U$9&gt;=20/24</formula>
    </cfRule>
    <cfRule type="expression" dxfId="10913" priority="270">
      <formula>AND(U$9&gt;=14/24,U$9&lt;20/24)</formula>
    </cfRule>
    <cfRule type="expression" dxfId="10912" priority="271">
      <formula>AND(U$9&gt;=8/24,U$9&lt;14/24)</formula>
    </cfRule>
    <cfRule type="expression" dxfId="10911" priority="272">
      <formula>U$9&lt;8/24</formula>
    </cfRule>
  </conditionalFormatting>
  <conditionalFormatting sqref="R12:X12">
    <cfRule type="expression" dxfId="10910" priority="265">
      <formula>R$9&gt;=20/24</formula>
    </cfRule>
    <cfRule type="expression" dxfId="10909" priority="266">
      <formula>AND(R$9&gt;=14/24,R$9&lt;20/24)</formula>
    </cfRule>
    <cfRule type="expression" dxfId="10908" priority="267">
      <formula>AND(R$9&gt;=8/24,R$9&lt;14/24)</formula>
    </cfRule>
    <cfRule type="expression" dxfId="10907" priority="268">
      <formula>R$9&lt;8/24</formula>
    </cfRule>
  </conditionalFormatting>
  <conditionalFormatting sqref="AA56:AD57">
    <cfRule type="expression" dxfId="10906" priority="261">
      <formula>AA$9&gt;=20/24</formula>
    </cfRule>
    <cfRule type="expression" dxfId="10905" priority="262">
      <formula>AND(AA$9&gt;=14/24,AA$9&lt;20/24)</formula>
    </cfRule>
    <cfRule type="expression" dxfId="10904" priority="263">
      <formula>AND(AA$9&gt;=8/24,AA$9&lt;14/24)</formula>
    </cfRule>
    <cfRule type="expression" dxfId="10903" priority="264">
      <formula>AA$9&lt;8/24</formula>
    </cfRule>
  </conditionalFormatting>
  <conditionalFormatting sqref="B66:B70 B72:B76 B78:B80 B51:B58 B82:B89 B11:B13 B15:D25 C13:D13 E17:E25 B27:I30 F19:I25">
    <cfRule type="expression" dxfId="10902" priority="257">
      <formula>B$9&gt;=20/24</formula>
    </cfRule>
    <cfRule type="expression" dxfId="10901" priority="258">
      <formula>AND(B$9&gt;=14/24,B$9&lt;20/24)</formula>
    </cfRule>
    <cfRule type="expression" dxfId="10900" priority="259">
      <formula>AND(B$9&gt;=8/24,B$9&lt;14/24)</formula>
    </cfRule>
    <cfRule type="expression" dxfId="10899" priority="260">
      <formula>B$9&lt;8/24</formula>
    </cfRule>
  </conditionalFormatting>
  <conditionalFormatting sqref="B31:I31">
    <cfRule type="expression" dxfId="10898" priority="253">
      <formula>B$9&gt;=20/24</formula>
    </cfRule>
    <cfRule type="expression" dxfId="10897" priority="254">
      <formula>AND(B$9&gt;=14/24,B$9&lt;20/24)</formula>
    </cfRule>
    <cfRule type="expression" dxfId="10896" priority="255">
      <formula>AND(B$9&gt;=8/24,B$9&lt;14/24)</formula>
    </cfRule>
    <cfRule type="expression" dxfId="10895" priority="256">
      <formula>B$9&lt;8/24</formula>
    </cfRule>
  </conditionalFormatting>
  <conditionalFormatting sqref="B35">
    <cfRule type="expression" dxfId="10894" priority="249">
      <formula>B$9&gt;=20/24</formula>
    </cfRule>
    <cfRule type="expression" dxfId="10893" priority="250">
      <formula>AND(B$9&gt;=14/24,B$9&lt;20/24)</formula>
    </cfRule>
    <cfRule type="expression" dxfId="10892" priority="251">
      <formula>AND(B$9&gt;=8/24,B$9&lt;14/24)</formula>
    </cfRule>
    <cfRule type="expression" dxfId="10891" priority="252">
      <formula>B$9&lt;8/24</formula>
    </cfRule>
  </conditionalFormatting>
  <conditionalFormatting sqref="B33:I33">
    <cfRule type="expression" dxfId="10890" priority="245">
      <formula>B$9&gt;=20/24</formula>
    </cfRule>
    <cfRule type="expression" dxfId="10889" priority="246">
      <formula>AND(B$9&gt;=14/24,B$9&lt;20/24)</formula>
    </cfRule>
    <cfRule type="expression" dxfId="10888" priority="247">
      <formula>AND(B$9&gt;=8/24,B$9&lt;14/24)</formula>
    </cfRule>
    <cfRule type="expression" dxfId="10887" priority="248">
      <formula>B$9&lt;8/24</formula>
    </cfRule>
  </conditionalFormatting>
  <conditionalFormatting sqref="B59:B65">
    <cfRule type="expression" dxfId="10886" priority="241">
      <formula>B$9&gt;=20/24</formula>
    </cfRule>
    <cfRule type="expression" dxfId="10885" priority="242">
      <formula>AND(B$9&gt;=14/24,B$9&lt;20/24)</formula>
    </cfRule>
    <cfRule type="expression" dxfId="10884" priority="243">
      <formula>AND(B$9&gt;=8/24,B$9&lt;14/24)</formula>
    </cfRule>
    <cfRule type="expression" dxfId="10883" priority="244">
      <formula>B$9&lt;8/24</formula>
    </cfRule>
  </conditionalFormatting>
  <conditionalFormatting sqref="B92:B95">
    <cfRule type="expression" dxfId="10882" priority="237">
      <formula>B$9&gt;=20/24</formula>
    </cfRule>
    <cfRule type="expression" dxfId="10881" priority="238">
      <formula>AND(B$9&gt;=14/24,B$9&lt;20/24)</formula>
    </cfRule>
    <cfRule type="expression" dxfId="10880" priority="239">
      <formula>AND(B$9&gt;=8/24,B$9&lt;14/24)</formula>
    </cfRule>
    <cfRule type="expression" dxfId="10879" priority="240">
      <formula>B$9&lt;8/24</formula>
    </cfRule>
  </conditionalFormatting>
  <conditionalFormatting sqref="B43:B54 B11:B13 B33:B41 C13:D13 B15:D31 E17:E31 F19:I31 C33:I34 C44:I44">
    <cfRule type="expression" dxfId="10878" priority="236">
      <formula>B11&gt;$AG11</formula>
    </cfRule>
  </conditionalFormatting>
  <conditionalFormatting sqref="B96">
    <cfRule type="expression" dxfId="10877" priority="232">
      <formula>B$9&gt;=20/24</formula>
    </cfRule>
    <cfRule type="expression" dxfId="10876" priority="233">
      <formula>AND(B$9&gt;=14/24,B$9&lt;20/24)</formula>
    </cfRule>
    <cfRule type="expression" dxfId="10875" priority="234">
      <formula>AND(B$9&gt;=8/24,B$9&lt;14/24)</formula>
    </cfRule>
    <cfRule type="expression" dxfId="10874" priority="235">
      <formula>B$9&lt;8/24</formula>
    </cfRule>
  </conditionalFormatting>
  <conditionalFormatting sqref="B34:I34">
    <cfRule type="expression" dxfId="10873" priority="228">
      <formula>B$9&gt;=20/24</formula>
    </cfRule>
    <cfRule type="expression" dxfId="10872" priority="229">
      <formula>AND(B$9&gt;=14/24,B$9&lt;20/24)</formula>
    </cfRule>
    <cfRule type="expression" dxfId="10871" priority="230">
      <formula>AND(B$9&gt;=8/24,B$9&lt;14/24)</formula>
    </cfRule>
    <cfRule type="expression" dxfId="10870" priority="231">
      <formula>B$9&lt;8/24</formula>
    </cfRule>
  </conditionalFormatting>
  <conditionalFormatting sqref="B34:I34">
    <cfRule type="expression" dxfId="10869" priority="224">
      <formula>B$9&gt;=20/24</formula>
    </cfRule>
    <cfRule type="expression" dxfId="10868" priority="225">
      <formula>AND(B$9&gt;=14/24,B$9&lt;20/24)</formula>
    </cfRule>
    <cfRule type="expression" dxfId="10867" priority="226">
      <formula>AND(B$9&gt;=8/24,B$9&lt;14/24)</formula>
    </cfRule>
    <cfRule type="expression" dxfId="10866" priority="227">
      <formula>B$9&lt;8/24</formula>
    </cfRule>
  </conditionalFormatting>
  <conditionalFormatting sqref="B32:I32">
    <cfRule type="expression" dxfId="10865" priority="220">
      <formula>B$9&gt;=20/24</formula>
    </cfRule>
    <cfRule type="expression" dxfId="10864" priority="221">
      <formula>AND(B$9&gt;=14/24,B$9&lt;20/24)</formula>
    </cfRule>
    <cfRule type="expression" dxfId="10863" priority="222">
      <formula>AND(B$9&gt;=8/24,B$9&lt;14/24)</formula>
    </cfRule>
    <cfRule type="expression" dxfId="10862" priority="223">
      <formula>B$9&lt;8/24</formula>
    </cfRule>
  </conditionalFormatting>
  <conditionalFormatting sqref="B32:I32">
    <cfRule type="expression" dxfId="10861" priority="219">
      <formula>B32&gt;$AG32</formula>
    </cfRule>
  </conditionalFormatting>
  <conditionalFormatting sqref="B81">
    <cfRule type="expression" dxfId="10860" priority="215">
      <formula>B$9&gt;=20/24</formula>
    </cfRule>
    <cfRule type="expression" dxfId="10859" priority="216">
      <formula>AND(B$9&gt;=14/24,B$9&lt;20/24)</formula>
    </cfRule>
    <cfRule type="expression" dxfId="10858" priority="217">
      <formula>AND(B$9&gt;=8/24,B$9&lt;14/24)</formula>
    </cfRule>
    <cfRule type="expression" dxfId="10857" priority="218">
      <formula>B$9&lt;8/24</formula>
    </cfRule>
  </conditionalFormatting>
  <conditionalFormatting sqref="B14:D14">
    <cfRule type="expression" dxfId="10856" priority="211">
      <formula>B$9&gt;=20/24</formula>
    </cfRule>
    <cfRule type="expression" dxfId="10855" priority="212">
      <formula>AND(B$9&gt;=14/24,B$9&lt;20/24)</formula>
    </cfRule>
    <cfRule type="expression" dxfId="10854" priority="213">
      <formula>AND(B$9&gt;=8/24,B$9&lt;14/24)</formula>
    </cfRule>
    <cfRule type="expression" dxfId="10853" priority="214">
      <formula>B$9&lt;8/24</formula>
    </cfRule>
  </conditionalFormatting>
  <conditionalFormatting sqref="B14:D14">
    <cfRule type="expression" dxfId="10852" priority="210">
      <formula>B14&gt;$AG14</formula>
    </cfRule>
  </conditionalFormatting>
  <conditionalFormatting sqref="B42">
    <cfRule type="expression" dxfId="10851" priority="209">
      <formula>B42&gt;$AG42</formula>
    </cfRule>
  </conditionalFormatting>
  <conditionalFormatting sqref="B77">
    <cfRule type="expression" dxfId="10850" priority="205">
      <formula>B$9&gt;=20/24</formula>
    </cfRule>
    <cfRule type="expression" dxfId="10849" priority="206">
      <formula>AND(B$9&gt;=14/24,B$9&lt;20/24)</formula>
    </cfRule>
    <cfRule type="expression" dxfId="10848" priority="207">
      <formula>AND(B$9&gt;=8/24,B$9&lt;14/24)</formula>
    </cfRule>
    <cfRule type="expression" dxfId="10847" priority="208">
      <formula>B$9&lt;8/24</formula>
    </cfRule>
  </conditionalFormatting>
  <conditionalFormatting sqref="B71">
    <cfRule type="expression" dxfId="10846" priority="201">
      <formula>B$9&gt;=20/24</formula>
    </cfRule>
    <cfRule type="expression" dxfId="10845" priority="202">
      <formula>AND(B$9&gt;=14/24,B$9&lt;20/24)</formula>
    </cfRule>
    <cfRule type="expression" dxfId="10844" priority="203">
      <formula>AND(B$9&gt;=8/24,B$9&lt;14/24)</formula>
    </cfRule>
    <cfRule type="expression" dxfId="10843" priority="204">
      <formula>B$9&lt;8/24</formula>
    </cfRule>
  </conditionalFormatting>
  <conditionalFormatting sqref="B97">
    <cfRule type="expression" dxfId="10842" priority="197">
      <formula>B$9&gt;=20/24</formula>
    </cfRule>
    <cfRule type="expression" dxfId="10841" priority="198">
      <formula>AND(B$9&gt;=14/24,B$9&lt;20/24)</formula>
    </cfRule>
    <cfRule type="expression" dxfId="10840" priority="199">
      <formula>AND(B$9&gt;=8/24,B$9&lt;14/24)</formula>
    </cfRule>
    <cfRule type="expression" dxfId="10839" priority="200">
      <formula>B$9&lt;8/24</formula>
    </cfRule>
  </conditionalFormatting>
  <conditionalFormatting sqref="L15:M31">
    <cfRule type="expression" dxfId="10838" priority="193">
      <formula>L$9&gt;=20/24</formula>
    </cfRule>
    <cfRule type="expression" dxfId="10837" priority="194">
      <formula>AND(L$9&gt;=14/24,L$9&lt;20/24)</formula>
    </cfRule>
    <cfRule type="expression" dxfId="10836" priority="195">
      <formula>AND(L$9&gt;=8/24,L$9&lt;14/24)</formula>
    </cfRule>
    <cfRule type="expression" dxfId="10835" priority="196">
      <formula>L$9&lt;8/24</formula>
    </cfRule>
  </conditionalFormatting>
  <conditionalFormatting sqref="L33:M33">
    <cfRule type="expression" dxfId="10834" priority="189">
      <formula>L$9&gt;=20/24</formula>
    </cfRule>
    <cfRule type="expression" dxfId="10833" priority="190">
      <formula>AND(L$9&gt;=14/24,L$9&lt;20/24)</formula>
    </cfRule>
    <cfRule type="expression" dxfId="10832" priority="191">
      <formula>AND(L$9&gt;=8/24,L$9&lt;14/24)</formula>
    </cfRule>
    <cfRule type="expression" dxfId="10831" priority="192">
      <formula>L$9&lt;8/24</formula>
    </cfRule>
  </conditionalFormatting>
  <conditionalFormatting sqref="L15:M31 L33:M33">
    <cfRule type="expression" dxfId="10830" priority="188">
      <formula>L15&gt;$AG15</formula>
    </cfRule>
  </conditionalFormatting>
  <conditionalFormatting sqref="L32:M32">
    <cfRule type="expression" dxfId="10829" priority="184">
      <formula>L$9&gt;=20/24</formula>
    </cfRule>
    <cfRule type="expression" dxfId="10828" priority="185">
      <formula>AND(L$9&gt;=14/24,L$9&lt;20/24)</formula>
    </cfRule>
    <cfRule type="expression" dxfId="10827" priority="186">
      <formula>AND(L$9&gt;=8/24,L$9&lt;14/24)</formula>
    </cfRule>
    <cfRule type="expression" dxfId="10826" priority="187">
      <formula>L$9&lt;8/24</formula>
    </cfRule>
  </conditionalFormatting>
  <conditionalFormatting sqref="L32:M32">
    <cfRule type="expression" dxfId="10825" priority="183">
      <formula>L32&gt;$AG32</formula>
    </cfRule>
  </conditionalFormatting>
  <conditionalFormatting sqref="L14:M14">
    <cfRule type="expression" dxfId="10824" priority="179">
      <formula>L$9&gt;=20/24</formula>
    </cfRule>
    <cfRule type="expression" dxfId="10823" priority="180">
      <formula>AND(L$9&gt;=14/24,L$9&lt;20/24)</formula>
    </cfRule>
    <cfRule type="expression" dxfId="10822" priority="181">
      <formula>AND(L$9&gt;=8/24,L$9&lt;14/24)</formula>
    </cfRule>
    <cfRule type="expression" dxfId="10821" priority="182">
      <formula>L$9&lt;8/24</formula>
    </cfRule>
  </conditionalFormatting>
  <conditionalFormatting sqref="L14:M14">
    <cfRule type="expression" dxfId="10820" priority="178">
      <formula>L14&gt;$AG14</formula>
    </cfRule>
  </conditionalFormatting>
  <conditionalFormatting sqref="N34">
    <cfRule type="expression" dxfId="10819" priority="177">
      <formula>N34&gt;$AG34</formula>
    </cfRule>
  </conditionalFormatting>
  <conditionalFormatting sqref="N34">
    <cfRule type="expression" dxfId="10818" priority="173">
      <formula>N$9&gt;=20/24</formula>
    </cfRule>
    <cfRule type="expression" dxfId="10817" priority="174">
      <formula>AND(N$9&gt;=14/24,N$9&lt;20/24)</formula>
    </cfRule>
    <cfRule type="expression" dxfId="10816" priority="175">
      <formula>AND(N$9&gt;=8/24,N$9&lt;14/24)</formula>
    </cfRule>
    <cfRule type="expression" dxfId="10815" priority="176">
      <formula>N$9&lt;8/24</formula>
    </cfRule>
  </conditionalFormatting>
  <conditionalFormatting sqref="N17:N31">
    <cfRule type="expression" dxfId="10814" priority="169">
      <formula>N$9&gt;=20/24</formula>
    </cfRule>
    <cfRule type="expression" dxfId="10813" priority="170">
      <formula>AND(N$9&gt;=14/24,N$9&lt;20/24)</formula>
    </cfRule>
    <cfRule type="expression" dxfId="10812" priority="171">
      <formula>AND(N$9&gt;=8/24,N$9&lt;14/24)</formula>
    </cfRule>
    <cfRule type="expression" dxfId="10811" priority="172">
      <formula>N$9&lt;8/24</formula>
    </cfRule>
  </conditionalFormatting>
  <conditionalFormatting sqref="N33">
    <cfRule type="expression" dxfId="10810" priority="165">
      <formula>N$9&gt;=20/24</formula>
    </cfRule>
    <cfRule type="expression" dxfId="10809" priority="166">
      <formula>AND(N$9&gt;=14/24,N$9&lt;20/24)</formula>
    </cfRule>
    <cfRule type="expression" dxfId="10808" priority="167">
      <formula>AND(N$9&gt;=8/24,N$9&lt;14/24)</formula>
    </cfRule>
    <cfRule type="expression" dxfId="10807" priority="168">
      <formula>N$9&lt;8/24</formula>
    </cfRule>
  </conditionalFormatting>
  <conditionalFormatting sqref="N17:N31 N33">
    <cfRule type="expression" dxfId="10806" priority="164">
      <formula>N17&gt;$AG17</formula>
    </cfRule>
  </conditionalFormatting>
  <conditionalFormatting sqref="N32">
    <cfRule type="expression" dxfId="10805" priority="160">
      <formula>N$9&gt;=20/24</formula>
    </cfRule>
    <cfRule type="expression" dxfId="10804" priority="161">
      <formula>AND(N$9&gt;=14/24,N$9&lt;20/24)</formula>
    </cfRule>
    <cfRule type="expression" dxfId="10803" priority="162">
      <formula>AND(N$9&gt;=8/24,N$9&lt;14/24)</formula>
    </cfRule>
    <cfRule type="expression" dxfId="10802" priority="163">
      <formula>N$9&lt;8/24</formula>
    </cfRule>
  </conditionalFormatting>
  <conditionalFormatting sqref="N32">
    <cfRule type="expression" dxfId="10801" priority="159">
      <formula>N32&gt;$AG32</formula>
    </cfRule>
  </conditionalFormatting>
  <conditionalFormatting sqref="O35 O16">
    <cfRule type="expression" dxfId="10800" priority="155">
      <formula>O$9&gt;=20/24</formula>
    </cfRule>
    <cfRule type="expression" dxfId="10799" priority="156">
      <formula>AND(O$9&gt;=14/24,O$9&lt;20/24)</formula>
    </cfRule>
    <cfRule type="expression" dxfId="10798" priority="157">
      <formula>AND(O$9&gt;=8/24,O$9&lt;14/24)</formula>
    </cfRule>
    <cfRule type="expression" dxfId="10797" priority="158">
      <formula>O$9&lt;8/24</formula>
    </cfRule>
  </conditionalFormatting>
  <conditionalFormatting sqref="O35 O16">
    <cfRule type="expression" dxfId="10796" priority="154">
      <formula>O16&gt;$AG16</formula>
    </cfRule>
  </conditionalFormatting>
  <conditionalFormatting sqref="O34">
    <cfRule type="expression" dxfId="10795" priority="153">
      <formula>O34&gt;$AG34</formula>
    </cfRule>
  </conditionalFormatting>
  <conditionalFormatting sqref="O34">
    <cfRule type="expression" dxfId="10794" priority="149">
      <formula>O$9&gt;=20/24</formula>
    </cfRule>
    <cfRule type="expression" dxfId="10793" priority="150">
      <formula>AND(O$9&gt;=14/24,O$9&lt;20/24)</formula>
    </cfRule>
    <cfRule type="expression" dxfId="10792" priority="151">
      <formula>AND(O$9&gt;=8/24,O$9&lt;14/24)</formula>
    </cfRule>
    <cfRule type="expression" dxfId="10791" priority="152">
      <formula>O$9&lt;8/24</formula>
    </cfRule>
  </conditionalFormatting>
  <conditionalFormatting sqref="O17:O31">
    <cfRule type="expression" dxfId="10790" priority="145">
      <formula>O$9&gt;=20/24</formula>
    </cfRule>
    <cfRule type="expression" dxfId="10789" priority="146">
      <formula>AND(O$9&gt;=14/24,O$9&lt;20/24)</formula>
    </cfRule>
    <cfRule type="expression" dxfId="10788" priority="147">
      <formula>AND(O$9&gt;=8/24,O$9&lt;14/24)</formula>
    </cfRule>
    <cfRule type="expression" dxfId="10787" priority="148">
      <formula>O$9&lt;8/24</formula>
    </cfRule>
  </conditionalFormatting>
  <conditionalFormatting sqref="O33">
    <cfRule type="expression" dxfId="10786" priority="141">
      <formula>O$9&gt;=20/24</formula>
    </cfRule>
    <cfRule type="expression" dxfId="10785" priority="142">
      <formula>AND(O$9&gt;=14/24,O$9&lt;20/24)</formula>
    </cfRule>
    <cfRule type="expression" dxfId="10784" priority="143">
      <formula>AND(O$9&gt;=8/24,O$9&lt;14/24)</formula>
    </cfRule>
    <cfRule type="expression" dxfId="10783" priority="144">
      <formula>O$9&lt;8/24</formula>
    </cfRule>
  </conditionalFormatting>
  <conditionalFormatting sqref="O17:O31 O33">
    <cfRule type="expression" dxfId="10782" priority="140">
      <formula>O17&gt;$AG17</formula>
    </cfRule>
  </conditionalFormatting>
  <conditionalFormatting sqref="O32">
    <cfRule type="expression" dxfId="10781" priority="136">
      <formula>O$9&gt;=20/24</formula>
    </cfRule>
    <cfRule type="expression" dxfId="10780" priority="137">
      <formula>AND(O$9&gt;=14/24,O$9&lt;20/24)</formula>
    </cfRule>
    <cfRule type="expression" dxfId="10779" priority="138">
      <formula>AND(O$9&gt;=8/24,O$9&lt;14/24)</formula>
    </cfRule>
    <cfRule type="expression" dxfId="10778" priority="139">
      <formula>O$9&lt;8/24</formula>
    </cfRule>
  </conditionalFormatting>
  <conditionalFormatting sqref="O32">
    <cfRule type="expression" dxfId="10777" priority="135">
      <formula>O32&gt;$AG32</formula>
    </cfRule>
  </conditionalFormatting>
  <conditionalFormatting sqref="P16">
    <cfRule type="expression" dxfId="10776" priority="131">
      <formula>P$9&gt;=20/24</formula>
    </cfRule>
    <cfRule type="expression" dxfId="10775" priority="132">
      <formula>AND(P$9&gt;=14/24,P$9&lt;20/24)</formula>
    </cfRule>
    <cfRule type="expression" dxfId="10774" priority="133">
      <formula>AND(P$9&gt;=8/24,P$9&lt;14/24)</formula>
    </cfRule>
    <cfRule type="expression" dxfId="10773" priority="134">
      <formula>P$9&lt;8/24</formula>
    </cfRule>
  </conditionalFormatting>
  <conditionalFormatting sqref="P16">
    <cfRule type="expression" dxfId="10772" priority="130">
      <formula>P16&gt;$AG16</formula>
    </cfRule>
  </conditionalFormatting>
  <conditionalFormatting sqref="P34">
    <cfRule type="expression" dxfId="10771" priority="129">
      <formula>P34&gt;$AG34</formula>
    </cfRule>
  </conditionalFormatting>
  <conditionalFormatting sqref="P34">
    <cfRule type="expression" dxfId="10770" priority="125">
      <formula>P$9&gt;=20/24</formula>
    </cfRule>
    <cfRule type="expression" dxfId="10769" priority="126">
      <formula>AND(P$9&gt;=14/24,P$9&lt;20/24)</formula>
    </cfRule>
    <cfRule type="expression" dxfId="10768" priority="127">
      <formula>AND(P$9&gt;=8/24,P$9&lt;14/24)</formula>
    </cfRule>
    <cfRule type="expression" dxfId="10767" priority="128">
      <formula>P$9&lt;8/24</formula>
    </cfRule>
  </conditionalFormatting>
  <conditionalFormatting sqref="P17:P31">
    <cfRule type="expression" dxfId="10766" priority="121">
      <formula>P$9&gt;=20/24</formula>
    </cfRule>
    <cfRule type="expression" dxfId="10765" priority="122">
      <formula>AND(P$9&gt;=14/24,P$9&lt;20/24)</formula>
    </cfRule>
    <cfRule type="expression" dxfId="10764" priority="123">
      <formula>AND(P$9&gt;=8/24,P$9&lt;14/24)</formula>
    </cfRule>
    <cfRule type="expression" dxfId="10763" priority="124">
      <formula>P$9&lt;8/24</formula>
    </cfRule>
  </conditionalFormatting>
  <conditionalFormatting sqref="P33">
    <cfRule type="expression" dxfId="10762" priority="117">
      <formula>P$9&gt;=20/24</formula>
    </cfRule>
    <cfRule type="expression" dxfId="10761" priority="118">
      <formula>AND(P$9&gt;=14/24,P$9&lt;20/24)</formula>
    </cfRule>
    <cfRule type="expression" dxfId="10760" priority="119">
      <formula>AND(P$9&gt;=8/24,P$9&lt;14/24)</formula>
    </cfRule>
    <cfRule type="expression" dxfId="10759" priority="120">
      <formula>P$9&lt;8/24</formula>
    </cfRule>
  </conditionalFormatting>
  <conditionalFormatting sqref="P17:P31 P33">
    <cfRule type="expression" dxfId="10758" priority="116">
      <formula>P17&gt;$AG17</formula>
    </cfRule>
  </conditionalFormatting>
  <conditionalFormatting sqref="P32">
    <cfRule type="expression" dxfId="10757" priority="112">
      <formula>P$9&gt;=20/24</formula>
    </cfRule>
    <cfRule type="expression" dxfId="10756" priority="113">
      <formula>AND(P$9&gt;=14/24,P$9&lt;20/24)</formula>
    </cfRule>
    <cfRule type="expression" dxfId="10755" priority="114">
      <formula>AND(P$9&gt;=8/24,P$9&lt;14/24)</formula>
    </cfRule>
    <cfRule type="expression" dxfId="10754" priority="115">
      <formula>P$9&lt;8/24</formula>
    </cfRule>
  </conditionalFormatting>
  <conditionalFormatting sqref="P32">
    <cfRule type="expression" dxfId="10753" priority="111">
      <formula>P32&gt;$AG32</formula>
    </cfRule>
  </conditionalFormatting>
  <conditionalFormatting sqref="Q15 Q13">
    <cfRule type="expression" dxfId="10752" priority="107">
      <formula>Q$9&gt;=20/24</formula>
    </cfRule>
    <cfRule type="expression" dxfId="10751" priority="108">
      <formula>AND(Q$9&gt;=14/24,Q$9&lt;20/24)</formula>
    </cfRule>
    <cfRule type="expression" dxfId="10750" priority="109">
      <formula>AND(Q$9&gt;=8/24,Q$9&lt;14/24)</formula>
    </cfRule>
    <cfRule type="expression" dxfId="10749" priority="110">
      <formula>Q$9&lt;8/24</formula>
    </cfRule>
  </conditionalFormatting>
  <conditionalFormatting sqref="Q15 Q13">
    <cfRule type="expression" dxfId="10748" priority="106">
      <formula>Q13&gt;$AG13</formula>
    </cfRule>
  </conditionalFormatting>
  <conditionalFormatting sqref="Q14">
    <cfRule type="expression" dxfId="10747" priority="102">
      <formula>Q$9&gt;=20/24</formula>
    </cfRule>
    <cfRule type="expression" dxfId="10746" priority="103">
      <formula>AND(Q$9&gt;=14/24,Q$9&lt;20/24)</formula>
    </cfRule>
    <cfRule type="expression" dxfId="10745" priority="104">
      <formula>AND(Q$9&gt;=8/24,Q$9&lt;14/24)</formula>
    </cfRule>
    <cfRule type="expression" dxfId="10744" priority="105">
      <formula>Q$9&lt;8/24</formula>
    </cfRule>
  </conditionalFormatting>
  <conditionalFormatting sqref="Q14">
    <cfRule type="expression" dxfId="10743" priority="101">
      <formula>Q14&gt;$AG14</formula>
    </cfRule>
  </conditionalFormatting>
  <conditionalFormatting sqref="Q16">
    <cfRule type="expression" dxfId="10742" priority="97">
      <formula>Q$9&gt;=20/24</formula>
    </cfRule>
    <cfRule type="expression" dxfId="10741" priority="98">
      <formula>AND(Q$9&gt;=14/24,Q$9&lt;20/24)</formula>
    </cfRule>
    <cfRule type="expression" dxfId="10740" priority="99">
      <formula>AND(Q$9&gt;=8/24,Q$9&lt;14/24)</formula>
    </cfRule>
    <cfRule type="expression" dxfId="10739" priority="100">
      <formula>Q$9&lt;8/24</formula>
    </cfRule>
  </conditionalFormatting>
  <conditionalFormatting sqref="Q16">
    <cfRule type="expression" dxfId="10738" priority="96">
      <formula>Q16&gt;$AG16</formula>
    </cfRule>
  </conditionalFormatting>
  <conditionalFormatting sqref="Q34">
    <cfRule type="expression" dxfId="10737" priority="95">
      <formula>Q34&gt;$AG34</formula>
    </cfRule>
  </conditionalFormatting>
  <conditionalFormatting sqref="Q34">
    <cfRule type="expression" dxfId="10736" priority="91">
      <formula>Q$9&gt;=20/24</formula>
    </cfRule>
    <cfRule type="expression" dxfId="10735" priority="92">
      <formula>AND(Q$9&gt;=14/24,Q$9&lt;20/24)</formula>
    </cfRule>
    <cfRule type="expression" dxfId="10734" priority="93">
      <formula>AND(Q$9&gt;=8/24,Q$9&lt;14/24)</formula>
    </cfRule>
    <cfRule type="expression" dxfId="10733" priority="94">
      <formula>Q$9&lt;8/24</formula>
    </cfRule>
  </conditionalFormatting>
  <conditionalFormatting sqref="Q17:Q31">
    <cfRule type="expression" dxfId="10732" priority="87">
      <formula>Q$9&gt;=20/24</formula>
    </cfRule>
    <cfRule type="expression" dxfId="10731" priority="88">
      <formula>AND(Q$9&gt;=14/24,Q$9&lt;20/24)</formula>
    </cfRule>
    <cfRule type="expression" dxfId="10730" priority="89">
      <formula>AND(Q$9&gt;=8/24,Q$9&lt;14/24)</formula>
    </cfRule>
    <cfRule type="expression" dxfId="10729" priority="90">
      <formula>Q$9&lt;8/24</formula>
    </cfRule>
  </conditionalFormatting>
  <conditionalFormatting sqref="Q33">
    <cfRule type="expression" dxfId="10728" priority="83">
      <formula>Q$9&gt;=20/24</formula>
    </cfRule>
    <cfRule type="expression" dxfId="10727" priority="84">
      <formula>AND(Q$9&gt;=14/24,Q$9&lt;20/24)</formula>
    </cfRule>
    <cfRule type="expression" dxfId="10726" priority="85">
      <formula>AND(Q$9&gt;=8/24,Q$9&lt;14/24)</formula>
    </cfRule>
    <cfRule type="expression" dxfId="10725" priority="86">
      <formula>Q$9&lt;8/24</formula>
    </cfRule>
  </conditionalFormatting>
  <conditionalFormatting sqref="Q17:Q31 Q33">
    <cfRule type="expression" dxfId="10724" priority="82">
      <formula>Q17&gt;$AG17</formula>
    </cfRule>
  </conditionalFormatting>
  <conditionalFormatting sqref="Q32">
    <cfRule type="expression" dxfId="10723" priority="78">
      <formula>Q$9&gt;=20/24</formula>
    </cfRule>
    <cfRule type="expression" dxfId="10722" priority="79">
      <formula>AND(Q$9&gt;=14/24,Q$9&lt;20/24)</formula>
    </cfRule>
    <cfRule type="expression" dxfId="10721" priority="80">
      <formula>AND(Q$9&gt;=8/24,Q$9&lt;14/24)</formula>
    </cfRule>
    <cfRule type="expression" dxfId="10720" priority="81">
      <formula>Q$9&lt;8/24</formula>
    </cfRule>
  </conditionalFormatting>
  <conditionalFormatting sqref="Q32">
    <cfRule type="expression" dxfId="10719" priority="77">
      <formula>Q32&gt;$AG32</formula>
    </cfRule>
  </conditionalFormatting>
  <conditionalFormatting sqref="Q43:Q46">
    <cfRule type="expression" dxfId="10718" priority="73">
      <formula>Q$9&gt;=20/24</formula>
    </cfRule>
    <cfRule type="expression" dxfId="10717" priority="74">
      <formula>AND(Q$9&gt;=14/24,Q$9&lt;20/24)</formula>
    </cfRule>
    <cfRule type="expression" dxfId="10716" priority="75">
      <formula>AND(Q$9&gt;=8/24,Q$9&lt;14/24)</formula>
    </cfRule>
    <cfRule type="expression" dxfId="10715" priority="76">
      <formula>Q$9&lt;8/24</formula>
    </cfRule>
  </conditionalFormatting>
  <conditionalFormatting sqref="Q47">
    <cfRule type="expression" dxfId="10714" priority="69">
      <formula>Q$9&gt;=20/24</formula>
    </cfRule>
    <cfRule type="expression" dxfId="10713" priority="70">
      <formula>AND(Q$9&gt;=14/24,Q$9&lt;20/24)</formula>
    </cfRule>
    <cfRule type="expression" dxfId="10712" priority="71">
      <formula>AND(Q$9&gt;=8/24,Q$9&lt;14/24)</formula>
    </cfRule>
    <cfRule type="expression" dxfId="10711" priority="72">
      <formula>Q$9&lt;8/24</formula>
    </cfRule>
  </conditionalFormatting>
  <conditionalFormatting sqref="Q48">
    <cfRule type="expression" dxfId="10710" priority="65">
      <formula>Q$9&gt;=20/24</formula>
    </cfRule>
    <cfRule type="expression" dxfId="10709" priority="66">
      <formula>AND(Q$9&gt;=14/24,Q$9&lt;20/24)</formula>
    </cfRule>
    <cfRule type="expression" dxfId="10708" priority="67">
      <formula>AND(Q$9&gt;=8/24,Q$9&lt;14/24)</formula>
    </cfRule>
    <cfRule type="expression" dxfId="10707" priority="68">
      <formula>Q$9&lt;8/24</formula>
    </cfRule>
  </conditionalFormatting>
  <conditionalFormatting sqref="Q43:Q46">
    <cfRule type="expression" dxfId="10706" priority="61">
      <formula>Q$9&gt;=20/24</formula>
    </cfRule>
    <cfRule type="expression" dxfId="10705" priority="62">
      <formula>AND(Q$9&gt;=14/24,Q$9&lt;20/24)</formula>
    </cfRule>
    <cfRule type="expression" dxfId="10704" priority="63">
      <formula>AND(Q$9&gt;=8/24,Q$9&lt;14/24)</formula>
    </cfRule>
    <cfRule type="expression" dxfId="10703" priority="64">
      <formula>Q$9&lt;8/24</formula>
    </cfRule>
  </conditionalFormatting>
  <conditionalFormatting sqref="Q43:Q48">
    <cfRule type="expression" dxfId="10702" priority="60">
      <formula>Q43&gt;$AG43</formula>
    </cfRule>
  </conditionalFormatting>
  <conditionalFormatting sqref="Q42">
    <cfRule type="expression" dxfId="10701" priority="56">
      <formula>Q$9&gt;=20/24</formula>
    </cfRule>
    <cfRule type="expression" dxfId="10700" priority="57">
      <formula>AND(Q$9&gt;=14/24,Q$9&lt;20/24)</formula>
    </cfRule>
    <cfRule type="expression" dxfId="10699" priority="58">
      <formula>AND(Q$9&gt;=8/24,Q$9&lt;14/24)</formula>
    </cfRule>
    <cfRule type="expression" dxfId="10698" priority="59">
      <formula>Q$9&lt;8/24</formula>
    </cfRule>
  </conditionalFormatting>
  <conditionalFormatting sqref="Q42">
    <cfRule type="expression" dxfId="10697" priority="55">
      <formula>Q42&gt;$AG42</formula>
    </cfRule>
  </conditionalFormatting>
  <conditionalFormatting sqref="R15:T15 R13:T13">
    <cfRule type="expression" dxfId="10696" priority="51">
      <formula>R$9&gt;=20/24</formula>
    </cfRule>
    <cfRule type="expression" dxfId="10695" priority="52">
      <formula>AND(R$9&gt;=14/24,R$9&lt;20/24)</formula>
    </cfRule>
    <cfRule type="expression" dxfId="10694" priority="53">
      <formula>AND(R$9&gt;=8/24,R$9&lt;14/24)</formula>
    </cfRule>
    <cfRule type="expression" dxfId="10693" priority="54">
      <formula>R$9&lt;8/24</formula>
    </cfRule>
  </conditionalFormatting>
  <conditionalFormatting sqref="R15:T15 R13:T13">
    <cfRule type="expression" dxfId="10692" priority="50">
      <formula>R13&gt;$AG13</formula>
    </cfRule>
  </conditionalFormatting>
  <conditionalFormatting sqref="R14:T14">
    <cfRule type="expression" dxfId="10691" priority="46">
      <formula>R$9&gt;=20/24</formula>
    </cfRule>
    <cfRule type="expression" dxfId="10690" priority="47">
      <formula>AND(R$9&gt;=14/24,R$9&lt;20/24)</formula>
    </cfRule>
    <cfRule type="expression" dxfId="10689" priority="48">
      <formula>AND(R$9&gt;=8/24,R$9&lt;14/24)</formula>
    </cfRule>
    <cfRule type="expression" dxfId="10688" priority="49">
      <formula>R$9&lt;8/24</formula>
    </cfRule>
  </conditionalFormatting>
  <conditionalFormatting sqref="R14:T14">
    <cfRule type="expression" dxfId="10687" priority="45">
      <formula>R14&gt;$AG14</formula>
    </cfRule>
  </conditionalFormatting>
  <conditionalFormatting sqref="R16:T16">
    <cfRule type="expression" dxfId="10686" priority="41">
      <formula>R$9&gt;=20/24</formula>
    </cfRule>
    <cfRule type="expression" dxfId="10685" priority="42">
      <formula>AND(R$9&gt;=14/24,R$9&lt;20/24)</formula>
    </cfRule>
    <cfRule type="expression" dxfId="10684" priority="43">
      <formula>AND(R$9&gt;=8/24,R$9&lt;14/24)</formula>
    </cfRule>
    <cfRule type="expression" dxfId="10683" priority="44">
      <formula>R$9&lt;8/24</formula>
    </cfRule>
  </conditionalFormatting>
  <conditionalFormatting sqref="R16:T16">
    <cfRule type="expression" dxfId="10682" priority="40">
      <formula>R16&gt;$AG16</formula>
    </cfRule>
  </conditionalFormatting>
  <conditionalFormatting sqref="R34:V34">
    <cfRule type="expression" dxfId="10681" priority="39">
      <formula>R34&gt;$AG34</formula>
    </cfRule>
  </conditionalFormatting>
  <conditionalFormatting sqref="R34:V34">
    <cfRule type="expression" dxfId="10680" priority="35">
      <formula>R$9&gt;=20/24</formula>
    </cfRule>
    <cfRule type="expression" dxfId="10679" priority="36">
      <formula>AND(R$9&gt;=14/24,R$9&lt;20/24)</formula>
    </cfRule>
    <cfRule type="expression" dxfId="10678" priority="37">
      <formula>AND(R$9&gt;=8/24,R$9&lt;14/24)</formula>
    </cfRule>
    <cfRule type="expression" dxfId="10677" priority="38">
      <formula>R$9&lt;8/24</formula>
    </cfRule>
  </conditionalFormatting>
  <conditionalFormatting sqref="R17:S31 T17:V28 T30:V31">
    <cfRule type="expression" dxfId="10676" priority="31">
      <formula>R$9&gt;=20/24</formula>
    </cfRule>
    <cfRule type="expression" dxfId="10675" priority="32">
      <formula>AND(R$9&gt;=14/24,R$9&lt;20/24)</formula>
    </cfRule>
    <cfRule type="expression" dxfId="10674" priority="33">
      <formula>AND(R$9&gt;=8/24,R$9&lt;14/24)</formula>
    </cfRule>
    <cfRule type="expression" dxfId="10673" priority="34">
      <formula>R$9&lt;8/24</formula>
    </cfRule>
  </conditionalFormatting>
  <conditionalFormatting sqref="R33:V33">
    <cfRule type="expression" dxfId="10672" priority="27">
      <formula>R$9&gt;=20/24</formula>
    </cfRule>
    <cfRule type="expression" dxfId="10671" priority="28">
      <formula>AND(R$9&gt;=14/24,R$9&lt;20/24)</formula>
    </cfRule>
    <cfRule type="expression" dxfId="10670" priority="29">
      <formula>AND(R$9&gt;=8/24,R$9&lt;14/24)</formula>
    </cfRule>
    <cfRule type="expression" dxfId="10669" priority="30">
      <formula>R$9&lt;8/24</formula>
    </cfRule>
  </conditionalFormatting>
  <conditionalFormatting sqref="R17:S31 T17:V28 T30:V31 R33:V33">
    <cfRule type="expression" dxfId="10668" priority="26">
      <formula>R17&gt;$AG17</formula>
    </cfRule>
  </conditionalFormatting>
  <conditionalFormatting sqref="R32:V32">
    <cfRule type="expression" dxfId="10667" priority="22">
      <formula>R$9&gt;=20/24</formula>
    </cfRule>
    <cfRule type="expression" dxfId="10666" priority="23">
      <formula>AND(R$9&gt;=14/24,R$9&lt;20/24)</formula>
    </cfRule>
    <cfRule type="expression" dxfId="10665" priority="24">
      <formula>AND(R$9&gt;=8/24,R$9&lt;14/24)</formula>
    </cfRule>
    <cfRule type="expression" dxfId="10664" priority="25">
      <formula>R$9&lt;8/24</formula>
    </cfRule>
  </conditionalFormatting>
  <conditionalFormatting sqref="R32:V32">
    <cfRule type="expression" dxfId="10663" priority="21">
      <formula>R32&gt;$AG32</formula>
    </cfRule>
  </conditionalFormatting>
  <conditionalFormatting sqref="R44:V46">
    <cfRule type="expression" dxfId="10662" priority="17">
      <formula>R$9&gt;=20/24</formula>
    </cfRule>
    <cfRule type="expression" dxfId="10661" priority="18">
      <formula>AND(R$9&gt;=14/24,R$9&lt;20/24)</formula>
    </cfRule>
    <cfRule type="expression" dxfId="10660" priority="19">
      <formula>AND(R$9&gt;=8/24,R$9&lt;14/24)</formula>
    </cfRule>
    <cfRule type="expression" dxfId="10659" priority="20">
      <formula>R$9&lt;8/24</formula>
    </cfRule>
  </conditionalFormatting>
  <conditionalFormatting sqref="R47:V47">
    <cfRule type="expression" dxfId="10658" priority="13">
      <formula>R$9&gt;=20/24</formula>
    </cfRule>
    <cfRule type="expression" dxfId="10657" priority="14">
      <formula>AND(R$9&gt;=14/24,R$9&lt;20/24)</formula>
    </cfRule>
    <cfRule type="expression" dxfId="10656" priority="15">
      <formula>AND(R$9&gt;=8/24,R$9&lt;14/24)</formula>
    </cfRule>
    <cfRule type="expression" dxfId="10655" priority="16">
      <formula>R$9&lt;8/24</formula>
    </cfRule>
  </conditionalFormatting>
  <conditionalFormatting sqref="R48:V48">
    <cfRule type="expression" dxfId="10654" priority="9">
      <formula>R$9&gt;=20/24</formula>
    </cfRule>
    <cfRule type="expression" dxfId="10653" priority="10">
      <formula>AND(R$9&gt;=14/24,R$9&lt;20/24)</formula>
    </cfRule>
    <cfRule type="expression" dxfId="10652" priority="11">
      <formula>AND(R$9&gt;=8/24,R$9&lt;14/24)</formula>
    </cfRule>
    <cfRule type="expression" dxfId="10651" priority="12">
      <formula>R$9&lt;8/24</formula>
    </cfRule>
  </conditionalFormatting>
  <conditionalFormatting sqref="R44:V46">
    <cfRule type="expression" dxfId="10650" priority="5">
      <formula>R$9&gt;=20/24</formula>
    </cfRule>
    <cfRule type="expression" dxfId="10649" priority="6">
      <formula>AND(R$9&gt;=14/24,R$9&lt;20/24)</formula>
    </cfRule>
    <cfRule type="expression" dxfId="10648" priority="7">
      <formula>AND(R$9&gt;=8/24,R$9&lt;14/24)</formula>
    </cfRule>
    <cfRule type="expression" dxfId="10647" priority="8">
      <formula>R$9&lt;8/24</formula>
    </cfRule>
  </conditionalFormatting>
  <conditionalFormatting sqref="R44:V48">
    <cfRule type="expression" dxfId="10646" priority="4">
      <formula>R44&gt;$AG44</formula>
    </cfRule>
  </conditionalFormatting>
  <conditionalFormatting sqref="X51:X53">
    <cfRule type="expression" dxfId="10645" priority="3">
      <formula>X$9="PEAK"</formula>
    </cfRule>
  </conditionalFormatting>
  <conditionalFormatting sqref="X55">
    <cfRule type="expression" dxfId="10644" priority="2">
      <formula>X$9="PEAK"</formula>
    </cfRule>
  </conditionalFormatting>
  <conditionalFormatting sqref="X56:X65">
    <cfRule type="expression" dxfId="10643" priority="1">
      <formula>X$9="PEAK"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I25" sqref="I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7" max="37" width="10.5703125" customWidth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218</v>
      </c>
      <c r="AL2" s="3">
        <f>AK11</f>
        <v>6749.5741935483875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219</v>
      </c>
      <c r="AL3" s="3">
        <f>AK12+AK14</f>
        <v>430.14193548387078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220</v>
      </c>
      <c r="AL4" s="30">
        <f>AK50</f>
        <v>2735.8916129032232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-173</v>
      </c>
      <c r="C5" s="32">
        <f t="shared" ref="C5:AF5" si="0">C66</f>
        <v>-149</v>
      </c>
      <c r="D5" s="32">
        <f t="shared" si="0"/>
        <v>-80</v>
      </c>
      <c r="E5" s="32">
        <f t="shared" si="0"/>
        <v>-94</v>
      </c>
      <c r="F5" s="32">
        <f t="shared" si="0"/>
        <v>-74.400000000000006</v>
      </c>
      <c r="G5" s="32">
        <f t="shared" si="0"/>
        <v>-95</v>
      </c>
      <c r="H5" s="32">
        <f t="shared" si="0"/>
        <v>-99</v>
      </c>
      <c r="I5" s="32">
        <f t="shared" si="0"/>
        <v>-70</v>
      </c>
      <c r="J5" s="32">
        <f t="shared" si="0"/>
        <v>-63</v>
      </c>
      <c r="K5" s="32">
        <f t="shared" si="0"/>
        <v>-22.6</v>
      </c>
      <c r="L5" s="32">
        <f t="shared" si="0"/>
        <v>-28</v>
      </c>
      <c r="M5" s="32">
        <f t="shared" si="0"/>
        <v>-33.6</v>
      </c>
      <c r="N5" s="32">
        <f t="shared" si="0"/>
        <v>-57</v>
      </c>
      <c r="O5" s="32">
        <f t="shared" si="0"/>
        <v>-50</v>
      </c>
      <c r="P5" s="32">
        <f t="shared" si="0"/>
        <v>-68</v>
      </c>
      <c r="Q5" s="32">
        <f t="shared" si="0"/>
        <v>-47.7</v>
      </c>
      <c r="R5" s="32">
        <f t="shared" si="0"/>
        <v>-45</v>
      </c>
      <c r="S5" s="32">
        <f t="shared" si="0"/>
        <v>-40</v>
      </c>
      <c r="T5" s="32">
        <f t="shared" si="0"/>
        <v>-44</v>
      </c>
      <c r="U5" s="32">
        <f t="shared" si="0"/>
        <v>-78.400000000000006</v>
      </c>
      <c r="V5" s="32">
        <f t="shared" si="0"/>
        <v>-54.1</v>
      </c>
      <c r="W5" s="32">
        <f t="shared" si="0"/>
        <v>6.4000000000000057</v>
      </c>
      <c r="X5" s="32">
        <f t="shared" si="0"/>
        <v>-17.600000000000001</v>
      </c>
      <c r="Y5" s="32">
        <f t="shared" si="0"/>
        <v>-48.1</v>
      </c>
      <c r="Z5" s="32">
        <f t="shared" si="0"/>
        <v>-8</v>
      </c>
      <c r="AA5" s="32">
        <f t="shared" si="0"/>
        <v>-53.3</v>
      </c>
      <c r="AB5" s="32">
        <f t="shared" si="0"/>
        <v>-17.3</v>
      </c>
      <c r="AC5" s="32">
        <f t="shared" si="0"/>
        <v>-66.099999999999994</v>
      </c>
      <c r="AD5" s="32">
        <f t="shared" si="0"/>
        <v>-67.7</v>
      </c>
      <c r="AE5" s="32">
        <f t="shared" si="0"/>
        <v>-52</v>
      </c>
      <c r="AF5" s="32">
        <f t="shared" si="0"/>
        <v>-56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969MW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>
        <f>SUM(AL2:AL4)</f>
        <v>9915.6077419354806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Load=387</v>
      </c>
      <c r="B7" s="37">
        <f t="shared" ref="B7:AF7" si="1">B73</f>
        <v>386.93999999999994</v>
      </c>
      <c r="C7" s="37">
        <f t="shared" si="1"/>
        <v>760.93999999999994</v>
      </c>
      <c r="D7" s="37">
        <f t="shared" si="1"/>
        <v>786.54</v>
      </c>
      <c r="E7" s="37">
        <f t="shared" si="1"/>
        <v>793.64</v>
      </c>
      <c r="F7" s="37">
        <f t="shared" si="1"/>
        <v>806.04</v>
      </c>
      <c r="G7" s="37">
        <f t="shared" si="1"/>
        <v>786.14</v>
      </c>
      <c r="H7" s="37">
        <f t="shared" si="1"/>
        <v>812.54</v>
      </c>
      <c r="I7" s="37">
        <f t="shared" si="1"/>
        <v>856.64</v>
      </c>
      <c r="J7" s="37">
        <f t="shared" si="1"/>
        <v>870.64</v>
      </c>
      <c r="K7" s="37">
        <f t="shared" si="1"/>
        <v>902.64</v>
      </c>
      <c r="L7" s="37">
        <f>L73</f>
        <v>926.54</v>
      </c>
      <c r="M7" s="37">
        <f t="shared" si="1"/>
        <v>968.84</v>
      </c>
      <c r="N7" s="37">
        <f t="shared" si="1"/>
        <v>937.34000000000015</v>
      </c>
      <c r="O7" s="37">
        <f t="shared" si="1"/>
        <v>926.24000000000012</v>
      </c>
      <c r="P7" s="37">
        <f t="shared" si="1"/>
        <v>892.44</v>
      </c>
      <c r="Q7" s="37">
        <f t="shared" si="1"/>
        <v>934.43999999999994</v>
      </c>
      <c r="R7" s="37">
        <f t="shared" si="1"/>
        <v>932.63999999999987</v>
      </c>
      <c r="S7" s="37">
        <f t="shared" si="1"/>
        <v>997.63999999999987</v>
      </c>
      <c r="T7" s="37">
        <f t="shared" si="1"/>
        <v>969.24</v>
      </c>
      <c r="U7" s="37">
        <f t="shared" si="1"/>
        <v>1024.6399999999999</v>
      </c>
      <c r="V7" s="37">
        <f t="shared" si="1"/>
        <v>1067.7400000000002</v>
      </c>
      <c r="W7" s="37">
        <f t="shared" si="1"/>
        <v>1189.74</v>
      </c>
      <c r="X7" s="37">
        <f t="shared" si="1"/>
        <v>1179.24</v>
      </c>
      <c r="Y7" s="37">
        <f t="shared" si="1"/>
        <v>1094.8400000000001</v>
      </c>
      <c r="Z7" s="37">
        <f t="shared" si="1"/>
        <v>1117.74</v>
      </c>
      <c r="AA7" s="37">
        <f t="shared" si="1"/>
        <v>1079.6399999999999</v>
      </c>
      <c r="AB7" s="37">
        <f t="shared" si="1"/>
        <v>1080.2399999999998</v>
      </c>
      <c r="AC7" s="37">
        <f t="shared" si="1"/>
        <v>831.74</v>
      </c>
      <c r="AD7" s="37">
        <f t="shared" si="1"/>
        <v>764.54</v>
      </c>
      <c r="AE7" s="37">
        <f t="shared" si="1"/>
        <v>754.1400000000001</v>
      </c>
      <c r="AF7" s="37">
        <f t="shared" si="1"/>
        <v>687.64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120</v>
      </c>
      <c r="C11" s="49">
        <v>120</v>
      </c>
      <c r="D11" s="49">
        <v>100</v>
      </c>
      <c r="E11" s="49">
        <v>108</v>
      </c>
      <c r="F11" s="49">
        <v>105.2</v>
      </c>
      <c r="G11" s="49">
        <v>105.2</v>
      </c>
      <c r="H11" s="49">
        <v>105.2</v>
      </c>
      <c r="I11" s="49">
        <v>105.2</v>
      </c>
      <c r="J11" s="49">
        <v>98</v>
      </c>
      <c r="K11" s="49">
        <v>55</v>
      </c>
      <c r="L11" s="50">
        <v>60</v>
      </c>
      <c r="M11" s="50">
        <v>60</v>
      </c>
      <c r="N11" s="50">
        <v>65</v>
      </c>
      <c r="O11" s="50">
        <v>70</v>
      </c>
      <c r="P11" s="50">
        <v>70</v>
      </c>
      <c r="Q11" s="51">
        <v>70</v>
      </c>
      <c r="R11" s="51">
        <v>70</v>
      </c>
      <c r="S11" s="52">
        <v>130</v>
      </c>
      <c r="T11" s="52">
        <v>125</v>
      </c>
      <c r="U11" s="52">
        <v>190</v>
      </c>
      <c r="V11" s="52">
        <v>190</v>
      </c>
      <c r="W11" s="52">
        <v>200</v>
      </c>
      <c r="X11" s="52">
        <v>200</v>
      </c>
      <c r="Y11" s="53">
        <v>180</v>
      </c>
      <c r="Z11" s="53">
        <v>180</v>
      </c>
      <c r="AA11" s="54">
        <v>190</v>
      </c>
      <c r="AB11" s="54">
        <v>180</v>
      </c>
      <c r="AC11" s="54">
        <v>140</v>
      </c>
      <c r="AD11" s="54">
        <v>100</v>
      </c>
      <c r="AE11" s="49">
        <v>100</v>
      </c>
      <c r="AF11" s="49">
        <v>90</v>
      </c>
      <c r="AG11" s="55">
        <v>456</v>
      </c>
      <c r="AH11" s="56">
        <f>MAX(B11:AF11)</f>
        <v>200</v>
      </c>
      <c r="AI11" s="57">
        <f>MIN(B11:AF11)</f>
        <v>55</v>
      </c>
      <c r="AJ11" s="1">
        <f>AVERAGE(B11:AF11)</f>
        <v>118.76774193548388</v>
      </c>
      <c r="AK11" s="58">
        <f>(400-AJ11)*24</f>
        <v>6749.5741935483875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50</v>
      </c>
      <c r="C12" s="49">
        <v>50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60">
        <v>40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49">
        <v>50</v>
      </c>
      <c r="AF12" s="49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1">
        <f>AVERAGE(B12:AF12)</f>
        <v>46.451612903225808</v>
      </c>
      <c r="AK12" s="58">
        <f>(60-AJ12)*24</f>
        <v>325.16129032258061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0</v>
      </c>
      <c r="C13" s="49">
        <v>25</v>
      </c>
      <c r="D13" s="49">
        <v>25</v>
      </c>
      <c r="E13" s="49">
        <v>25</v>
      </c>
      <c r="F13" s="49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50">
        <v>25</v>
      </c>
      <c r="U13" s="50">
        <v>25</v>
      </c>
      <c r="V13" s="62">
        <v>25</v>
      </c>
      <c r="W13" s="62">
        <v>25</v>
      </c>
      <c r="X13" s="62">
        <v>25</v>
      </c>
      <c r="Y13" s="62">
        <v>25</v>
      </c>
      <c r="Z13" s="62">
        <v>25</v>
      </c>
      <c r="AA13" s="62">
        <v>25.2</v>
      </c>
      <c r="AB13" s="62">
        <v>25.2</v>
      </c>
      <c r="AC13" s="62">
        <v>25.2</v>
      </c>
      <c r="AD13" s="62">
        <v>25.2</v>
      </c>
      <c r="AE13" s="49">
        <v>25</v>
      </c>
      <c r="AF13" s="49">
        <v>25</v>
      </c>
      <c r="AG13" s="61">
        <v>52.4</v>
      </c>
      <c r="AH13" s="56">
        <f t="shared" si="2"/>
        <v>25.2</v>
      </c>
      <c r="AI13" s="57">
        <f t="shared" si="3"/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37.6</v>
      </c>
      <c r="C14" s="63">
        <v>37.6</v>
      </c>
      <c r="D14" s="63">
        <v>37.6</v>
      </c>
      <c r="E14" s="63">
        <v>37.6</v>
      </c>
      <c r="F14" s="63">
        <v>37.6</v>
      </c>
      <c r="G14" s="63">
        <v>37.6</v>
      </c>
      <c r="H14" s="63">
        <v>37.6</v>
      </c>
      <c r="I14" s="63">
        <v>37.6</v>
      </c>
      <c r="J14" s="63">
        <v>37.6</v>
      </c>
      <c r="K14" s="63">
        <v>45.7</v>
      </c>
      <c r="L14" s="50">
        <v>46.2</v>
      </c>
      <c r="M14" s="50">
        <v>37.1</v>
      </c>
      <c r="N14" s="50">
        <v>37.1</v>
      </c>
      <c r="O14" s="50">
        <v>37.1</v>
      </c>
      <c r="P14" s="50">
        <v>37.1</v>
      </c>
      <c r="Q14" s="50">
        <v>46</v>
      </c>
      <c r="R14" s="50">
        <v>41.5</v>
      </c>
      <c r="S14" s="50">
        <v>41.5</v>
      </c>
      <c r="T14" s="50">
        <v>41.5</v>
      </c>
      <c r="U14" s="50">
        <v>41.5</v>
      </c>
      <c r="V14" s="62">
        <v>41.5</v>
      </c>
      <c r="W14" s="62">
        <v>41.5</v>
      </c>
      <c r="X14" s="62">
        <v>41.5</v>
      </c>
      <c r="Y14" s="62">
        <v>41.5</v>
      </c>
      <c r="Z14" s="62">
        <v>41.5</v>
      </c>
      <c r="AA14" s="62">
        <v>46</v>
      </c>
      <c r="AB14" s="62">
        <v>46</v>
      </c>
      <c r="AC14" s="62">
        <v>46</v>
      </c>
      <c r="AD14" s="62">
        <v>41.2</v>
      </c>
      <c r="AE14" s="63">
        <v>41</v>
      </c>
      <c r="AF14" s="63">
        <v>41</v>
      </c>
      <c r="AG14" s="64">
        <v>45</v>
      </c>
      <c r="AH14" s="56">
        <f t="shared" si="2"/>
        <v>46.2</v>
      </c>
      <c r="AI14" s="57">
        <f t="shared" si="3"/>
        <v>37.1</v>
      </c>
      <c r="AJ14" s="1">
        <f>AVERAGE(B14:AF14)</f>
        <v>40.62580645161291</v>
      </c>
      <c r="AK14" s="58">
        <f>(45-AJ14)*24</f>
        <v>104.98064516129017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0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65">
        <v>26</v>
      </c>
      <c r="W15" s="65">
        <v>36</v>
      </c>
      <c r="X15" s="65">
        <v>36</v>
      </c>
      <c r="Y15" s="65">
        <v>36</v>
      </c>
      <c r="Z15" s="65">
        <v>36</v>
      </c>
      <c r="AA15" s="65">
        <v>36</v>
      </c>
      <c r="AB15" s="65">
        <v>26</v>
      </c>
      <c r="AC15" s="65">
        <v>26</v>
      </c>
      <c r="AD15" s="65">
        <v>26</v>
      </c>
      <c r="AE15" s="49">
        <v>26</v>
      </c>
      <c r="AF15" s="49">
        <v>26</v>
      </c>
      <c r="AG15" s="61">
        <v>45</v>
      </c>
      <c r="AH15" s="56">
        <f t="shared" si="2"/>
        <v>36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25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20</v>
      </c>
      <c r="J16" s="49">
        <v>20</v>
      </c>
      <c r="K16" s="49">
        <v>20</v>
      </c>
      <c r="L16" s="50">
        <v>20</v>
      </c>
      <c r="M16" s="50">
        <v>20</v>
      </c>
      <c r="N16" s="50">
        <v>20</v>
      </c>
      <c r="O16" s="50">
        <v>20</v>
      </c>
      <c r="P16" s="50">
        <v>20</v>
      </c>
      <c r="Q16" s="50">
        <v>20</v>
      </c>
      <c r="R16" s="50">
        <v>20</v>
      </c>
      <c r="S16" s="50">
        <v>20</v>
      </c>
      <c r="T16" s="50">
        <v>20</v>
      </c>
      <c r="U16" s="50">
        <v>20</v>
      </c>
      <c r="V16" s="62">
        <v>20</v>
      </c>
      <c r="W16" s="62">
        <v>20</v>
      </c>
      <c r="X16" s="62">
        <v>20</v>
      </c>
      <c r="Y16" s="62">
        <v>20</v>
      </c>
      <c r="Z16" s="62">
        <v>20</v>
      </c>
      <c r="AA16" s="62">
        <v>20</v>
      </c>
      <c r="AB16" s="62">
        <v>20</v>
      </c>
      <c r="AC16" s="62">
        <v>0</v>
      </c>
      <c r="AD16" s="62">
        <v>0</v>
      </c>
      <c r="AE16" s="49">
        <v>0</v>
      </c>
      <c r="AF16" s="49">
        <v>0</v>
      </c>
      <c r="AG16" s="61">
        <v>42</v>
      </c>
      <c r="AH16" s="56">
        <f t="shared" si="2"/>
        <v>25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25</v>
      </c>
      <c r="C17" s="49">
        <v>25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25</v>
      </c>
      <c r="AF17" s="49">
        <v>25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0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50">
        <v>0</v>
      </c>
      <c r="M18" s="50">
        <v>12.7</v>
      </c>
      <c r="N18" s="50">
        <v>25.4</v>
      </c>
      <c r="O18" s="50">
        <v>25.4</v>
      </c>
      <c r="P18" s="50">
        <v>25.4</v>
      </c>
      <c r="Q18" s="50">
        <v>25.4</v>
      </c>
      <c r="R18" s="50">
        <v>25.4</v>
      </c>
      <c r="S18" s="50">
        <v>25.4</v>
      </c>
      <c r="T18" s="50">
        <v>0</v>
      </c>
      <c r="U18" s="50">
        <v>25.4</v>
      </c>
      <c r="V18" s="50">
        <v>25</v>
      </c>
      <c r="W18" s="50">
        <v>25.2</v>
      </c>
      <c r="X18" s="50">
        <v>25.2</v>
      </c>
      <c r="Y18" s="50">
        <v>25.2</v>
      </c>
      <c r="Z18" s="50">
        <v>25.2</v>
      </c>
      <c r="AA18" s="50">
        <v>25.2</v>
      </c>
      <c r="AB18" s="50">
        <v>25.2</v>
      </c>
      <c r="AC18" s="50">
        <v>25.2</v>
      </c>
      <c r="AD18" s="50">
        <v>25.2</v>
      </c>
      <c r="AE18" s="49">
        <v>25</v>
      </c>
      <c r="AF18" s="49">
        <v>25</v>
      </c>
      <c r="AG18" s="61">
        <v>30</v>
      </c>
      <c r="AH18" s="56">
        <f t="shared" si="2"/>
        <v>25.4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0</v>
      </c>
      <c r="AD19" s="50">
        <v>0</v>
      </c>
      <c r="AE19" s="49">
        <v>0</v>
      </c>
      <c r="AF19" s="49">
        <v>0</v>
      </c>
      <c r="AG19" s="61">
        <v>27</v>
      </c>
      <c r="AH19" s="56">
        <f t="shared" si="2"/>
        <v>6.2</v>
      </c>
      <c r="AI19" s="57">
        <f t="shared" si="3"/>
        <v>0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0</v>
      </c>
      <c r="C21" s="49">
        <v>22</v>
      </c>
      <c r="D21" s="49">
        <v>17</v>
      </c>
      <c r="E21" s="49">
        <v>17</v>
      </c>
      <c r="F21" s="49">
        <v>17</v>
      </c>
      <c r="G21" s="49">
        <v>17</v>
      </c>
      <c r="H21" s="49">
        <v>17</v>
      </c>
      <c r="I21" s="49">
        <v>17</v>
      </c>
      <c r="J21" s="49">
        <v>17</v>
      </c>
      <c r="K21" s="49">
        <v>17</v>
      </c>
      <c r="L21" s="50">
        <v>17</v>
      </c>
      <c r="M21" s="50">
        <v>17</v>
      </c>
      <c r="N21" s="50">
        <v>17</v>
      </c>
      <c r="O21" s="50">
        <v>17</v>
      </c>
      <c r="P21" s="50">
        <v>17</v>
      </c>
      <c r="Q21" s="50">
        <v>17</v>
      </c>
      <c r="R21" s="50">
        <v>17</v>
      </c>
      <c r="S21" s="50">
        <v>17</v>
      </c>
      <c r="T21" s="50">
        <v>17</v>
      </c>
      <c r="U21" s="50">
        <v>17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49">
        <v>22</v>
      </c>
      <c r="AF21" s="49">
        <v>22</v>
      </c>
      <c r="AG21" s="61">
        <v>25</v>
      </c>
      <c r="AH21" s="56">
        <f t="shared" si="2"/>
        <v>22</v>
      </c>
      <c r="AI21" s="57">
        <f t="shared" si="3"/>
        <v>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15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14</v>
      </c>
      <c r="W22" s="50">
        <v>14</v>
      </c>
      <c r="X22" s="50">
        <v>14</v>
      </c>
      <c r="Y22" s="50">
        <v>14</v>
      </c>
      <c r="Z22" s="50">
        <v>14</v>
      </c>
      <c r="AA22" s="50">
        <v>14</v>
      </c>
      <c r="AB22" s="50">
        <v>14</v>
      </c>
      <c r="AC22" s="50">
        <v>0</v>
      </c>
      <c r="AD22" s="50">
        <v>0</v>
      </c>
      <c r="AE22" s="49">
        <v>0</v>
      </c>
      <c r="AF22" s="49">
        <v>0</v>
      </c>
      <c r="AG22" s="61">
        <v>25</v>
      </c>
      <c r="AH22" s="56">
        <f t="shared" si="2"/>
        <v>15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0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49">
        <v>22</v>
      </c>
      <c r="AF23" s="49">
        <v>22</v>
      </c>
      <c r="AG23" s="61">
        <v>25</v>
      </c>
      <c r="AH23" s="56">
        <f t="shared" si="2"/>
        <v>22</v>
      </c>
      <c r="AI23" s="57">
        <f t="shared" si="3"/>
        <v>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17</v>
      </c>
      <c r="C24" s="49">
        <v>17</v>
      </c>
      <c r="D24" s="49">
        <v>17</v>
      </c>
      <c r="E24" s="49">
        <v>17</v>
      </c>
      <c r="F24" s="49">
        <v>17</v>
      </c>
      <c r="G24" s="49">
        <v>17</v>
      </c>
      <c r="H24" s="49">
        <v>17</v>
      </c>
      <c r="I24" s="49">
        <v>17</v>
      </c>
      <c r="J24" s="49">
        <v>17</v>
      </c>
      <c r="K24" s="49">
        <v>17</v>
      </c>
      <c r="L24" s="50">
        <v>17</v>
      </c>
      <c r="M24" s="50">
        <v>17</v>
      </c>
      <c r="N24" s="50">
        <v>17</v>
      </c>
      <c r="O24" s="50">
        <v>17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49">
        <v>0</v>
      </c>
      <c r="AF24" s="49">
        <v>0</v>
      </c>
      <c r="AG24" s="61">
        <v>24.2</v>
      </c>
      <c r="AH24" s="56">
        <f t="shared" si="2"/>
        <v>17</v>
      </c>
      <c r="AI24" s="57">
        <f t="shared" si="3"/>
        <v>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49">
        <v>10</v>
      </c>
      <c r="AF25" s="49">
        <v>10</v>
      </c>
      <c r="AG25" s="61">
        <v>20</v>
      </c>
      <c r="AH25" s="56">
        <f>MAX(B25:AF25)</f>
        <v>10</v>
      </c>
      <c r="AI25" s="57">
        <f>MIN(B25:AF25)</f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0">
        <v>12</v>
      </c>
      <c r="M26" s="50">
        <v>12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4</v>
      </c>
      <c r="W26" s="50">
        <v>4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61">
        <v>23.5</v>
      </c>
      <c r="AH26" s="56">
        <f t="shared" si="2"/>
        <v>12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1">
        <v>22.2</v>
      </c>
      <c r="AH27" s="56">
        <f t="shared" si="2"/>
        <v>10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0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12</v>
      </c>
      <c r="C30" s="63">
        <v>12</v>
      </c>
      <c r="D30" s="63">
        <v>12</v>
      </c>
      <c r="E30" s="63">
        <v>12</v>
      </c>
      <c r="F30" s="63">
        <v>12</v>
      </c>
      <c r="G30" s="63">
        <v>12</v>
      </c>
      <c r="H30" s="63">
        <v>12</v>
      </c>
      <c r="I30" s="63">
        <v>12</v>
      </c>
      <c r="J30" s="63">
        <v>12</v>
      </c>
      <c r="K30" s="63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0</v>
      </c>
      <c r="AD30" s="50">
        <v>0</v>
      </c>
      <c r="AE30" s="50">
        <v>0</v>
      </c>
      <c r="AF30" s="50">
        <v>0</v>
      </c>
      <c r="AG30" s="64">
        <v>22</v>
      </c>
      <c r="AH30" s="56">
        <f t="shared" si="2"/>
        <v>12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200</v>
      </c>
      <c r="F34" s="63">
        <v>190</v>
      </c>
      <c r="G34" s="63">
        <v>190</v>
      </c>
      <c r="H34" s="63">
        <v>200</v>
      </c>
      <c r="I34" s="63">
        <v>200</v>
      </c>
      <c r="J34" s="63">
        <v>200</v>
      </c>
      <c r="K34" s="63">
        <v>200</v>
      </c>
      <c r="L34" s="63">
        <v>200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150</v>
      </c>
      <c r="AD34" s="63">
        <v>150</v>
      </c>
      <c r="AE34" s="63">
        <v>150</v>
      </c>
      <c r="AF34" s="63">
        <v>150</v>
      </c>
      <c r="AG34" s="69">
        <v>85</v>
      </c>
      <c r="AH34" s="56">
        <f t="shared" si="2"/>
        <v>200</v>
      </c>
      <c r="AI34" s="57">
        <f t="shared" si="3"/>
        <v>150</v>
      </c>
      <c r="AK34" s="58"/>
    </row>
    <row r="35" spans="1:88" ht="15.75" thickBot="1" x14ac:dyDescent="0.3">
      <c r="A35" s="71" t="s">
        <v>43</v>
      </c>
      <c r="B35" s="63">
        <v>142</v>
      </c>
      <c r="C35" s="63">
        <v>141</v>
      </c>
      <c r="D35" s="63">
        <v>141</v>
      </c>
      <c r="E35" s="63">
        <v>149</v>
      </c>
      <c r="F35" s="63">
        <v>136</v>
      </c>
      <c r="G35" s="63">
        <v>132</v>
      </c>
      <c r="H35" s="63">
        <v>144</v>
      </c>
      <c r="I35" s="63">
        <v>144</v>
      </c>
      <c r="J35" s="63">
        <v>144</v>
      </c>
      <c r="K35" s="63">
        <v>144</v>
      </c>
      <c r="L35" s="72">
        <f>67.5+79.3</f>
        <v>146.80000000000001</v>
      </c>
      <c r="M35" s="72">
        <f>62.9+75.3</f>
        <v>138.19999999999999</v>
      </c>
      <c r="N35" s="72">
        <f>60.7+77.1</f>
        <v>137.80000000000001</v>
      </c>
      <c r="O35" s="72">
        <f>60.7+77.1</f>
        <v>137.80000000000001</v>
      </c>
      <c r="P35" s="72">
        <v>142</v>
      </c>
      <c r="Q35" s="72">
        <f>58.2+58.4</f>
        <v>116.6</v>
      </c>
      <c r="R35" s="72">
        <f>58.2+58.4</f>
        <v>116.6</v>
      </c>
      <c r="S35" s="72">
        <f>58.2+58.4</f>
        <v>116.6</v>
      </c>
      <c r="T35" s="72">
        <v>68</v>
      </c>
      <c r="U35" s="72">
        <f>31.6+19.7</f>
        <v>51.3</v>
      </c>
      <c r="V35" s="72">
        <f>36.5+16</f>
        <v>52.5</v>
      </c>
      <c r="W35" s="72">
        <v>54.5</v>
      </c>
      <c r="X35" s="72">
        <f>40.8+16.8</f>
        <v>57.599999999999994</v>
      </c>
      <c r="Y35" s="72">
        <f>39.1+14.7</f>
        <v>53.8</v>
      </c>
      <c r="Z35" s="72">
        <f>33.2+14.3</f>
        <v>47.5</v>
      </c>
      <c r="AA35" s="72">
        <f>33.2+14.3</f>
        <v>47.5</v>
      </c>
      <c r="AB35" s="72">
        <f>33.2+14.3</f>
        <v>47.5</v>
      </c>
      <c r="AC35" s="72">
        <v>0</v>
      </c>
      <c r="AD35" s="72">
        <v>0</v>
      </c>
      <c r="AE35" s="63">
        <v>0</v>
      </c>
      <c r="AF35" s="63">
        <v>0</v>
      </c>
      <c r="AG35" s="69">
        <v>240</v>
      </c>
      <c r="AH35" s="56">
        <f t="shared" si="2"/>
        <v>149</v>
      </c>
      <c r="AI35" s="57">
        <f t="shared" si="3"/>
        <v>0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540.79999999999995</v>
      </c>
      <c r="C36" s="74">
        <f t="shared" si="4"/>
        <v>652.79999999999995</v>
      </c>
      <c r="D36" s="74">
        <f t="shared" si="4"/>
        <v>612.79999999999995</v>
      </c>
      <c r="E36" s="74">
        <f t="shared" si="4"/>
        <v>620.79999999999995</v>
      </c>
      <c r="F36" s="74">
        <f t="shared" si="4"/>
        <v>608</v>
      </c>
      <c r="G36" s="74">
        <f t="shared" si="4"/>
        <v>608</v>
      </c>
      <c r="H36" s="74">
        <f t="shared" si="4"/>
        <v>618</v>
      </c>
      <c r="I36" s="74">
        <f t="shared" si="4"/>
        <v>618</v>
      </c>
      <c r="J36" s="74">
        <f t="shared" si="4"/>
        <v>600.79999999999995</v>
      </c>
      <c r="K36" s="74">
        <f t="shared" si="4"/>
        <v>570.9</v>
      </c>
      <c r="L36" s="74">
        <f t="shared" si="4"/>
        <v>576.4</v>
      </c>
      <c r="M36" s="74">
        <f t="shared" si="4"/>
        <v>580</v>
      </c>
      <c r="N36" s="74">
        <f t="shared" si="4"/>
        <v>585.70000000000005</v>
      </c>
      <c r="O36" s="74">
        <f t="shared" si="4"/>
        <v>590.70000000000005</v>
      </c>
      <c r="P36" s="74">
        <f t="shared" si="4"/>
        <v>573.70000000000005</v>
      </c>
      <c r="Q36" s="74">
        <f t="shared" si="4"/>
        <v>582.59999999999991</v>
      </c>
      <c r="R36" s="74">
        <f t="shared" si="4"/>
        <v>578.09999999999991</v>
      </c>
      <c r="S36" s="74">
        <f t="shared" si="4"/>
        <v>638.09999999999991</v>
      </c>
      <c r="T36" s="74">
        <f t="shared" si="4"/>
        <v>607.70000000000005</v>
      </c>
      <c r="U36" s="74">
        <f t="shared" si="4"/>
        <v>698.09999999999991</v>
      </c>
      <c r="V36" s="74">
        <f t="shared" si="4"/>
        <v>705.7</v>
      </c>
      <c r="W36" s="74">
        <f t="shared" si="4"/>
        <v>745.9</v>
      </c>
      <c r="X36" s="74">
        <f t="shared" si="4"/>
        <v>741.9</v>
      </c>
      <c r="Y36" s="74">
        <f t="shared" si="4"/>
        <v>721.9</v>
      </c>
      <c r="Z36" s="74">
        <f t="shared" si="4"/>
        <v>721.9</v>
      </c>
      <c r="AA36" s="74">
        <f t="shared" si="4"/>
        <v>736.59999999999991</v>
      </c>
      <c r="AB36" s="74">
        <f t="shared" si="4"/>
        <v>716.59999999999991</v>
      </c>
      <c r="AC36" s="74">
        <f t="shared" si="4"/>
        <v>574.4</v>
      </c>
      <c r="AD36" s="74">
        <f t="shared" si="4"/>
        <v>529.59999999999991</v>
      </c>
      <c r="AE36" s="74">
        <f t="shared" si="4"/>
        <v>519</v>
      </c>
      <c r="AF36" s="74">
        <f t="shared" si="4"/>
        <v>509</v>
      </c>
      <c r="AG36" s="69">
        <f>SUM(AG11:AG35)</f>
        <v>1431.83</v>
      </c>
      <c r="AH36" s="56">
        <f t="shared" si="2"/>
        <v>745.9</v>
      </c>
      <c r="AI36" s="57">
        <f t="shared" si="3"/>
        <v>509</v>
      </c>
      <c r="AK36" s="58"/>
    </row>
    <row r="37" spans="1:88" x14ac:dyDescent="0.25">
      <c r="A37" s="59" t="s">
        <v>45</v>
      </c>
      <c r="B37" s="63" t="s">
        <v>216</v>
      </c>
      <c r="C37" s="63">
        <v>110</v>
      </c>
      <c r="D37" s="63">
        <v>106</v>
      </c>
      <c r="E37" s="63">
        <v>106.4</v>
      </c>
      <c r="F37" s="63">
        <v>116</v>
      </c>
      <c r="G37" s="63">
        <v>116.1</v>
      </c>
      <c r="H37" s="63">
        <v>126.5</v>
      </c>
      <c r="I37" s="63">
        <v>126.3</v>
      </c>
      <c r="J37" s="63">
        <v>126.1</v>
      </c>
      <c r="K37" s="63">
        <v>136.9</v>
      </c>
      <c r="L37" s="50">
        <v>136.69999999999999</v>
      </c>
      <c r="M37" s="50">
        <v>137.9</v>
      </c>
      <c r="N37" s="50">
        <v>136</v>
      </c>
      <c r="O37" s="50">
        <v>136</v>
      </c>
      <c r="P37" s="50">
        <v>134</v>
      </c>
      <c r="Q37" s="50">
        <v>135.5</v>
      </c>
      <c r="R37" s="50">
        <v>135.5</v>
      </c>
      <c r="S37" s="50">
        <v>135.5</v>
      </c>
      <c r="T37" s="50">
        <v>134</v>
      </c>
      <c r="U37" s="50">
        <v>133.6</v>
      </c>
      <c r="V37" s="50">
        <v>134.30000000000001</v>
      </c>
      <c r="W37" s="50">
        <v>134.30000000000001</v>
      </c>
      <c r="X37" s="50">
        <v>134.30000000000001</v>
      </c>
      <c r="Y37" s="50">
        <v>135.69999999999999</v>
      </c>
      <c r="Z37" s="50">
        <v>135.69999999999999</v>
      </c>
      <c r="AA37" s="50">
        <v>136</v>
      </c>
      <c r="AB37" s="50">
        <v>135.9</v>
      </c>
      <c r="AC37" s="50">
        <v>134.5</v>
      </c>
      <c r="AD37" s="50">
        <v>134.1</v>
      </c>
      <c r="AE37" s="49">
        <v>111</v>
      </c>
      <c r="AF37" s="49">
        <v>91</v>
      </c>
      <c r="AG37" s="64">
        <v>144</v>
      </c>
      <c r="AH37" s="56">
        <f t="shared" si="2"/>
        <v>137.9</v>
      </c>
      <c r="AI37" s="57">
        <f t="shared" si="3"/>
        <v>91</v>
      </c>
      <c r="AK37" s="58"/>
    </row>
    <row r="38" spans="1:88" x14ac:dyDescent="0.25">
      <c r="A38" s="68" t="s">
        <v>46</v>
      </c>
      <c r="B38" s="63">
        <v>0</v>
      </c>
      <c r="C38" s="63">
        <v>25</v>
      </c>
      <c r="D38" s="63">
        <v>25.4</v>
      </c>
      <c r="E38" s="63">
        <v>34.799999999999997</v>
      </c>
      <c r="F38" s="63">
        <v>30</v>
      </c>
      <c r="G38" s="63">
        <v>30</v>
      </c>
      <c r="H38" s="63">
        <v>34.700000000000003</v>
      </c>
      <c r="I38" s="63">
        <v>34.700000000000003</v>
      </c>
      <c r="J38" s="63">
        <v>34.9</v>
      </c>
      <c r="K38" s="63">
        <v>35.200000000000003</v>
      </c>
      <c r="L38" s="52">
        <v>35.299999999999997</v>
      </c>
      <c r="M38" s="52">
        <v>35.6</v>
      </c>
      <c r="N38" s="52">
        <v>35</v>
      </c>
      <c r="O38" s="52">
        <v>35</v>
      </c>
      <c r="P38" s="52">
        <v>35</v>
      </c>
      <c r="Q38" s="52">
        <v>35.4</v>
      </c>
      <c r="R38" s="52">
        <v>35.4</v>
      </c>
      <c r="S38" s="52">
        <v>35.4</v>
      </c>
      <c r="T38" s="52">
        <v>35.4</v>
      </c>
      <c r="U38" s="52">
        <v>35.4</v>
      </c>
      <c r="V38" s="52">
        <v>35.4</v>
      </c>
      <c r="W38" s="52">
        <v>35.4</v>
      </c>
      <c r="X38" s="52">
        <v>35.4</v>
      </c>
      <c r="Y38" s="52">
        <v>35.4</v>
      </c>
      <c r="Z38" s="52">
        <v>35.4</v>
      </c>
      <c r="AA38" s="52">
        <v>30</v>
      </c>
      <c r="AB38" s="52">
        <v>30.2</v>
      </c>
      <c r="AC38" s="52">
        <v>30.2</v>
      </c>
      <c r="AD38" s="52">
        <v>30.2</v>
      </c>
      <c r="AE38" s="63">
        <v>30</v>
      </c>
      <c r="AF38" s="63">
        <v>30</v>
      </c>
      <c r="AG38" s="69">
        <v>70</v>
      </c>
      <c r="AH38" s="56">
        <f t="shared" si="2"/>
        <v>35.6</v>
      </c>
      <c r="AI38" s="57">
        <f t="shared" si="3"/>
        <v>0</v>
      </c>
      <c r="AK38" s="58"/>
    </row>
    <row r="39" spans="1:88" x14ac:dyDescent="0.25">
      <c r="A39" s="68" t="s">
        <v>47</v>
      </c>
      <c r="B39" s="63" t="s">
        <v>217</v>
      </c>
      <c r="C39" s="63">
        <v>32</v>
      </c>
      <c r="D39" s="63">
        <v>40.6</v>
      </c>
      <c r="E39" s="63">
        <v>47.9</v>
      </c>
      <c r="F39" s="63">
        <v>41.7</v>
      </c>
      <c r="G39" s="63">
        <v>44.3</v>
      </c>
      <c r="H39" s="63">
        <v>39.200000000000003</v>
      </c>
      <c r="I39" s="63">
        <v>54.5</v>
      </c>
      <c r="J39" s="63">
        <v>67.400000000000006</v>
      </c>
      <c r="K39" s="63">
        <v>67.8</v>
      </c>
      <c r="L39" s="52">
        <v>68.8</v>
      </c>
      <c r="M39" s="52">
        <v>68.8</v>
      </c>
      <c r="N39" s="52">
        <v>60.6</v>
      </c>
      <c r="O39" s="52">
        <v>60.6</v>
      </c>
      <c r="P39" s="52">
        <v>68</v>
      </c>
      <c r="Q39" s="52">
        <v>67.400000000000006</v>
      </c>
      <c r="R39" s="52">
        <v>67.400000000000006</v>
      </c>
      <c r="S39" s="52">
        <v>67.400000000000006</v>
      </c>
      <c r="T39" s="52">
        <v>67.400000000000006</v>
      </c>
      <c r="U39" s="52">
        <v>67.400000000000006</v>
      </c>
      <c r="V39" s="52">
        <v>67.400000000000006</v>
      </c>
      <c r="W39" s="52">
        <v>67.400000000000006</v>
      </c>
      <c r="X39" s="52">
        <v>67.400000000000006</v>
      </c>
      <c r="Y39" s="52">
        <v>67.5</v>
      </c>
      <c r="Z39" s="52">
        <v>67.5</v>
      </c>
      <c r="AA39" s="52">
        <v>62.3</v>
      </c>
      <c r="AB39" s="52">
        <v>61.6</v>
      </c>
      <c r="AC39" s="52">
        <v>52.4</v>
      </c>
      <c r="AD39" s="52">
        <v>46.6</v>
      </c>
      <c r="AE39" s="63">
        <v>45.5</v>
      </c>
      <c r="AF39" s="63">
        <v>33</v>
      </c>
      <c r="AG39" s="69">
        <v>69</v>
      </c>
      <c r="AH39" s="56">
        <f t="shared" si="2"/>
        <v>68.8</v>
      </c>
      <c r="AI39" s="57">
        <f t="shared" si="3"/>
        <v>32</v>
      </c>
      <c r="AK39" s="58"/>
    </row>
    <row r="40" spans="1:88" x14ac:dyDescent="0.25">
      <c r="A40" s="68" t="s">
        <v>48</v>
      </c>
      <c r="B40" s="63">
        <v>0</v>
      </c>
      <c r="C40" s="63">
        <v>30</v>
      </c>
      <c r="D40" s="63">
        <v>30.2</v>
      </c>
      <c r="E40" s="63">
        <v>30.2</v>
      </c>
      <c r="F40" s="63">
        <v>30.2</v>
      </c>
      <c r="G40" s="63">
        <v>29.7</v>
      </c>
      <c r="H40" s="63">
        <v>40.1</v>
      </c>
      <c r="I40" s="63">
        <v>40.1</v>
      </c>
      <c r="J40" s="63">
        <v>51.4</v>
      </c>
      <c r="K40" s="63">
        <v>61.4</v>
      </c>
      <c r="L40" s="52">
        <v>61.4</v>
      </c>
      <c r="M40" s="52">
        <v>61.4</v>
      </c>
      <c r="N40" s="52">
        <v>62</v>
      </c>
      <c r="O40" s="52">
        <v>62</v>
      </c>
      <c r="P40" s="52">
        <v>61</v>
      </c>
      <c r="Q40" s="52">
        <v>61.2</v>
      </c>
      <c r="R40" s="52">
        <v>61.2</v>
      </c>
      <c r="S40" s="52">
        <v>61.2</v>
      </c>
      <c r="T40" s="52">
        <v>61.2</v>
      </c>
      <c r="U40" s="52">
        <v>60.7</v>
      </c>
      <c r="V40" s="52">
        <v>60.7</v>
      </c>
      <c r="W40" s="52">
        <v>60.7</v>
      </c>
      <c r="X40" s="52">
        <v>60.7</v>
      </c>
      <c r="Y40" s="52">
        <v>60.7</v>
      </c>
      <c r="Z40" s="52">
        <v>60.7</v>
      </c>
      <c r="AA40" s="52">
        <v>55.4</v>
      </c>
      <c r="AB40" s="52">
        <v>55.4</v>
      </c>
      <c r="AC40" s="52">
        <v>55.7</v>
      </c>
      <c r="AD40" s="52">
        <v>41.1</v>
      </c>
      <c r="AE40" s="63">
        <v>50</v>
      </c>
      <c r="AF40" s="63">
        <v>30</v>
      </c>
      <c r="AG40" s="69">
        <v>60</v>
      </c>
      <c r="AH40" s="56">
        <f t="shared" si="2"/>
        <v>62</v>
      </c>
      <c r="AI40" s="57">
        <f t="shared" si="3"/>
        <v>0</v>
      </c>
      <c r="AK40" s="58"/>
    </row>
    <row r="41" spans="1:88" x14ac:dyDescent="0.25">
      <c r="A41" s="68" t="s">
        <v>49</v>
      </c>
      <c r="B41" s="63" t="s">
        <v>217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69">
        <v>30</v>
      </c>
      <c r="AH41" s="56">
        <f t="shared" si="2"/>
        <v>0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0</v>
      </c>
      <c r="C43" s="75">
        <v>17.899999999999999</v>
      </c>
      <c r="D43" s="75">
        <v>12.3</v>
      </c>
      <c r="E43" s="75">
        <v>12.3</v>
      </c>
      <c r="F43" s="75">
        <v>12.3</v>
      </c>
      <c r="G43" s="75">
        <v>10.8</v>
      </c>
      <c r="H43" s="75">
        <v>10.8</v>
      </c>
      <c r="I43" s="75">
        <v>10.8</v>
      </c>
      <c r="J43" s="75">
        <v>10.8</v>
      </c>
      <c r="K43" s="75">
        <v>10.8</v>
      </c>
      <c r="L43" s="50">
        <v>17.5</v>
      </c>
      <c r="M43" s="50">
        <v>17.5</v>
      </c>
      <c r="N43" s="50">
        <v>17.5</v>
      </c>
      <c r="O43" s="50">
        <v>17.5</v>
      </c>
      <c r="P43" s="50">
        <v>14.7</v>
      </c>
      <c r="Q43" s="50">
        <v>14.7</v>
      </c>
      <c r="R43" s="50">
        <v>14.7</v>
      </c>
      <c r="S43" s="50">
        <v>14.7</v>
      </c>
      <c r="T43" s="50">
        <v>14.7</v>
      </c>
      <c r="U43" s="50">
        <v>14.6</v>
      </c>
      <c r="V43" s="50">
        <v>14.6</v>
      </c>
      <c r="W43" s="50">
        <v>14.6</v>
      </c>
      <c r="X43" s="50">
        <v>14.6</v>
      </c>
      <c r="Y43" s="50">
        <v>14.6</v>
      </c>
      <c r="Z43" s="50">
        <v>14.6</v>
      </c>
      <c r="AA43" s="50">
        <v>14.6</v>
      </c>
      <c r="AB43" s="50">
        <v>14.6</v>
      </c>
      <c r="AC43" s="50">
        <v>14.6</v>
      </c>
      <c r="AD43" s="50">
        <v>14.6</v>
      </c>
      <c r="AE43" s="50">
        <v>14.6</v>
      </c>
      <c r="AF43" s="50">
        <v>14.6</v>
      </c>
      <c r="AG43" s="69">
        <v>24</v>
      </c>
      <c r="AH43" s="56">
        <f t="shared" si="2"/>
        <v>17.899999999999999</v>
      </c>
      <c r="AI43" s="57">
        <f t="shared" si="3"/>
        <v>0</v>
      </c>
      <c r="AK43" s="58"/>
    </row>
    <row r="44" spans="1:88" x14ac:dyDescent="0.25">
      <c r="A44" s="68" t="s">
        <v>52</v>
      </c>
      <c r="B44" s="63">
        <v>0</v>
      </c>
      <c r="C44" s="63">
        <v>2.9</v>
      </c>
      <c r="D44" s="63">
        <v>2.9</v>
      </c>
      <c r="E44" s="63">
        <v>2.9</v>
      </c>
      <c r="F44" s="63">
        <v>2.9</v>
      </c>
      <c r="G44" s="63">
        <v>2.9</v>
      </c>
      <c r="H44" s="63">
        <v>2.9</v>
      </c>
      <c r="I44" s="63">
        <v>2.9</v>
      </c>
      <c r="J44" s="63">
        <v>2.9</v>
      </c>
      <c r="K44" s="63">
        <v>2.9</v>
      </c>
      <c r="L44" s="50">
        <v>2.9</v>
      </c>
      <c r="M44" s="50">
        <v>2.9</v>
      </c>
      <c r="N44" s="50">
        <v>2.9</v>
      </c>
      <c r="O44" s="50">
        <v>2.9</v>
      </c>
      <c r="P44" s="50">
        <v>0</v>
      </c>
      <c r="Q44" s="50">
        <v>2.9</v>
      </c>
      <c r="R44" s="50">
        <v>2.9</v>
      </c>
      <c r="S44" s="50">
        <v>2.9</v>
      </c>
      <c r="T44" s="50">
        <v>2.9</v>
      </c>
      <c r="U44" s="50">
        <v>2.9</v>
      </c>
      <c r="V44" s="50">
        <v>2.9</v>
      </c>
      <c r="W44" s="50">
        <v>2.9</v>
      </c>
      <c r="X44" s="50">
        <v>2.9</v>
      </c>
      <c r="Y44" s="50">
        <v>2.9</v>
      </c>
      <c r="Z44" s="50">
        <v>2.9</v>
      </c>
      <c r="AA44" s="50">
        <v>2.9</v>
      </c>
      <c r="AB44" s="50">
        <v>2.9</v>
      </c>
      <c r="AC44" s="50">
        <v>2.9</v>
      </c>
      <c r="AD44" s="50">
        <v>2.9</v>
      </c>
      <c r="AE44" s="50">
        <v>2.9</v>
      </c>
      <c r="AF44" s="50">
        <v>2.9</v>
      </c>
      <c r="AG44" s="69">
        <v>15</v>
      </c>
      <c r="AH44" s="56">
        <f t="shared" si="2"/>
        <v>2.9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0</v>
      </c>
      <c r="C45" s="63">
        <v>13.2</v>
      </c>
      <c r="D45" s="63">
        <v>13.2</v>
      </c>
      <c r="E45" s="63">
        <v>13.2</v>
      </c>
      <c r="F45" s="63">
        <v>13.2</v>
      </c>
      <c r="G45" s="63">
        <v>13.2</v>
      </c>
      <c r="H45" s="63">
        <v>13.2</v>
      </c>
      <c r="I45" s="63">
        <v>13.2</v>
      </c>
      <c r="J45" s="63">
        <v>13.2</v>
      </c>
      <c r="K45" s="63">
        <v>13.2</v>
      </c>
      <c r="L45" s="50">
        <v>13.1</v>
      </c>
      <c r="M45" s="50">
        <v>13.1</v>
      </c>
      <c r="N45" s="50">
        <v>13.1</v>
      </c>
      <c r="O45" s="50">
        <v>13.1</v>
      </c>
      <c r="P45" s="50">
        <v>13.1</v>
      </c>
      <c r="Q45" s="50">
        <v>13.1</v>
      </c>
      <c r="R45" s="50">
        <v>13.1</v>
      </c>
      <c r="S45" s="50">
        <v>13.1</v>
      </c>
      <c r="T45" s="50">
        <v>13.1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9">
        <v>14.1</v>
      </c>
      <c r="AH45" s="56">
        <f t="shared" si="2"/>
        <v>13.2</v>
      </c>
      <c r="AI45" s="57">
        <f t="shared" si="3"/>
        <v>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0</v>
      </c>
      <c r="C46" s="75">
        <v>7</v>
      </c>
      <c r="D46" s="75">
        <v>4</v>
      </c>
      <c r="E46" s="75">
        <v>0</v>
      </c>
      <c r="F46" s="75">
        <v>7</v>
      </c>
      <c r="G46" s="75">
        <v>7</v>
      </c>
      <c r="H46" s="75">
        <v>7</v>
      </c>
      <c r="I46" s="75">
        <v>7</v>
      </c>
      <c r="J46" s="75">
        <v>7</v>
      </c>
      <c r="K46" s="75">
        <v>7</v>
      </c>
      <c r="L46" s="50">
        <v>7</v>
      </c>
      <c r="M46" s="50">
        <v>7</v>
      </c>
      <c r="N46" s="50">
        <v>7</v>
      </c>
      <c r="O46" s="50">
        <v>7</v>
      </c>
      <c r="P46" s="50">
        <v>7</v>
      </c>
      <c r="Q46" s="50">
        <v>7</v>
      </c>
      <c r="R46" s="50">
        <v>7</v>
      </c>
      <c r="S46" s="50">
        <v>7</v>
      </c>
      <c r="T46" s="50">
        <v>7</v>
      </c>
      <c r="U46" s="50">
        <v>7</v>
      </c>
      <c r="V46" s="50">
        <v>7</v>
      </c>
      <c r="W46" s="50">
        <v>7</v>
      </c>
      <c r="X46" s="50">
        <v>7</v>
      </c>
      <c r="Y46" s="50">
        <v>7</v>
      </c>
      <c r="Z46" s="50">
        <v>7</v>
      </c>
      <c r="AA46" s="50">
        <v>7</v>
      </c>
      <c r="AB46" s="50">
        <v>7</v>
      </c>
      <c r="AC46" s="50">
        <v>7</v>
      </c>
      <c r="AD46" s="50">
        <v>7</v>
      </c>
      <c r="AE46" s="50">
        <v>7</v>
      </c>
      <c r="AF46" s="50">
        <v>7</v>
      </c>
      <c r="AG46" s="69">
        <v>14</v>
      </c>
      <c r="AH46" s="56">
        <f t="shared" si="2"/>
        <v>7</v>
      </c>
      <c r="AI46" s="57">
        <f t="shared" si="3"/>
        <v>0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</v>
      </c>
      <c r="C48" s="63">
        <v>6</v>
      </c>
      <c r="D48" s="63">
        <v>6</v>
      </c>
      <c r="E48" s="63">
        <v>6</v>
      </c>
      <c r="F48" s="63">
        <v>6</v>
      </c>
      <c r="G48" s="63">
        <v>6</v>
      </c>
      <c r="H48" s="63">
        <v>6</v>
      </c>
      <c r="I48" s="63">
        <v>6</v>
      </c>
      <c r="J48" s="63">
        <v>6</v>
      </c>
      <c r="K48" s="63">
        <v>6</v>
      </c>
      <c r="L48" s="50">
        <v>6</v>
      </c>
      <c r="M48" s="50">
        <v>6</v>
      </c>
      <c r="N48" s="50">
        <v>6</v>
      </c>
      <c r="O48" s="50">
        <v>6</v>
      </c>
      <c r="P48" s="50">
        <v>6</v>
      </c>
      <c r="Q48" s="50">
        <v>6</v>
      </c>
      <c r="R48" s="50">
        <v>6</v>
      </c>
      <c r="S48" s="50">
        <v>6</v>
      </c>
      <c r="T48" s="50">
        <v>6</v>
      </c>
      <c r="U48" s="50">
        <v>6</v>
      </c>
      <c r="V48" s="50">
        <v>6</v>
      </c>
      <c r="W48" s="50">
        <v>6</v>
      </c>
      <c r="X48" s="50">
        <v>6</v>
      </c>
      <c r="Y48" s="50">
        <v>6</v>
      </c>
      <c r="Z48" s="50">
        <v>6</v>
      </c>
      <c r="AA48" s="50">
        <v>6</v>
      </c>
      <c r="AB48" s="50">
        <v>6</v>
      </c>
      <c r="AC48" s="50">
        <v>0</v>
      </c>
      <c r="AD48" s="50">
        <v>0</v>
      </c>
      <c r="AE48" s="50">
        <v>0</v>
      </c>
      <c r="AF48" s="50">
        <v>0</v>
      </c>
      <c r="AG48" s="69">
        <v>6.2</v>
      </c>
      <c r="AH48" s="56">
        <f t="shared" si="2"/>
        <v>6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19.14</v>
      </c>
      <c r="C50" s="74">
        <f t="shared" si="6"/>
        <v>257.14</v>
      </c>
      <c r="D50" s="74">
        <f t="shared" si="6"/>
        <v>253.73999999999998</v>
      </c>
      <c r="E50" s="74">
        <f t="shared" si="6"/>
        <v>266.84000000000003</v>
      </c>
      <c r="F50" s="74">
        <f t="shared" si="6"/>
        <v>272.44</v>
      </c>
      <c r="G50" s="74">
        <f t="shared" si="6"/>
        <v>273.14</v>
      </c>
      <c r="H50" s="74">
        <f t="shared" si="6"/>
        <v>293.54000000000002</v>
      </c>
      <c r="I50" s="74">
        <f t="shared" si="6"/>
        <v>308.64</v>
      </c>
      <c r="J50" s="74">
        <f t="shared" si="6"/>
        <v>332.84000000000003</v>
      </c>
      <c r="K50" s="74">
        <f t="shared" si="6"/>
        <v>354.34000000000003</v>
      </c>
      <c r="L50" s="74">
        <f t="shared" si="6"/>
        <v>361.84000000000003</v>
      </c>
      <c r="M50" s="74">
        <f t="shared" si="6"/>
        <v>363.34000000000003</v>
      </c>
      <c r="N50" s="74">
        <f t="shared" si="6"/>
        <v>353.24000000000007</v>
      </c>
      <c r="O50" s="74">
        <f t="shared" si="6"/>
        <v>353.24000000000007</v>
      </c>
      <c r="P50" s="74">
        <f t="shared" si="6"/>
        <v>351.94000000000005</v>
      </c>
      <c r="Q50" s="74">
        <f t="shared" si="6"/>
        <v>356.34000000000003</v>
      </c>
      <c r="R50" s="74">
        <f t="shared" si="6"/>
        <v>356.34000000000003</v>
      </c>
      <c r="S50" s="74">
        <f t="shared" si="6"/>
        <v>356.34000000000003</v>
      </c>
      <c r="T50" s="74">
        <f t="shared" si="6"/>
        <v>354.84000000000003</v>
      </c>
      <c r="U50" s="74">
        <f t="shared" si="6"/>
        <v>353.74000000000007</v>
      </c>
      <c r="V50" s="74">
        <f t="shared" si="6"/>
        <v>354.44000000000005</v>
      </c>
      <c r="W50" s="74">
        <f t="shared" si="6"/>
        <v>354.44000000000005</v>
      </c>
      <c r="X50" s="74">
        <f t="shared" si="6"/>
        <v>354.44000000000005</v>
      </c>
      <c r="Y50" s="74">
        <f t="shared" si="6"/>
        <v>355.94000000000005</v>
      </c>
      <c r="Z50" s="74">
        <f t="shared" si="6"/>
        <v>355.94000000000005</v>
      </c>
      <c r="AA50" s="74">
        <f t="shared" si="6"/>
        <v>340.34000000000003</v>
      </c>
      <c r="AB50" s="74">
        <f t="shared" si="6"/>
        <v>339.74</v>
      </c>
      <c r="AC50" s="74">
        <f t="shared" si="6"/>
        <v>323.44000000000005</v>
      </c>
      <c r="AD50" s="74">
        <f t="shared" si="6"/>
        <v>302.64</v>
      </c>
      <c r="AE50" s="74">
        <f t="shared" si="6"/>
        <v>287.14000000000004</v>
      </c>
      <c r="AF50" s="74">
        <f t="shared" si="6"/>
        <v>234.64</v>
      </c>
      <c r="AG50" s="79">
        <f>SUM(AG37:AG49)</f>
        <v>489.91</v>
      </c>
      <c r="AH50" s="56">
        <f t="shared" si="2"/>
        <v>363.34000000000003</v>
      </c>
      <c r="AI50" s="57">
        <f t="shared" si="3"/>
        <v>19.14</v>
      </c>
      <c r="AJ50" s="1">
        <f>AVERAGE(B50:AF50)</f>
        <v>316.00451612903237</v>
      </c>
      <c r="AK50" s="58">
        <f>(430-AJ50)*24</f>
        <v>2735.8916129032232</v>
      </c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10.3</v>
      </c>
      <c r="M51" s="80">
        <v>39.799999999999997</v>
      </c>
      <c r="N51" s="80">
        <v>34.5</v>
      </c>
      <c r="O51" s="80">
        <v>20</v>
      </c>
      <c r="P51" s="50">
        <v>20</v>
      </c>
      <c r="Q51" s="50">
        <v>25.9</v>
      </c>
      <c r="R51" s="50">
        <v>25.9</v>
      </c>
      <c r="S51" s="50">
        <v>25.9</v>
      </c>
      <c r="T51" s="50">
        <v>30</v>
      </c>
      <c r="U51" s="50">
        <v>29.6</v>
      </c>
      <c r="V51" s="50">
        <v>40.1</v>
      </c>
      <c r="W51" s="50">
        <v>50.5</v>
      </c>
      <c r="X51" s="50">
        <v>59.8</v>
      </c>
      <c r="Y51" s="50">
        <v>40</v>
      </c>
      <c r="Z51" s="50">
        <v>29.3</v>
      </c>
      <c r="AA51" s="50">
        <v>34.5</v>
      </c>
      <c r="AB51" s="50">
        <v>20.100000000000001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59.8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4.4000000000000004</v>
      </c>
      <c r="M52" s="80">
        <v>14.1</v>
      </c>
      <c r="N52" s="80">
        <v>15.3</v>
      </c>
      <c r="O52" s="80">
        <v>9</v>
      </c>
      <c r="P52" s="52">
        <v>10.8</v>
      </c>
      <c r="Q52" s="52">
        <v>12.7</v>
      </c>
      <c r="R52" s="52">
        <v>12.7</v>
      </c>
      <c r="S52" s="52">
        <v>12.7</v>
      </c>
      <c r="T52" s="50">
        <v>15</v>
      </c>
      <c r="U52" s="52">
        <v>15.8</v>
      </c>
      <c r="V52" s="52">
        <v>15.8</v>
      </c>
      <c r="W52" s="52">
        <v>23.8</v>
      </c>
      <c r="X52" s="52">
        <v>29.8</v>
      </c>
      <c r="Y52" s="52">
        <v>18.399999999999999</v>
      </c>
      <c r="Z52" s="52">
        <v>13.6</v>
      </c>
      <c r="AA52" s="52">
        <v>15.7</v>
      </c>
      <c r="AB52" s="52">
        <v>15.5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29.8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1.6</v>
      </c>
      <c r="M53" s="81">
        <v>5.2</v>
      </c>
      <c r="N53" s="81">
        <v>5.6</v>
      </c>
      <c r="O53" s="81">
        <v>3.3</v>
      </c>
      <c r="P53" s="82">
        <v>4</v>
      </c>
      <c r="Q53" s="82">
        <v>4.5999999999999996</v>
      </c>
      <c r="R53" s="82">
        <v>4.5999999999999996</v>
      </c>
      <c r="S53" s="82">
        <v>4.5999999999999996</v>
      </c>
      <c r="T53" s="50">
        <v>5.7</v>
      </c>
      <c r="U53" s="82">
        <v>5.8</v>
      </c>
      <c r="V53" s="82">
        <v>5.8</v>
      </c>
      <c r="W53" s="82">
        <v>8.6999999999999993</v>
      </c>
      <c r="X53" s="82">
        <v>10.9</v>
      </c>
      <c r="Y53" s="82">
        <v>6.7</v>
      </c>
      <c r="Z53" s="82">
        <v>5</v>
      </c>
      <c r="AA53" s="82">
        <v>5.8</v>
      </c>
      <c r="AB53" s="82">
        <v>5.6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10.9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16.3</v>
      </c>
      <c r="M54" s="74">
        <f t="shared" si="7"/>
        <v>59.1</v>
      </c>
      <c r="N54" s="74">
        <f t="shared" si="7"/>
        <v>55.4</v>
      </c>
      <c r="O54" s="74">
        <f t="shared" si="7"/>
        <v>32.299999999999997</v>
      </c>
      <c r="P54" s="74">
        <f t="shared" si="7"/>
        <v>34.799999999999997</v>
      </c>
      <c r="Q54" s="74">
        <f t="shared" si="7"/>
        <v>43.199999999999996</v>
      </c>
      <c r="R54" s="74">
        <f t="shared" si="7"/>
        <v>43.199999999999996</v>
      </c>
      <c r="S54" s="74">
        <f t="shared" si="7"/>
        <v>43.199999999999996</v>
      </c>
      <c r="T54" s="74">
        <f t="shared" si="7"/>
        <v>50.7</v>
      </c>
      <c r="U54" s="74">
        <f t="shared" si="7"/>
        <v>51.2</v>
      </c>
      <c r="V54" s="74">
        <f t="shared" si="7"/>
        <v>61.7</v>
      </c>
      <c r="W54" s="74">
        <f t="shared" si="7"/>
        <v>83</v>
      </c>
      <c r="X54" s="74">
        <f t="shared" si="7"/>
        <v>100.5</v>
      </c>
      <c r="Y54" s="74">
        <f t="shared" si="7"/>
        <v>65.099999999999994</v>
      </c>
      <c r="Z54" s="74">
        <f t="shared" si="7"/>
        <v>47.9</v>
      </c>
      <c r="AA54" s="74">
        <f t="shared" si="7"/>
        <v>56</v>
      </c>
      <c r="AB54" s="74">
        <f t="shared" si="7"/>
        <v>41.2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100.5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54.7</v>
      </c>
      <c r="X55" s="50">
        <v>31.5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54.7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84">
        <v>0</v>
      </c>
      <c r="AB56" s="84">
        <v>0</v>
      </c>
      <c r="AC56" s="84">
        <v>0</v>
      </c>
      <c r="AD56" s="84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-173</v>
      </c>
      <c r="C57" s="52">
        <v>-149</v>
      </c>
      <c r="D57" s="52">
        <v>-80</v>
      </c>
      <c r="E57" s="52">
        <v>-94</v>
      </c>
      <c r="F57" s="52">
        <v>-74.400000000000006</v>
      </c>
      <c r="G57" s="50">
        <v>-95</v>
      </c>
      <c r="H57" s="50">
        <v>-99</v>
      </c>
      <c r="I57" s="50">
        <v>-70</v>
      </c>
      <c r="J57" s="50">
        <v>-63</v>
      </c>
      <c r="K57" s="50">
        <v>-22.6</v>
      </c>
      <c r="L57" s="52">
        <v>-28</v>
      </c>
      <c r="M57" s="52">
        <v>-33.6</v>
      </c>
      <c r="N57" s="52">
        <v>-57</v>
      </c>
      <c r="O57" s="52">
        <v>-50</v>
      </c>
      <c r="P57" s="52">
        <v>-68</v>
      </c>
      <c r="Q57" s="52">
        <v>-47.7</v>
      </c>
      <c r="R57" s="52">
        <v>-45</v>
      </c>
      <c r="S57" s="52">
        <v>-40</v>
      </c>
      <c r="T57" s="52">
        <v>-44</v>
      </c>
      <c r="U57" s="52">
        <v>-78.400000000000006</v>
      </c>
      <c r="V57" s="52">
        <v>-54.1</v>
      </c>
      <c r="W57" s="85">
        <v>-48.3</v>
      </c>
      <c r="X57" s="85">
        <v>-49.1</v>
      </c>
      <c r="Y57" s="85">
        <v>-48.1</v>
      </c>
      <c r="Z57" s="85">
        <v>-8</v>
      </c>
      <c r="AA57" s="85">
        <v>-53.3</v>
      </c>
      <c r="AB57" s="85">
        <v>-17.3</v>
      </c>
      <c r="AC57" s="85">
        <v>-66.099999999999994</v>
      </c>
      <c r="AD57" s="85">
        <v>-67.7</v>
      </c>
      <c r="AE57" s="52">
        <v>-52</v>
      </c>
      <c r="AF57" s="52">
        <v>-56</v>
      </c>
      <c r="AG57" s="86"/>
      <c r="AH57" s="56">
        <f t="shared" si="2"/>
        <v>-8</v>
      </c>
      <c r="AI57" s="57">
        <f t="shared" si="3"/>
        <v>-173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2">
        <v>0</v>
      </c>
      <c r="R59" s="52">
        <v>0</v>
      </c>
      <c r="S59" s="52">
        <v>0</v>
      </c>
      <c r="T59" s="52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62">
        <v>0</v>
      </c>
      <c r="P60" s="62">
        <v>0</v>
      </c>
      <c r="Q60" s="52">
        <v>0</v>
      </c>
      <c r="R60" s="52">
        <v>0</v>
      </c>
      <c r="S60" s="52">
        <v>0</v>
      </c>
      <c r="T60" s="5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62">
        <v>0</v>
      </c>
      <c r="P61" s="62">
        <v>0</v>
      </c>
      <c r="Q61" s="52">
        <v>0</v>
      </c>
      <c r="R61" s="52">
        <v>0</v>
      </c>
      <c r="S61" s="52">
        <v>0</v>
      </c>
      <c r="T61" s="5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52">
        <v>0</v>
      </c>
      <c r="R62" s="52">
        <v>0</v>
      </c>
      <c r="S62" s="52">
        <v>0</v>
      </c>
      <c r="T62" s="52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52">
        <v>0</v>
      </c>
      <c r="R63" s="52">
        <v>0</v>
      </c>
      <c r="S63" s="52">
        <v>0</v>
      </c>
      <c r="T63" s="52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65">
        <v>0</v>
      </c>
      <c r="P64" s="65">
        <v>0</v>
      </c>
      <c r="Q64" s="52">
        <v>0</v>
      </c>
      <c r="R64" s="52">
        <v>0</v>
      </c>
      <c r="S64" s="52">
        <v>0</v>
      </c>
      <c r="T64" s="52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65">
        <v>0</v>
      </c>
      <c r="P65" s="65">
        <v>0</v>
      </c>
      <c r="Q65" s="52">
        <v>0</v>
      </c>
      <c r="R65" s="52">
        <v>0</v>
      </c>
      <c r="S65" s="52">
        <v>0</v>
      </c>
      <c r="T65" s="52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-173</v>
      </c>
      <c r="C66" s="74">
        <f t="shared" ref="C66:AF66" si="8">SUM(C55:C65)</f>
        <v>-149</v>
      </c>
      <c r="D66" s="74">
        <f t="shared" si="8"/>
        <v>-80</v>
      </c>
      <c r="E66" s="74">
        <f t="shared" si="8"/>
        <v>-94</v>
      </c>
      <c r="F66" s="74">
        <f t="shared" si="8"/>
        <v>-74.400000000000006</v>
      </c>
      <c r="G66" s="74">
        <f t="shared" si="8"/>
        <v>-95</v>
      </c>
      <c r="H66" s="74">
        <f t="shared" si="8"/>
        <v>-99</v>
      </c>
      <c r="I66" s="74">
        <f t="shared" si="8"/>
        <v>-70</v>
      </c>
      <c r="J66" s="74">
        <f t="shared" si="8"/>
        <v>-63</v>
      </c>
      <c r="K66" s="74">
        <f t="shared" si="8"/>
        <v>-22.6</v>
      </c>
      <c r="L66" s="74">
        <f>SUM(L55:L65)</f>
        <v>-28</v>
      </c>
      <c r="M66" s="74">
        <f t="shared" si="8"/>
        <v>-33.6</v>
      </c>
      <c r="N66" s="74">
        <f t="shared" si="8"/>
        <v>-57</v>
      </c>
      <c r="O66" s="74">
        <f t="shared" si="8"/>
        <v>-50</v>
      </c>
      <c r="P66" s="74">
        <f t="shared" si="8"/>
        <v>-68</v>
      </c>
      <c r="Q66" s="74">
        <f t="shared" si="8"/>
        <v>-47.7</v>
      </c>
      <c r="R66" s="74">
        <f t="shared" si="8"/>
        <v>-45</v>
      </c>
      <c r="S66" s="74">
        <f t="shared" si="8"/>
        <v>-40</v>
      </c>
      <c r="T66" s="74">
        <f t="shared" si="8"/>
        <v>-44</v>
      </c>
      <c r="U66" s="74">
        <f t="shared" si="8"/>
        <v>-78.400000000000006</v>
      </c>
      <c r="V66" s="74">
        <f t="shared" si="8"/>
        <v>-54.1</v>
      </c>
      <c r="W66" s="74">
        <f t="shared" si="8"/>
        <v>6.4000000000000057</v>
      </c>
      <c r="X66" s="74">
        <f t="shared" si="8"/>
        <v>-17.600000000000001</v>
      </c>
      <c r="Y66" s="74">
        <f t="shared" si="8"/>
        <v>-48.1</v>
      </c>
      <c r="Z66" s="74">
        <f t="shared" si="8"/>
        <v>-8</v>
      </c>
      <c r="AA66" s="74">
        <f t="shared" si="8"/>
        <v>-53.3</v>
      </c>
      <c r="AB66" s="74">
        <f t="shared" si="8"/>
        <v>-17.3</v>
      </c>
      <c r="AC66" s="74">
        <f t="shared" si="8"/>
        <v>-66.099999999999994</v>
      </c>
      <c r="AD66" s="74">
        <f t="shared" si="8"/>
        <v>-67.7</v>
      </c>
      <c r="AE66" s="74">
        <f t="shared" si="8"/>
        <v>-52</v>
      </c>
      <c r="AF66" s="74">
        <f t="shared" si="8"/>
        <v>-56</v>
      </c>
      <c r="AG66" s="79">
        <f>SUM(AG55:AG65)</f>
        <v>0</v>
      </c>
      <c r="AH66" s="56">
        <f t="shared" si="2"/>
        <v>6.4000000000000057</v>
      </c>
      <c r="AI66" s="57">
        <f t="shared" si="3"/>
        <v>-173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386.93999999999994</v>
      </c>
      <c r="C71" s="90">
        <f t="shared" ref="C71:AG71" si="10">C66+C54+C50+C36+C70</f>
        <v>760.93999999999994</v>
      </c>
      <c r="D71" s="90">
        <f t="shared" si="10"/>
        <v>786.54</v>
      </c>
      <c r="E71" s="90">
        <f t="shared" si="10"/>
        <v>793.64</v>
      </c>
      <c r="F71" s="90">
        <f t="shared" si="10"/>
        <v>806.04</v>
      </c>
      <c r="G71" s="90">
        <f t="shared" si="10"/>
        <v>786.14</v>
      </c>
      <c r="H71" s="90">
        <f t="shared" si="10"/>
        <v>812.54</v>
      </c>
      <c r="I71" s="90">
        <f t="shared" si="10"/>
        <v>856.64</v>
      </c>
      <c r="J71" s="90">
        <f t="shared" si="10"/>
        <v>870.64</v>
      </c>
      <c r="K71" s="90">
        <f t="shared" si="10"/>
        <v>902.64</v>
      </c>
      <c r="L71" s="90">
        <f t="shared" si="10"/>
        <v>926.54</v>
      </c>
      <c r="M71" s="90">
        <f t="shared" si="10"/>
        <v>968.84</v>
      </c>
      <c r="N71" s="90">
        <f t="shared" si="10"/>
        <v>937.34000000000015</v>
      </c>
      <c r="O71" s="90">
        <f t="shared" si="10"/>
        <v>926.24000000000012</v>
      </c>
      <c r="P71" s="90">
        <f t="shared" si="10"/>
        <v>892.44</v>
      </c>
      <c r="Q71" s="90">
        <f t="shared" si="10"/>
        <v>934.43999999999994</v>
      </c>
      <c r="R71" s="90">
        <f t="shared" si="10"/>
        <v>932.63999999999987</v>
      </c>
      <c r="S71" s="90">
        <f t="shared" si="10"/>
        <v>997.63999999999987</v>
      </c>
      <c r="T71" s="90">
        <f t="shared" si="10"/>
        <v>969.24</v>
      </c>
      <c r="U71" s="90">
        <f t="shared" si="10"/>
        <v>1024.6399999999999</v>
      </c>
      <c r="V71" s="90">
        <f t="shared" si="10"/>
        <v>1067.7400000000002</v>
      </c>
      <c r="W71" s="90">
        <f t="shared" si="10"/>
        <v>1189.74</v>
      </c>
      <c r="X71" s="90">
        <f t="shared" si="10"/>
        <v>1179.24</v>
      </c>
      <c r="Y71" s="90">
        <f t="shared" si="10"/>
        <v>1094.8400000000001</v>
      </c>
      <c r="Z71" s="90">
        <f t="shared" si="10"/>
        <v>1117.74</v>
      </c>
      <c r="AA71" s="90">
        <f t="shared" si="10"/>
        <v>1079.6399999999999</v>
      </c>
      <c r="AB71" s="90">
        <f t="shared" si="10"/>
        <v>1080.2399999999998</v>
      </c>
      <c r="AC71" s="90">
        <f t="shared" si="10"/>
        <v>831.74</v>
      </c>
      <c r="AD71" s="90">
        <f t="shared" si="10"/>
        <v>764.54</v>
      </c>
      <c r="AE71" s="90">
        <f t="shared" si="10"/>
        <v>754.1400000000001</v>
      </c>
      <c r="AF71" s="90">
        <f t="shared" si="10"/>
        <v>687.64</v>
      </c>
      <c r="AG71" s="90">
        <f t="shared" si="10"/>
        <v>2083.14</v>
      </c>
      <c r="AH71" s="56">
        <f t="shared" si="2"/>
        <v>1189.74</v>
      </c>
      <c r="AI71" s="57">
        <f t="shared" si="3"/>
        <v>386.93999999999994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386.93999999999994</v>
      </c>
      <c r="C73" s="90">
        <f t="shared" ref="C73:AF73" si="11">C70+C66+C54+C50+C36+C72</f>
        <v>760.93999999999994</v>
      </c>
      <c r="D73" s="90">
        <f t="shared" si="11"/>
        <v>786.54</v>
      </c>
      <c r="E73" s="90">
        <f t="shared" si="11"/>
        <v>793.64</v>
      </c>
      <c r="F73" s="90">
        <f t="shared" si="11"/>
        <v>806.04</v>
      </c>
      <c r="G73" s="90">
        <f t="shared" si="11"/>
        <v>786.14</v>
      </c>
      <c r="H73" s="90">
        <f t="shared" si="11"/>
        <v>812.54</v>
      </c>
      <c r="I73" s="90">
        <f t="shared" si="11"/>
        <v>856.64</v>
      </c>
      <c r="J73" s="90">
        <f t="shared" si="11"/>
        <v>870.64</v>
      </c>
      <c r="K73" s="90">
        <f t="shared" si="11"/>
        <v>902.64</v>
      </c>
      <c r="L73" s="90">
        <f t="shared" si="11"/>
        <v>926.54</v>
      </c>
      <c r="M73" s="90">
        <f t="shared" si="11"/>
        <v>968.84</v>
      </c>
      <c r="N73" s="90">
        <f t="shared" si="11"/>
        <v>937.34000000000015</v>
      </c>
      <c r="O73" s="90">
        <f t="shared" si="11"/>
        <v>926.24000000000012</v>
      </c>
      <c r="P73" s="90">
        <f t="shared" si="11"/>
        <v>892.44</v>
      </c>
      <c r="Q73" s="90">
        <f t="shared" si="11"/>
        <v>934.43999999999994</v>
      </c>
      <c r="R73" s="90">
        <f t="shared" si="11"/>
        <v>932.63999999999987</v>
      </c>
      <c r="S73" s="90">
        <f t="shared" si="11"/>
        <v>997.63999999999987</v>
      </c>
      <c r="T73" s="90">
        <f t="shared" si="11"/>
        <v>969.24</v>
      </c>
      <c r="U73" s="90">
        <f t="shared" si="11"/>
        <v>1024.6399999999999</v>
      </c>
      <c r="V73" s="90">
        <f t="shared" si="11"/>
        <v>1067.7400000000002</v>
      </c>
      <c r="W73" s="90">
        <f t="shared" si="11"/>
        <v>1189.74</v>
      </c>
      <c r="X73" s="90">
        <f t="shared" si="11"/>
        <v>1179.24</v>
      </c>
      <c r="Y73" s="90">
        <f t="shared" si="11"/>
        <v>1094.8400000000001</v>
      </c>
      <c r="Z73" s="90">
        <f t="shared" si="11"/>
        <v>1117.74</v>
      </c>
      <c r="AA73" s="90">
        <f t="shared" si="11"/>
        <v>1079.6399999999999</v>
      </c>
      <c r="AB73" s="90">
        <f t="shared" si="11"/>
        <v>1080.2399999999998</v>
      </c>
      <c r="AC73" s="90">
        <f t="shared" si="11"/>
        <v>831.74</v>
      </c>
      <c r="AD73" s="90">
        <f t="shared" si="11"/>
        <v>764.54</v>
      </c>
      <c r="AE73" s="90">
        <f t="shared" si="11"/>
        <v>754.1400000000001</v>
      </c>
      <c r="AF73" s="90">
        <f t="shared" si="11"/>
        <v>687.64</v>
      </c>
      <c r="AG73" s="79">
        <f>AG70+AG66+AG54+AG50+AG36+AG72</f>
        <v>2083.14</v>
      </c>
      <c r="AH73" s="56">
        <f t="shared" si="2"/>
        <v>1189.74</v>
      </c>
      <c r="AI73" s="57">
        <f t="shared" si="3"/>
        <v>386.93999999999994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173</v>
      </c>
      <c r="C77" s="60">
        <f t="shared" ref="C77:AF77" si="15">IF(C57&lt;0,C57*-1,0)</f>
        <v>149</v>
      </c>
      <c r="D77" s="60">
        <f t="shared" si="15"/>
        <v>80</v>
      </c>
      <c r="E77" s="60">
        <f t="shared" si="15"/>
        <v>94</v>
      </c>
      <c r="F77" s="60">
        <f t="shared" si="15"/>
        <v>74.400000000000006</v>
      </c>
      <c r="G77" s="60">
        <f t="shared" si="15"/>
        <v>95</v>
      </c>
      <c r="H77" s="60">
        <f t="shared" si="15"/>
        <v>99</v>
      </c>
      <c r="I77" s="60">
        <f t="shared" si="15"/>
        <v>70</v>
      </c>
      <c r="J77" s="60">
        <f t="shared" si="15"/>
        <v>63</v>
      </c>
      <c r="K77" s="60">
        <f t="shared" si="15"/>
        <v>22.6</v>
      </c>
      <c r="L77" s="60">
        <f t="shared" si="15"/>
        <v>28</v>
      </c>
      <c r="M77" s="60">
        <f t="shared" si="15"/>
        <v>33.6</v>
      </c>
      <c r="N77" s="60">
        <f t="shared" si="15"/>
        <v>57</v>
      </c>
      <c r="O77" s="60">
        <f t="shared" si="15"/>
        <v>50</v>
      </c>
      <c r="P77" s="60">
        <f t="shared" si="15"/>
        <v>68</v>
      </c>
      <c r="Q77" s="60">
        <f t="shared" si="15"/>
        <v>47.7</v>
      </c>
      <c r="R77" s="60">
        <f t="shared" si="15"/>
        <v>45</v>
      </c>
      <c r="S77" s="60">
        <f t="shared" si="15"/>
        <v>40</v>
      </c>
      <c r="T77" s="60">
        <f t="shared" si="15"/>
        <v>44</v>
      </c>
      <c r="U77" s="60">
        <f t="shared" si="15"/>
        <v>78.400000000000006</v>
      </c>
      <c r="V77" s="60">
        <f t="shared" si="15"/>
        <v>54.1</v>
      </c>
      <c r="W77" s="60">
        <f t="shared" si="15"/>
        <v>48.3</v>
      </c>
      <c r="X77" s="60">
        <f t="shared" si="15"/>
        <v>49.1</v>
      </c>
      <c r="Y77" s="60">
        <f t="shared" si="15"/>
        <v>48.1</v>
      </c>
      <c r="Z77" s="60">
        <f t="shared" si="15"/>
        <v>8</v>
      </c>
      <c r="AA77" s="60">
        <f t="shared" si="15"/>
        <v>53.3</v>
      </c>
      <c r="AB77" s="60">
        <f t="shared" si="15"/>
        <v>17.3</v>
      </c>
      <c r="AC77" s="60">
        <f t="shared" si="15"/>
        <v>66.099999999999994</v>
      </c>
      <c r="AD77" s="60">
        <f t="shared" si="15"/>
        <v>67.7</v>
      </c>
      <c r="AE77" s="60">
        <f t="shared" si="15"/>
        <v>52</v>
      </c>
      <c r="AF77" s="60">
        <f t="shared" si="15"/>
        <v>56</v>
      </c>
      <c r="AG77" s="93"/>
      <c r="AH77" s="56">
        <f t="shared" ref="AH77:AH89" si="16">MAX(B77:AF77)</f>
        <v>173</v>
      </c>
      <c r="AI77" s="57">
        <f t="shared" ref="AI77:AI89" si="17">MIN(B77:AF77)</f>
        <v>8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173</v>
      </c>
      <c r="C80" s="74">
        <f t="shared" si="19"/>
        <v>149</v>
      </c>
      <c r="D80" s="74">
        <f t="shared" si="19"/>
        <v>80</v>
      </c>
      <c r="E80" s="74">
        <f t="shared" si="19"/>
        <v>94</v>
      </c>
      <c r="F80" s="74">
        <f t="shared" si="19"/>
        <v>74.400000000000006</v>
      </c>
      <c r="G80" s="74">
        <f t="shared" si="19"/>
        <v>95</v>
      </c>
      <c r="H80" s="74">
        <f t="shared" si="19"/>
        <v>99</v>
      </c>
      <c r="I80" s="74">
        <f t="shared" si="19"/>
        <v>70</v>
      </c>
      <c r="J80" s="74">
        <f t="shared" si="19"/>
        <v>63</v>
      </c>
      <c r="K80" s="74">
        <f t="shared" si="19"/>
        <v>22.6</v>
      </c>
      <c r="L80" s="74">
        <f t="shared" si="19"/>
        <v>28</v>
      </c>
      <c r="M80" s="74">
        <f t="shared" si="19"/>
        <v>33.6</v>
      </c>
      <c r="N80" s="74">
        <f t="shared" si="19"/>
        <v>57</v>
      </c>
      <c r="O80" s="74">
        <f t="shared" si="19"/>
        <v>50</v>
      </c>
      <c r="P80" s="74">
        <f t="shared" si="19"/>
        <v>68</v>
      </c>
      <c r="Q80" s="74">
        <f t="shared" si="19"/>
        <v>47.7</v>
      </c>
      <c r="R80" s="74">
        <f t="shared" si="19"/>
        <v>45</v>
      </c>
      <c r="S80" s="74">
        <f t="shared" si="19"/>
        <v>40</v>
      </c>
      <c r="T80" s="74">
        <f t="shared" si="19"/>
        <v>44</v>
      </c>
      <c r="U80" s="74">
        <f t="shared" si="19"/>
        <v>78.400000000000006</v>
      </c>
      <c r="V80" s="74">
        <f t="shared" si="19"/>
        <v>54.1</v>
      </c>
      <c r="W80" s="74">
        <f t="shared" si="19"/>
        <v>48.3</v>
      </c>
      <c r="X80" s="74">
        <f t="shared" si="19"/>
        <v>49.1</v>
      </c>
      <c r="Y80" s="74">
        <f t="shared" si="19"/>
        <v>48.1</v>
      </c>
      <c r="Z80" s="74">
        <f t="shared" si="19"/>
        <v>8</v>
      </c>
      <c r="AA80" s="74">
        <f t="shared" si="19"/>
        <v>53.3</v>
      </c>
      <c r="AB80" s="74">
        <f t="shared" si="19"/>
        <v>17.3</v>
      </c>
      <c r="AC80" s="74">
        <f t="shared" si="19"/>
        <v>66.099999999999994</v>
      </c>
      <c r="AD80" s="74">
        <f t="shared" si="19"/>
        <v>67.7</v>
      </c>
      <c r="AE80" s="74">
        <f t="shared" si="19"/>
        <v>52</v>
      </c>
      <c r="AF80" s="74">
        <f t="shared" si="19"/>
        <v>56</v>
      </c>
      <c r="AG80" s="79">
        <f t="shared" si="19"/>
        <v>0</v>
      </c>
      <c r="AH80" s="56">
        <f t="shared" si="16"/>
        <v>173</v>
      </c>
      <c r="AI80" s="57">
        <f t="shared" si="17"/>
        <v>8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1119.8799999999999</v>
      </c>
      <c r="C81" s="74">
        <f t="shared" si="20"/>
        <v>1819.8799999999999</v>
      </c>
      <c r="D81" s="74">
        <f t="shared" si="20"/>
        <v>1733.08</v>
      </c>
      <c r="E81" s="74">
        <f t="shared" si="20"/>
        <v>1775.28</v>
      </c>
      <c r="F81" s="74">
        <f t="shared" si="20"/>
        <v>1760.88</v>
      </c>
      <c r="G81" s="74">
        <f t="shared" si="20"/>
        <v>1762.28</v>
      </c>
      <c r="H81" s="74">
        <f t="shared" si="20"/>
        <v>1823.08</v>
      </c>
      <c r="I81" s="74">
        <f t="shared" si="20"/>
        <v>1853.28</v>
      </c>
      <c r="J81" s="74">
        <f t="shared" si="20"/>
        <v>1867.28</v>
      </c>
      <c r="K81" s="74">
        <f t="shared" si="20"/>
        <v>1850.4799999999998</v>
      </c>
      <c r="L81" s="74">
        <f t="shared" si="20"/>
        <v>1909.08</v>
      </c>
      <c r="M81" s="74">
        <f t="shared" si="20"/>
        <v>2004.8799999999999</v>
      </c>
      <c r="N81" s="74">
        <f t="shared" si="20"/>
        <v>1988.6800000000003</v>
      </c>
      <c r="O81" s="74">
        <f t="shared" si="20"/>
        <v>1952.4800000000002</v>
      </c>
      <c r="P81" s="74">
        <f t="shared" si="20"/>
        <v>1920.88</v>
      </c>
      <c r="Q81" s="74">
        <f t="shared" si="20"/>
        <v>1964.28</v>
      </c>
      <c r="R81" s="74">
        <f t="shared" si="20"/>
        <v>1955.2799999999997</v>
      </c>
      <c r="S81" s="74">
        <f t="shared" si="20"/>
        <v>2075.2799999999997</v>
      </c>
      <c r="T81" s="74">
        <f t="shared" si="20"/>
        <v>2026.48</v>
      </c>
      <c r="U81" s="74">
        <f t="shared" si="20"/>
        <v>2206.08</v>
      </c>
      <c r="V81" s="74">
        <f t="shared" si="20"/>
        <v>2243.6800000000003</v>
      </c>
      <c r="W81" s="74">
        <f t="shared" si="20"/>
        <v>2476.0800000000004</v>
      </c>
      <c r="X81" s="74">
        <f t="shared" si="20"/>
        <v>2456.6799999999998</v>
      </c>
      <c r="Y81" s="74">
        <f t="shared" si="20"/>
        <v>2285.88</v>
      </c>
      <c r="Z81" s="74">
        <f t="shared" si="20"/>
        <v>2251.48</v>
      </c>
      <c r="AA81" s="74">
        <f t="shared" si="20"/>
        <v>2265.88</v>
      </c>
      <c r="AB81" s="74">
        <f t="shared" si="20"/>
        <v>2195.08</v>
      </c>
      <c r="AC81" s="74">
        <f t="shared" si="20"/>
        <v>1795.6799999999998</v>
      </c>
      <c r="AD81" s="74">
        <f t="shared" si="20"/>
        <v>1664.48</v>
      </c>
      <c r="AE81" s="74">
        <f t="shared" si="20"/>
        <v>1612.2800000000002</v>
      </c>
      <c r="AF81" s="74">
        <f t="shared" si="20"/>
        <v>1487.28</v>
      </c>
      <c r="AG81" s="79">
        <f t="shared" si="20"/>
        <v>4238.08</v>
      </c>
      <c r="AH81" s="56">
        <f t="shared" si="16"/>
        <v>2476.0800000000004</v>
      </c>
      <c r="AI81" s="57">
        <f t="shared" si="17"/>
        <v>1119.8799999999999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</v>
      </c>
      <c r="C82" s="96">
        <v>50.031999999999996</v>
      </c>
      <c r="D82" s="96">
        <v>50.024000000000001</v>
      </c>
      <c r="E82" s="96">
        <v>49.966000000000001</v>
      </c>
      <c r="F82" s="96">
        <v>50.018000000000001</v>
      </c>
      <c r="G82" s="96">
        <v>50.033999999999999</v>
      </c>
      <c r="H82" s="96">
        <v>50.05</v>
      </c>
      <c r="I82" s="96">
        <v>50.015999999999998</v>
      </c>
      <c r="J82" s="96">
        <v>49.914000000000001</v>
      </c>
      <c r="K82" s="96">
        <v>49.999000000000002</v>
      </c>
      <c r="L82" s="96">
        <v>50.008000000000003</v>
      </c>
      <c r="M82" s="96">
        <v>50.024000000000001</v>
      </c>
      <c r="N82" s="96">
        <v>49.906999999999996</v>
      </c>
      <c r="O82" s="96">
        <v>50</v>
      </c>
      <c r="P82" s="96">
        <v>50.06</v>
      </c>
      <c r="Q82" s="96">
        <v>50.026000000000003</v>
      </c>
      <c r="R82" s="96">
        <v>50.026000000000003</v>
      </c>
      <c r="S82" s="96">
        <v>49.8</v>
      </c>
      <c r="T82" s="96">
        <v>49.84</v>
      </c>
      <c r="U82" s="96">
        <v>49.8</v>
      </c>
      <c r="V82" s="96">
        <v>50.02</v>
      </c>
      <c r="W82" s="96">
        <v>49.84</v>
      </c>
      <c r="X82" s="96">
        <v>49.66</v>
      </c>
      <c r="Y82" s="96">
        <v>49.914999999999999</v>
      </c>
      <c r="Z82" s="96">
        <v>49.92</v>
      </c>
      <c r="AA82" s="96">
        <v>50.05</v>
      </c>
      <c r="AB82" s="96">
        <v>49.98</v>
      </c>
      <c r="AC82" s="96">
        <v>49.92</v>
      </c>
      <c r="AD82" s="96">
        <v>50</v>
      </c>
      <c r="AE82" s="96">
        <v>50</v>
      </c>
      <c r="AF82" s="97">
        <v>50</v>
      </c>
      <c r="AG82" s="98"/>
      <c r="AH82" s="56">
        <f t="shared" si="16"/>
        <v>50.06</v>
      </c>
      <c r="AI82" s="57">
        <f t="shared" si="17"/>
        <v>49.66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63" t="s">
        <v>217</v>
      </c>
      <c r="C83" s="52">
        <v>121</v>
      </c>
      <c r="D83" s="52">
        <v>121.8</v>
      </c>
      <c r="E83" s="52">
        <v>124.3</v>
      </c>
      <c r="F83" s="52">
        <v>125.2</v>
      </c>
      <c r="G83" s="52">
        <v>123.6</v>
      </c>
      <c r="H83" s="52">
        <v>123.5</v>
      </c>
      <c r="I83" s="52">
        <v>122.1</v>
      </c>
      <c r="J83" s="52">
        <v>123.2</v>
      </c>
      <c r="K83" s="52">
        <v>120.7</v>
      </c>
      <c r="L83" s="52">
        <v>120.3</v>
      </c>
      <c r="M83" s="52">
        <v>121.2</v>
      </c>
      <c r="N83" s="52">
        <v>121.3</v>
      </c>
      <c r="O83" s="52">
        <v>120</v>
      </c>
      <c r="P83" s="52">
        <v>120.9</v>
      </c>
      <c r="Q83" s="52">
        <v>122.7</v>
      </c>
      <c r="R83" s="52">
        <v>122.7</v>
      </c>
      <c r="S83" s="52">
        <v>123.6</v>
      </c>
      <c r="T83" s="100">
        <v>124</v>
      </c>
      <c r="U83" s="100">
        <v>124.1</v>
      </c>
      <c r="V83" s="100">
        <v>126.5</v>
      </c>
      <c r="W83" s="100">
        <v>125.8</v>
      </c>
      <c r="X83" s="100">
        <v>126.5</v>
      </c>
      <c r="Y83" s="100">
        <v>126.3</v>
      </c>
      <c r="Z83" s="100">
        <v>123.9</v>
      </c>
      <c r="AA83" s="100">
        <v>123.6</v>
      </c>
      <c r="AB83" s="100">
        <v>123.1</v>
      </c>
      <c r="AC83" s="100">
        <v>123.8</v>
      </c>
      <c r="AD83" s="100">
        <v>122.5</v>
      </c>
      <c r="AE83" s="52">
        <v>124</v>
      </c>
      <c r="AF83" s="101">
        <v>127</v>
      </c>
      <c r="AG83" s="102"/>
      <c r="AH83" s="56">
        <f t="shared" si="16"/>
        <v>127</v>
      </c>
      <c r="AI83" s="57">
        <f t="shared" si="17"/>
        <v>120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63" t="s">
        <v>217</v>
      </c>
      <c r="C84" s="52">
        <v>126.7</v>
      </c>
      <c r="D84" s="52">
        <v>128</v>
      </c>
      <c r="E84" s="52">
        <v>129.5</v>
      </c>
      <c r="F84" s="52">
        <v>129.69999999999999</v>
      </c>
      <c r="G84" s="52">
        <v>128.6</v>
      </c>
      <c r="H84" s="52">
        <v>128.80000000000001</v>
      </c>
      <c r="I84" s="52">
        <v>127.5</v>
      </c>
      <c r="J84" s="52">
        <v>128</v>
      </c>
      <c r="K84" s="52">
        <v>126.7</v>
      </c>
      <c r="L84" s="52">
        <v>125.7</v>
      </c>
      <c r="M84" s="52">
        <v>126.3</v>
      </c>
      <c r="N84" s="52">
        <v>126.4</v>
      </c>
      <c r="O84" s="52">
        <v>126.4</v>
      </c>
      <c r="P84" s="52">
        <v>126.5</v>
      </c>
      <c r="Q84" s="52">
        <v>127.2</v>
      </c>
      <c r="R84" s="52">
        <v>127.2</v>
      </c>
      <c r="S84" s="52">
        <v>128</v>
      </c>
      <c r="T84" s="100">
        <v>128.5</v>
      </c>
      <c r="U84" s="100">
        <v>129.1</v>
      </c>
      <c r="V84" s="100">
        <v>130.4</v>
      </c>
      <c r="W84" s="100">
        <v>129.4</v>
      </c>
      <c r="X84" s="100">
        <v>130.4</v>
      </c>
      <c r="Y84" s="100">
        <v>130.1</v>
      </c>
      <c r="Z84" s="100">
        <v>128.30000000000001</v>
      </c>
      <c r="AA84" s="100">
        <v>128.80000000000001</v>
      </c>
      <c r="AB84" s="100">
        <v>128.5</v>
      </c>
      <c r="AC84" s="100">
        <v>128.69999999999999</v>
      </c>
      <c r="AD84" s="100">
        <v>128.5</v>
      </c>
      <c r="AE84" s="52">
        <v>129</v>
      </c>
      <c r="AF84" s="101">
        <v>131</v>
      </c>
      <c r="AG84" s="102"/>
      <c r="AH84" s="56">
        <f t="shared" si="16"/>
        <v>131</v>
      </c>
      <c r="AI84" s="57">
        <f t="shared" si="17"/>
        <v>125.7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>
        <v>127.5</v>
      </c>
      <c r="C85" s="52">
        <v>128.9</v>
      </c>
      <c r="D85" s="52">
        <v>130.9</v>
      </c>
      <c r="E85" s="52">
        <v>128.5</v>
      </c>
      <c r="F85" s="52">
        <v>130.19999999999999</v>
      </c>
      <c r="G85" s="52">
        <v>128.80000000000001</v>
      </c>
      <c r="H85" s="52">
        <v>128.80000000000001</v>
      </c>
      <c r="I85" s="52">
        <v>129.4</v>
      </c>
      <c r="J85" s="52">
        <v>127.3</v>
      </c>
      <c r="K85" s="52">
        <v>127.7</v>
      </c>
      <c r="L85" s="52">
        <v>127.8</v>
      </c>
      <c r="M85" s="52">
        <v>128.1</v>
      </c>
      <c r="N85" s="52">
        <v>128.9</v>
      </c>
      <c r="O85" s="52">
        <v>128.9</v>
      </c>
      <c r="P85" s="52">
        <v>132</v>
      </c>
      <c r="Q85" s="52">
        <v>130.69999999999999</v>
      </c>
      <c r="R85" s="52">
        <v>130.69999999999999</v>
      </c>
      <c r="S85" s="52">
        <v>129</v>
      </c>
      <c r="T85" s="52">
        <v>129</v>
      </c>
      <c r="U85" s="52">
        <v>134</v>
      </c>
      <c r="V85" s="52">
        <v>129.80000000000001</v>
      </c>
      <c r="W85" s="52">
        <v>131.30000000000001</v>
      </c>
      <c r="X85" s="52">
        <v>129.80000000000001</v>
      </c>
      <c r="Y85" s="52">
        <v>131.19999999999999</v>
      </c>
      <c r="Z85" s="52">
        <v>130.80000000000001</v>
      </c>
      <c r="AA85" s="52">
        <v>130.69999999999999</v>
      </c>
      <c r="AB85" s="52">
        <v>133.1</v>
      </c>
      <c r="AC85" s="52"/>
      <c r="AD85" s="52"/>
      <c r="AE85" s="52"/>
      <c r="AF85" s="101"/>
      <c r="AG85" s="102"/>
      <c r="AH85" s="56">
        <f t="shared" si="16"/>
        <v>134</v>
      </c>
      <c r="AI85" s="57">
        <f t="shared" si="17"/>
        <v>127.3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>
        <v>131.1</v>
      </c>
      <c r="C86" s="52">
        <v>133.80000000000001</v>
      </c>
      <c r="D86" s="52">
        <v>134.69999999999999</v>
      </c>
      <c r="E86" s="52">
        <v>133.5</v>
      </c>
      <c r="F86" s="52">
        <v>135.69999999999999</v>
      </c>
      <c r="G86" s="52">
        <v>133.4</v>
      </c>
      <c r="H86" s="52">
        <v>132.69999999999999</v>
      </c>
      <c r="I86" s="52">
        <v>132.9</v>
      </c>
      <c r="J86" s="52">
        <v>130.9</v>
      </c>
      <c r="K86" s="52">
        <v>131.19999999999999</v>
      </c>
      <c r="L86" s="52">
        <v>131.6</v>
      </c>
      <c r="M86" s="52">
        <v>131.4</v>
      </c>
      <c r="N86" s="52">
        <v>132.69999999999999</v>
      </c>
      <c r="O86" s="52">
        <v>132.69999999999999</v>
      </c>
      <c r="P86" s="52">
        <v>135</v>
      </c>
      <c r="Q86" s="52">
        <v>134.6</v>
      </c>
      <c r="R86" s="52">
        <v>134.6</v>
      </c>
      <c r="S86" s="52">
        <v>130.69999999999999</v>
      </c>
      <c r="T86" s="52">
        <v>130.9</v>
      </c>
      <c r="U86" s="52">
        <v>135.80000000000001</v>
      </c>
      <c r="V86" s="52">
        <v>130.69999999999999</v>
      </c>
      <c r="W86" s="52">
        <v>135</v>
      </c>
      <c r="X86" s="52">
        <v>130.69999999999999</v>
      </c>
      <c r="Y86" s="52">
        <v>136</v>
      </c>
      <c r="Z86" s="52">
        <v>132.4</v>
      </c>
      <c r="AA86" s="52">
        <v>132.19999999999999</v>
      </c>
      <c r="AB86" s="52">
        <v>131.6</v>
      </c>
      <c r="AC86" s="52"/>
      <c r="AD86" s="52"/>
      <c r="AE86" s="52"/>
      <c r="AF86" s="101"/>
      <c r="AG86" s="102"/>
      <c r="AH86" s="56">
        <f t="shared" si="16"/>
        <v>136</v>
      </c>
      <c r="AI86" s="57">
        <f t="shared" si="17"/>
        <v>130.69999999999999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63" t="s">
        <v>217</v>
      </c>
      <c r="C87" s="104">
        <v>131.69999999999999</v>
      </c>
      <c r="D87" s="104">
        <v>133.80000000000001</v>
      </c>
      <c r="E87" s="104">
        <v>133.9</v>
      </c>
      <c r="F87" s="104">
        <v>133.80000000000001</v>
      </c>
      <c r="G87" s="104">
        <v>133.30000000000001</v>
      </c>
      <c r="H87" s="104">
        <v>133.30000000000001</v>
      </c>
      <c r="I87" s="104">
        <v>131.80000000000001</v>
      </c>
      <c r="J87" s="104">
        <v>134.1</v>
      </c>
      <c r="K87" s="104">
        <v>133.30000000000001</v>
      </c>
      <c r="L87" s="104">
        <v>136.69999999999999</v>
      </c>
      <c r="M87" s="104">
        <v>132.30000000000001</v>
      </c>
      <c r="N87" s="104">
        <v>133.6</v>
      </c>
      <c r="O87" s="104">
        <v>133.6</v>
      </c>
      <c r="P87" s="104">
        <v>135</v>
      </c>
      <c r="Q87" s="104">
        <v>135.69999999999999</v>
      </c>
      <c r="R87" s="104">
        <v>135.69999999999999</v>
      </c>
      <c r="S87" s="104">
        <v>130</v>
      </c>
      <c r="T87" s="104">
        <v>133.9</v>
      </c>
      <c r="U87" s="104">
        <v>136.5</v>
      </c>
      <c r="V87" s="104">
        <v>135.80000000000001</v>
      </c>
      <c r="W87" s="104">
        <v>135.19999999999999</v>
      </c>
      <c r="X87" s="104">
        <v>135.80000000000001</v>
      </c>
      <c r="Y87" s="104">
        <v>133.19999999999999</v>
      </c>
      <c r="Z87" s="104">
        <v>134</v>
      </c>
      <c r="AA87" s="104">
        <v>131</v>
      </c>
      <c r="AB87" s="104">
        <v>132.30000000000001</v>
      </c>
      <c r="AC87" s="104">
        <v>130.1</v>
      </c>
      <c r="AD87" s="104">
        <v>132.30000000000001</v>
      </c>
      <c r="AE87" s="104">
        <v>132.6</v>
      </c>
      <c r="AF87" s="105">
        <v>132</v>
      </c>
      <c r="AG87" s="106"/>
      <c r="AH87" s="56">
        <f t="shared" si="16"/>
        <v>136.69999999999999</v>
      </c>
      <c r="AI87" s="57">
        <f t="shared" si="17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136</v>
      </c>
      <c r="C88" s="52">
        <v>130.1</v>
      </c>
      <c r="D88" s="52">
        <v>134.69999999999999</v>
      </c>
      <c r="E88" s="52">
        <v>134.4</v>
      </c>
      <c r="F88" s="52">
        <v>131.30000000000001</v>
      </c>
      <c r="G88" s="52">
        <v>129.5</v>
      </c>
      <c r="H88" s="52">
        <v>128.6</v>
      </c>
      <c r="I88" s="52">
        <v>130</v>
      </c>
      <c r="J88" s="52">
        <v>131.19999999999999</v>
      </c>
      <c r="K88" s="52">
        <v>130.6</v>
      </c>
      <c r="L88" s="52">
        <v>129.6</v>
      </c>
      <c r="M88" s="52">
        <v>132.4</v>
      </c>
      <c r="N88" s="52">
        <v>131.9</v>
      </c>
      <c r="O88" s="52">
        <v>131.9</v>
      </c>
      <c r="P88" s="52">
        <v>135.5</v>
      </c>
      <c r="Q88" s="52">
        <v>132.4</v>
      </c>
      <c r="R88" s="52">
        <v>132.4</v>
      </c>
      <c r="S88" s="52">
        <v>127</v>
      </c>
      <c r="T88" s="52">
        <v>131.9</v>
      </c>
      <c r="U88" s="52">
        <v>138</v>
      </c>
      <c r="V88" s="52">
        <v>134.4</v>
      </c>
      <c r="W88" s="52">
        <v>131</v>
      </c>
      <c r="X88" s="52">
        <v>134.4</v>
      </c>
      <c r="Y88" s="52">
        <v>131.69999999999999</v>
      </c>
      <c r="Z88" s="52">
        <v>133.4</v>
      </c>
      <c r="AA88" s="52">
        <v>128.80000000000001</v>
      </c>
      <c r="AB88" s="52">
        <v>129.1</v>
      </c>
      <c r="AC88" s="52">
        <v>128</v>
      </c>
      <c r="AD88" s="52">
        <v>131.5</v>
      </c>
      <c r="AE88" s="52">
        <v>131</v>
      </c>
      <c r="AF88" s="101">
        <v>130</v>
      </c>
      <c r="AG88" s="102"/>
      <c r="AH88" s="56">
        <f t="shared" si="16"/>
        <v>138</v>
      </c>
      <c r="AI88" s="57">
        <f t="shared" si="17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63" t="s">
        <v>217</v>
      </c>
      <c r="C89" s="107">
        <v>65.900000000000006</v>
      </c>
      <c r="D89" s="107">
        <v>65.400000000000006</v>
      </c>
      <c r="E89" s="107">
        <v>66.2</v>
      </c>
      <c r="F89" s="107">
        <v>66.2</v>
      </c>
      <c r="G89" s="107">
        <v>66.2</v>
      </c>
      <c r="H89" s="107">
        <v>65.8</v>
      </c>
      <c r="I89" s="107">
        <v>65.099999999999994</v>
      </c>
      <c r="J89" s="107">
        <v>65.599999999999994</v>
      </c>
      <c r="K89" s="107">
        <v>65</v>
      </c>
      <c r="L89" s="107">
        <v>65</v>
      </c>
      <c r="M89" s="107">
        <v>65.099999999999994</v>
      </c>
      <c r="N89" s="107">
        <v>65</v>
      </c>
      <c r="O89" s="107">
        <v>65</v>
      </c>
      <c r="P89" s="107">
        <v>65</v>
      </c>
      <c r="Q89" s="107">
        <v>65</v>
      </c>
      <c r="R89" s="107">
        <v>65</v>
      </c>
      <c r="S89" s="107">
        <v>65</v>
      </c>
      <c r="T89" s="107">
        <v>65.900000000000006</v>
      </c>
      <c r="U89" s="107">
        <v>66</v>
      </c>
      <c r="V89" s="107">
        <v>66.8</v>
      </c>
      <c r="W89" s="107">
        <v>66.099999999999994</v>
      </c>
      <c r="X89" s="107">
        <v>66.8</v>
      </c>
      <c r="Y89" s="107">
        <v>66.5</v>
      </c>
      <c r="Z89" s="107">
        <v>65.8</v>
      </c>
      <c r="AA89" s="107">
        <v>65.900000000000006</v>
      </c>
      <c r="AB89" s="107">
        <v>65.900000000000006</v>
      </c>
      <c r="AC89" s="107">
        <v>65.7</v>
      </c>
      <c r="AD89" s="107">
        <v>65.8</v>
      </c>
      <c r="AE89" s="107">
        <v>65</v>
      </c>
      <c r="AF89" s="108">
        <v>66</v>
      </c>
      <c r="AG89" s="109"/>
      <c r="AH89" s="56">
        <f t="shared" si="16"/>
        <v>66.8</v>
      </c>
      <c r="AI89" s="57">
        <f t="shared" si="17"/>
        <v>65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76.040000000000006</v>
      </c>
      <c r="C91" s="114">
        <f t="shared" ref="C91:AF91" si="21">SUM(C14,C17,C20:C21,C40,C42:C43,C45,C47,C92:C95,C100,C106,C112,C121,C123,C135,C142,C145:C146,C153,C155,C157,C161:C163,C165:C167,C172,C178:C179,C181:C183,C191,C196)</f>
        <v>119.83999999999999</v>
      </c>
      <c r="D91" s="114">
        <f t="shared" si="21"/>
        <v>109.93999999999998</v>
      </c>
      <c r="E91" s="114">
        <f t="shared" si="21"/>
        <v>116.23999999999997</v>
      </c>
      <c r="F91" s="115">
        <f t="shared" si="21"/>
        <v>130.13999999999993</v>
      </c>
      <c r="G91" s="115">
        <f t="shared" si="21"/>
        <v>145.73999999999998</v>
      </c>
      <c r="H91" s="115">
        <f t="shared" si="21"/>
        <v>152.73999999999998</v>
      </c>
      <c r="I91" s="115">
        <f t="shared" si="21"/>
        <v>173.83999999999997</v>
      </c>
      <c r="J91" s="115">
        <f t="shared" si="21"/>
        <v>200.93999999999994</v>
      </c>
      <c r="K91" s="115">
        <f t="shared" si="21"/>
        <v>224.93999999999997</v>
      </c>
      <c r="L91" s="115">
        <f t="shared" si="21"/>
        <v>234.73999999999995</v>
      </c>
      <c r="M91" s="115">
        <f t="shared" si="21"/>
        <v>241.73999999999998</v>
      </c>
      <c r="N91" s="115">
        <f t="shared" si="21"/>
        <v>250.43999999999994</v>
      </c>
      <c r="O91" s="115">
        <f t="shared" si="21"/>
        <v>235.13999999999996</v>
      </c>
      <c r="P91" s="115">
        <f t="shared" si="21"/>
        <v>221.83999999999995</v>
      </c>
      <c r="Q91" s="115">
        <f t="shared" si="21"/>
        <v>204.93999999999994</v>
      </c>
      <c r="R91" s="115">
        <f t="shared" si="21"/>
        <v>209.93999999999994</v>
      </c>
      <c r="S91" s="115">
        <f t="shared" si="21"/>
        <v>225.73999999999995</v>
      </c>
      <c r="T91" s="115">
        <f t="shared" si="21"/>
        <v>208.43999999999994</v>
      </c>
      <c r="U91" s="115">
        <f t="shared" si="21"/>
        <v>223.53999999999996</v>
      </c>
      <c r="V91" s="115">
        <f t="shared" si="21"/>
        <v>278.74</v>
      </c>
      <c r="W91" s="115">
        <f t="shared" si="21"/>
        <v>289.33999999999997</v>
      </c>
      <c r="X91" s="115">
        <f t="shared" si="21"/>
        <v>257.64</v>
      </c>
      <c r="Y91" s="115">
        <f t="shared" si="21"/>
        <v>280.54999999999995</v>
      </c>
      <c r="Z91" s="115">
        <f t="shared" si="21"/>
        <v>280.54999999999995</v>
      </c>
      <c r="AA91" s="115">
        <f t="shared" si="21"/>
        <v>231.73999999999995</v>
      </c>
      <c r="AB91" s="115">
        <f t="shared" si="21"/>
        <v>227.13999999999996</v>
      </c>
      <c r="AC91" s="115">
        <f t="shared" si="21"/>
        <v>190.03999999999996</v>
      </c>
      <c r="AD91" s="115">
        <f t="shared" si="21"/>
        <v>151.43999999999997</v>
      </c>
      <c r="AE91" s="115">
        <f t="shared" si="21"/>
        <v>149.03999999999996</v>
      </c>
      <c r="AF91" s="115">
        <f t="shared" si="21"/>
        <v>124.63999999999997</v>
      </c>
      <c r="AG91" s="116"/>
      <c r="AH91" s="56">
        <f>MAX(B91:AF91)</f>
        <v>289.33999999999997</v>
      </c>
      <c r="AI91" s="57">
        <f>MIN(B91:AF91)</f>
        <v>76.040000000000006</v>
      </c>
    </row>
    <row r="92" spans="1:88" x14ac:dyDescent="0.25">
      <c r="A92" s="117" t="s">
        <v>96</v>
      </c>
      <c r="B92" s="60">
        <v>0</v>
      </c>
      <c r="C92" s="60">
        <v>26.9</v>
      </c>
      <c r="D92" s="60">
        <v>30.4</v>
      </c>
      <c r="E92" s="60">
        <v>34</v>
      </c>
      <c r="F92" s="118">
        <v>34.700000000000003</v>
      </c>
      <c r="G92" s="118">
        <v>34.4</v>
      </c>
      <c r="H92" s="118">
        <v>34.200000000000003</v>
      </c>
      <c r="I92" s="118">
        <v>32.4</v>
      </c>
      <c r="J92" s="118">
        <v>33.299999999999997</v>
      </c>
      <c r="K92" s="118">
        <v>30.5</v>
      </c>
      <c r="L92" s="54">
        <v>29</v>
      </c>
      <c r="M92" s="118">
        <v>24.8</v>
      </c>
      <c r="N92" s="118">
        <v>28.2</v>
      </c>
      <c r="O92" s="118">
        <v>30</v>
      </c>
      <c r="P92" s="118">
        <v>26.5</v>
      </c>
      <c r="Q92" s="118">
        <v>28.1</v>
      </c>
      <c r="R92" s="118">
        <v>27</v>
      </c>
      <c r="S92" s="118">
        <v>26.8</v>
      </c>
      <c r="T92" s="54">
        <v>14.5</v>
      </c>
      <c r="U92" s="54">
        <v>23.3</v>
      </c>
      <c r="V92" s="54">
        <v>29.9</v>
      </c>
      <c r="W92" s="118">
        <v>33.4</v>
      </c>
      <c r="X92" s="118">
        <v>29.4</v>
      </c>
      <c r="Y92" s="118">
        <v>49.91</v>
      </c>
      <c r="Z92" s="118">
        <v>49.91</v>
      </c>
      <c r="AA92" s="54">
        <v>23.7</v>
      </c>
      <c r="AB92" s="54">
        <v>27.2</v>
      </c>
      <c r="AC92" s="54">
        <v>31.5</v>
      </c>
      <c r="AD92" s="54">
        <v>42.6</v>
      </c>
      <c r="AE92" s="54">
        <v>25.5</v>
      </c>
      <c r="AF92" s="119">
        <v>23.9</v>
      </c>
      <c r="AG92" s="120">
        <v>75</v>
      </c>
      <c r="AH92" s="56">
        <f t="shared" ref="AH92:AH97" si="22">IF(ABS(MAX(B92:AF92))&gt;ABS(MIN(B92:AF92)),MAX(B92:AF92),MIN(B92:AF92))</f>
        <v>49.91</v>
      </c>
      <c r="AI92" s="121">
        <f t="shared" ref="AI92:AI97" si="23">INDEX($B$9:$AF$9,1,MATCH(AH92,B92:AF92,0))</f>
        <v>0.79166666666666663</v>
      </c>
    </row>
    <row r="93" spans="1:88" x14ac:dyDescent="0.25">
      <c r="A93" s="122" t="s">
        <v>97</v>
      </c>
      <c r="B93" s="62">
        <v>0</v>
      </c>
      <c r="C93" s="62">
        <v>-89</v>
      </c>
      <c r="D93" s="62">
        <v>-100</v>
      </c>
      <c r="E93" s="62">
        <v>-98</v>
      </c>
      <c r="F93" s="62">
        <v>-92</v>
      </c>
      <c r="G93" s="62">
        <v>-92</v>
      </c>
      <c r="H93" s="62">
        <v>-98</v>
      </c>
      <c r="I93" s="62">
        <v>-97</v>
      </c>
      <c r="J93" s="62">
        <v>-98</v>
      </c>
      <c r="K93" s="62">
        <v>-104</v>
      </c>
      <c r="L93" s="62">
        <v>-106.4</v>
      </c>
      <c r="M93" s="62">
        <v>-95.2</v>
      </c>
      <c r="N93" s="62">
        <v>-90.5</v>
      </c>
      <c r="O93" s="62">
        <v>-100</v>
      </c>
      <c r="P93" s="62">
        <v>-100</v>
      </c>
      <c r="Q93" s="62">
        <v>-91.9</v>
      </c>
      <c r="R93" s="62">
        <v>-85</v>
      </c>
      <c r="S93" s="62">
        <v>-78</v>
      </c>
      <c r="T93" s="62">
        <v>-90</v>
      </c>
      <c r="U93" s="62">
        <f>-38.6-51.1</f>
        <v>-89.7</v>
      </c>
      <c r="V93" s="62">
        <v>-70.8</v>
      </c>
      <c r="W93" s="62">
        <v>-73.7</v>
      </c>
      <c r="X93" s="62">
        <v>-90.1</v>
      </c>
      <c r="Y93" s="62">
        <v>-78.7</v>
      </c>
      <c r="Z93" s="62">
        <v>-78.7</v>
      </c>
      <c r="AA93" s="52">
        <f>-42.2-56.1</f>
        <v>-98.300000000000011</v>
      </c>
      <c r="AB93" s="52">
        <f>-44.5-58.1</f>
        <v>-102.6</v>
      </c>
      <c r="AC93" s="52">
        <f>-45.5-56.4</f>
        <v>-101.9</v>
      </c>
      <c r="AD93" s="52">
        <f>-45-53.6</f>
        <v>-98.6</v>
      </c>
      <c r="AE93" s="52">
        <v>-107</v>
      </c>
      <c r="AF93" s="123">
        <v>-83</v>
      </c>
      <c r="AG93" s="120">
        <v>240</v>
      </c>
      <c r="AH93" s="56">
        <f t="shared" si="22"/>
        <v>-107</v>
      </c>
      <c r="AI93" s="121">
        <f t="shared" si="23"/>
        <v>0.95833333333333304</v>
      </c>
    </row>
    <row r="94" spans="1:88" x14ac:dyDescent="0.25">
      <c r="A94" s="122" t="s">
        <v>98</v>
      </c>
      <c r="B94" s="62">
        <v>0</v>
      </c>
      <c r="C94" s="62">
        <v>-12.2</v>
      </c>
      <c r="D94" s="62">
        <v>-12.6</v>
      </c>
      <c r="E94" s="62">
        <v>-9.5</v>
      </c>
      <c r="F94" s="62">
        <v>-9.4</v>
      </c>
      <c r="G94" s="62">
        <v>-7.1</v>
      </c>
      <c r="H94" s="62">
        <v>-11.9</v>
      </c>
      <c r="I94" s="62">
        <v>-10.1</v>
      </c>
      <c r="J94" s="62">
        <v>-9.1999999999999993</v>
      </c>
      <c r="K94" s="62">
        <v>-11.8</v>
      </c>
      <c r="L94" s="62">
        <v>-4.9000000000000004</v>
      </c>
      <c r="M94" s="62">
        <v>13.2</v>
      </c>
      <c r="N94" s="62">
        <v>11.5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6</v>
      </c>
      <c r="U94" s="62">
        <v>4.5</v>
      </c>
      <c r="V94" s="62">
        <v>24.9</v>
      </c>
      <c r="W94" s="62">
        <v>19.8</v>
      </c>
      <c r="X94" s="62">
        <v>16.7</v>
      </c>
      <c r="Y94" s="62">
        <v>21.6</v>
      </c>
      <c r="Z94" s="62">
        <v>21.6</v>
      </c>
      <c r="AA94" s="52">
        <v>6.6</v>
      </c>
      <c r="AB94" s="52">
        <v>-7.9</v>
      </c>
      <c r="AC94" s="52">
        <v>-12.5</v>
      </c>
      <c r="AD94" s="52">
        <v>-13.6</v>
      </c>
      <c r="AE94" s="52">
        <v>-14</v>
      </c>
      <c r="AF94" s="123">
        <v>-5.9</v>
      </c>
      <c r="AG94" s="120">
        <v>60</v>
      </c>
      <c r="AH94" s="56">
        <f t="shared" si="22"/>
        <v>24.9</v>
      </c>
      <c r="AI94" s="121">
        <f t="shared" si="23"/>
        <v>0.72916666666666663</v>
      </c>
    </row>
    <row r="95" spans="1:88" x14ac:dyDescent="0.25">
      <c r="A95" s="124" t="s">
        <v>99</v>
      </c>
      <c r="B95" s="65">
        <v>-42</v>
      </c>
      <c r="C95" s="65">
        <v>-7</v>
      </c>
      <c r="D95" s="65">
        <v>6.4</v>
      </c>
      <c r="E95" s="65">
        <v>4</v>
      </c>
      <c r="F95" s="65">
        <v>11.1</v>
      </c>
      <c r="G95" s="65">
        <v>26.7</v>
      </c>
      <c r="H95" s="65">
        <v>34.299999999999997</v>
      </c>
      <c r="I95" s="65">
        <v>54.4</v>
      </c>
      <c r="J95" s="65">
        <v>69.400000000000006</v>
      </c>
      <c r="K95" s="65">
        <v>81.7</v>
      </c>
      <c r="L95" s="65">
        <v>81.400000000000006</v>
      </c>
      <c r="M95" s="65">
        <v>72.400000000000006</v>
      </c>
      <c r="N95" s="65">
        <v>74.099999999999994</v>
      </c>
      <c r="O95" s="65">
        <v>78</v>
      </c>
      <c r="P95" s="65">
        <v>72</v>
      </c>
      <c r="Q95" s="65">
        <v>36.299999999999997</v>
      </c>
      <c r="R95" s="65">
        <v>40</v>
      </c>
      <c r="S95" s="65">
        <v>49</v>
      </c>
      <c r="T95" s="65">
        <v>50</v>
      </c>
      <c r="U95" s="65">
        <v>58.2</v>
      </c>
      <c r="V95" s="65">
        <v>62.5</v>
      </c>
      <c r="W95" s="65">
        <v>77.599999999999994</v>
      </c>
      <c r="X95" s="65">
        <v>69.400000000000006</v>
      </c>
      <c r="Y95" s="65">
        <v>55.5</v>
      </c>
      <c r="Z95" s="65">
        <v>55.5</v>
      </c>
      <c r="AA95" s="125">
        <v>68.3</v>
      </c>
      <c r="AB95" s="125">
        <v>79</v>
      </c>
      <c r="AC95" s="125">
        <v>41.2</v>
      </c>
      <c r="AD95" s="125">
        <v>8.6999999999999993</v>
      </c>
      <c r="AE95" s="125">
        <v>23.5</v>
      </c>
      <c r="AF95" s="126">
        <v>-11.4</v>
      </c>
      <c r="AG95" s="127">
        <v>120</v>
      </c>
      <c r="AH95" s="56">
        <f t="shared" si="22"/>
        <v>81.7</v>
      </c>
      <c r="AI95" s="121">
        <f t="shared" si="23"/>
        <v>0.3125</v>
      </c>
    </row>
    <row r="96" spans="1:88" x14ac:dyDescent="0.25">
      <c r="A96" s="124" t="s">
        <v>100</v>
      </c>
      <c r="B96" s="65">
        <v>0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125">
        <v>0</v>
      </c>
      <c r="AB96" s="125">
        <v>0</v>
      </c>
      <c r="AC96" s="125">
        <v>0</v>
      </c>
      <c r="AD96" s="125">
        <v>0</v>
      </c>
      <c r="AE96" s="125">
        <v>0</v>
      </c>
      <c r="AF96" s="126">
        <v>15.5</v>
      </c>
      <c r="AG96" s="127"/>
      <c r="AH96" s="56">
        <f t="shared" si="22"/>
        <v>15.5</v>
      </c>
      <c r="AI96" s="121">
        <f t="shared" si="23"/>
        <v>1</v>
      </c>
    </row>
    <row r="97" spans="1:37" ht="15.75" thickBot="1" x14ac:dyDescent="0.3">
      <c r="A97" s="124" t="s">
        <v>101</v>
      </c>
      <c r="B97" s="65">
        <v>0</v>
      </c>
      <c r="C97" s="65">
        <v>28.3</v>
      </c>
      <c r="D97" s="65">
        <v>22</v>
      </c>
      <c r="E97" s="65">
        <v>29.8</v>
      </c>
      <c r="F97" s="65">
        <v>21.6</v>
      </c>
      <c r="G97" s="65">
        <v>22.5</v>
      </c>
      <c r="H97" s="65">
        <v>22.8</v>
      </c>
      <c r="I97" s="65">
        <v>29.5</v>
      </c>
      <c r="J97" s="65">
        <v>34.9</v>
      </c>
      <c r="K97" s="65">
        <v>36.700000000000003</v>
      </c>
      <c r="L97" s="65">
        <v>35</v>
      </c>
      <c r="M97" s="65">
        <v>47.3</v>
      </c>
      <c r="N97" s="65">
        <v>45.7</v>
      </c>
      <c r="O97" s="65">
        <v>45</v>
      </c>
      <c r="P97" s="65">
        <v>46.8</v>
      </c>
      <c r="Q97" s="65">
        <v>54.6</v>
      </c>
      <c r="R97" s="65">
        <v>56</v>
      </c>
      <c r="S97" s="65">
        <v>59</v>
      </c>
      <c r="T97" s="65">
        <v>64</v>
      </c>
      <c r="U97" s="65">
        <v>56.2</v>
      </c>
      <c r="V97" s="65">
        <v>44.6</v>
      </c>
      <c r="W97" s="65">
        <v>41.3</v>
      </c>
      <c r="X97" s="65">
        <v>42.5</v>
      </c>
      <c r="Y97" s="65">
        <v>62.8</v>
      </c>
      <c r="Z97" s="65">
        <v>62.8</v>
      </c>
      <c r="AA97" s="125">
        <v>55.6</v>
      </c>
      <c r="AB97" s="125">
        <v>53.2</v>
      </c>
      <c r="AC97" s="125">
        <v>45</v>
      </c>
      <c r="AD97" s="125">
        <v>27.6</v>
      </c>
      <c r="AE97" s="125">
        <v>48</v>
      </c>
      <c r="AF97" s="126">
        <v>47.7</v>
      </c>
      <c r="AG97" s="128"/>
      <c r="AH97" s="56">
        <f t="shared" si="22"/>
        <v>64</v>
      </c>
      <c r="AI97" s="121">
        <f t="shared" si="23"/>
        <v>0.66666666666666696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968.84</v>
      </c>
      <c r="C206" s="164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2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2078/07/2)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2078/07/2)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386.93999999999994</v>
      </c>
      <c r="U211" s="173">
        <f t="shared" si="52"/>
        <v>760.93999999999994</v>
      </c>
      <c r="V211" s="173">
        <f t="shared" si="52"/>
        <v>786.54</v>
      </c>
      <c r="W211" s="173">
        <f t="shared" si="52"/>
        <v>793.64</v>
      </c>
      <c r="X211" s="173">
        <f t="shared" si="52"/>
        <v>806.04</v>
      </c>
      <c r="Y211" s="173">
        <f t="shared" si="52"/>
        <v>786.14</v>
      </c>
      <c r="Z211" s="173">
        <f t="shared" si="52"/>
        <v>812.54</v>
      </c>
      <c r="AA211" s="173">
        <f t="shared" si="52"/>
        <v>856.64</v>
      </c>
      <c r="AB211" s="173">
        <f t="shared" si="52"/>
        <v>870.64</v>
      </c>
      <c r="AC211" s="173">
        <f t="shared" si="52"/>
        <v>902.64</v>
      </c>
      <c r="AD211" s="173">
        <f t="shared" si="52"/>
        <v>926.54</v>
      </c>
      <c r="AE211" s="173">
        <f t="shared" si="52"/>
        <v>968.84</v>
      </c>
      <c r="AF211" s="173">
        <f t="shared" si="52"/>
        <v>937.34000000000015</v>
      </c>
      <c r="AG211" s="173">
        <f t="shared" si="52"/>
        <v>926.24000000000012</v>
      </c>
      <c r="AH211" s="173">
        <f t="shared" si="52"/>
        <v>892.44</v>
      </c>
      <c r="AI211" s="173">
        <f t="shared" si="52"/>
        <v>934.43999999999994</v>
      </c>
      <c r="AJ211" s="173">
        <f t="shared" si="52"/>
        <v>932.63999999999987</v>
      </c>
      <c r="AK211" s="173">
        <f t="shared" si="52"/>
        <v>997.63999999999987</v>
      </c>
      <c r="AL211" s="173">
        <f t="shared" si="52"/>
        <v>969.24</v>
      </c>
      <c r="AM211" s="173">
        <f t="shared" si="52"/>
        <v>1024.6399999999999</v>
      </c>
      <c r="AN211" s="173">
        <f t="shared" si="52"/>
        <v>1067.7400000000002</v>
      </c>
      <c r="AO211" s="173">
        <f t="shared" si="52"/>
        <v>1189.74</v>
      </c>
      <c r="AP211" s="173">
        <f t="shared" si="52"/>
        <v>1179.24</v>
      </c>
      <c r="AQ211" s="173">
        <f t="shared" si="52"/>
        <v>1094.8400000000001</v>
      </c>
      <c r="AR211" s="173">
        <f t="shared" si="52"/>
        <v>1117.74</v>
      </c>
      <c r="AS211" s="173">
        <f t="shared" si="52"/>
        <v>1079.6399999999999</v>
      </c>
      <c r="AT211" s="173">
        <f t="shared" si="52"/>
        <v>1080.2399999999998</v>
      </c>
      <c r="AU211" s="173">
        <f t="shared" si="52"/>
        <v>831.74</v>
      </c>
      <c r="AV211" s="173">
        <f t="shared" si="52"/>
        <v>764.54</v>
      </c>
      <c r="AW211" s="173">
        <f t="shared" si="52"/>
        <v>754.1400000000001</v>
      </c>
      <c r="AX211" s="173">
        <f t="shared" si="52"/>
        <v>687.64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642" priority="337">
      <formula>S$9&gt;=20/24</formula>
    </cfRule>
    <cfRule type="expression" dxfId="10641" priority="338">
      <formula>AND(S$9&gt;=14/24,S$9&lt;20/24)</formula>
    </cfRule>
    <cfRule type="expression" dxfId="10640" priority="339">
      <formula>AND(S$9&gt;=8/24,S$9&lt;14/24)</formula>
    </cfRule>
    <cfRule type="expression" dxfId="10639" priority="340">
      <formula>S$9&lt;8/24</formula>
    </cfRule>
  </conditionalFormatting>
  <conditionalFormatting sqref="B8:AF10 AA79:AF79 B79:Q79 B54:AF54 B80:AF80 C191:AF197 B66:AF70 M60:M65 T210:AX210 N59:N65 P43:P46 AE82:AF89 B72:AF76 B78:AF78 L59:M59 L58:N58 B55:K59 B61:K65 V17:W24 L15:P20 L37:S40 L56:V57 O58:T65 Q15:U15 L11:U13 L35:U35 V26:W29 W25 V11:AD11 X17:AD29 T38:AD40 AE26:AF29 L51:AF53 AE55:AF57">
    <cfRule type="expression" dxfId="10638" priority="333">
      <formula>B$9&gt;=20/24</formula>
    </cfRule>
    <cfRule type="expression" dxfId="10637" priority="334">
      <formula>AND(B$9&gt;=14/24,B$9&lt;20/24)</formula>
    </cfRule>
    <cfRule type="expression" dxfId="10636" priority="335">
      <formula>AND(B$9&gt;=8/24,B$9&lt;14/24)</formula>
    </cfRule>
    <cfRule type="expression" dxfId="10635" priority="336">
      <formula>B$9&lt;8/24</formula>
    </cfRule>
  </conditionalFormatting>
  <conditionalFormatting sqref="B189:AF189">
    <cfRule type="expression" dxfId="10634" priority="329">
      <formula>B$9&gt;=20/24</formula>
    </cfRule>
    <cfRule type="expression" dxfId="10633" priority="330">
      <formula>AND(B$9&gt;=14/24,B$9&lt;20/24)</formula>
    </cfRule>
    <cfRule type="expression" dxfId="10632" priority="331">
      <formula>AND(B$9&gt;=8/24,B$9&lt;14/24)</formula>
    </cfRule>
    <cfRule type="expression" dxfId="10631" priority="332">
      <formula>B$9&lt;8/24</formula>
    </cfRule>
  </conditionalFormatting>
  <conditionalFormatting sqref="AL4:AL6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L55:S55">
    <cfRule type="expression" dxfId="10630" priority="324">
      <formula>L$9&gt;=20/24</formula>
    </cfRule>
    <cfRule type="expression" dxfId="10629" priority="325">
      <formula>AND(L$9&gt;=14/24,L$9&lt;20/24)</formula>
    </cfRule>
    <cfRule type="expression" dxfId="10628" priority="326">
      <formula>AND(L$9&gt;=8/24,L$9&lt;14/24)</formula>
    </cfRule>
    <cfRule type="expression" dxfId="10627" priority="327">
      <formula>L$9&lt;8/24</formula>
    </cfRule>
  </conditionalFormatting>
  <conditionalFormatting sqref="L41:P41">
    <cfRule type="expression" dxfId="10626" priority="320">
      <formula>L$9&gt;=20/24</formula>
    </cfRule>
    <cfRule type="expression" dxfId="10625" priority="321">
      <formula>AND(L$9&gt;=14/24,L$9&lt;20/24)</formula>
    </cfRule>
    <cfRule type="expression" dxfId="10624" priority="322">
      <formula>AND(L$9&gt;=8/24,L$9&lt;14/24)</formula>
    </cfRule>
    <cfRule type="expression" dxfId="10623" priority="323">
      <formula>L$9&lt;8/24</formula>
    </cfRule>
  </conditionalFormatting>
  <conditionalFormatting sqref="T37:AD37">
    <cfRule type="expression" dxfId="10622" priority="312">
      <formula>T$9&gt;=20/24</formula>
    </cfRule>
    <cfRule type="expression" dxfId="10621" priority="313">
      <formula>AND(T$9&gt;=14/24,T$9&lt;20/24)</formula>
    </cfRule>
    <cfRule type="expression" dxfId="10620" priority="314">
      <formula>AND(T$9&gt;=8/24,T$9&lt;14/24)</formula>
    </cfRule>
    <cfRule type="expression" dxfId="10619" priority="315">
      <formula>T$9&lt;8/24</formula>
    </cfRule>
  </conditionalFormatting>
  <conditionalFormatting sqref="T55:AD55">
    <cfRule type="expression" dxfId="10618" priority="308">
      <formula>T$9&gt;=20/24</formula>
    </cfRule>
    <cfRule type="expression" dxfId="10617" priority="309">
      <formula>AND(T$9&gt;=14/24,T$9&lt;20/24)</formula>
    </cfRule>
    <cfRule type="expression" dxfId="10616" priority="310">
      <formula>AND(T$9&gt;=8/24,T$9&lt;14/24)</formula>
    </cfRule>
    <cfRule type="expression" dxfId="10615" priority="311">
      <formula>T$9&lt;8/24</formula>
    </cfRule>
  </conditionalFormatting>
  <conditionalFormatting sqref="R79:Z79">
    <cfRule type="expression" dxfId="10614" priority="304">
      <formula>R$9&gt;=20/24</formula>
    </cfRule>
    <cfRule type="expression" dxfId="10613" priority="305">
      <formula>AND(R$9&gt;=14/24,R$9&lt;20/24)</formula>
    </cfRule>
    <cfRule type="expression" dxfId="10612" priority="306">
      <formula>AND(R$9&gt;=8/24,R$9&lt;14/24)</formula>
    </cfRule>
    <cfRule type="expression" dxfId="10611" priority="307">
      <formula>R$9&lt;8/24</formula>
    </cfRule>
  </conditionalFormatting>
  <conditionalFormatting sqref="T82:AD82">
    <cfRule type="expression" dxfId="10610" priority="300">
      <formula>T$9&gt;=20/24</formula>
    </cfRule>
    <cfRule type="expression" dxfId="10609" priority="301">
      <formula>AND(T$9&gt;=14/24,T$9&lt;20/24)</formula>
    </cfRule>
    <cfRule type="expression" dxfId="10608" priority="302">
      <formula>AND(T$9&gt;=8/24,T$9&lt;14/24)</formula>
    </cfRule>
    <cfRule type="expression" dxfId="10607" priority="303">
      <formula>T$9&lt;8/24</formula>
    </cfRule>
  </conditionalFormatting>
  <conditionalFormatting sqref="L47:P47">
    <cfRule type="expression" dxfId="10606" priority="292">
      <formula>L$9&gt;=20/24</formula>
    </cfRule>
    <cfRule type="expression" dxfId="10605" priority="293">
      <formula>AND(L$9&gt;=14/24,L$9&lt;20/24)</formula>
    </cfRule>
    <cfRule type="expression" dxfId="10604" priority="294">
      <formula>AND(L$9&gt;=8/24,L$9&lt;14/24)</formula>
    </cfRule>
    <cfRule type="expression" dxfId="10603" priority="295">
      <formula>L$9&lt;8/24</formula>
    </cfRule>
  </conditionalFormatting>
  <conditionalFormatting sqref="L48:P48">
    <cfRule type="expression" dxfId="10602" priority="288">
      <formula>L$9&gt;=20/24</formula>
    </cfRule>
    <cfRule type="expression" dxfId="10601" priority="289">
      <formula>AND(L$9&gt;=14/24,L$9&lt;20/24)</formula>
    </cfRule>
    <cfRule type="expression" dxfId="10600" priority="290">
      <formula>AND(L$9&gt;=8/24,L$9&lt;14/24)</formula>
    </cfRule>
    <cfRule type="expression" dxfId="10599" priority="291">
      <formula>L$9&lt;8/24</formula>
    </cfRule>
  </conditionalFormatting>
  <conditionalFormatting sqref="L43:P46">
    <cfRule type="expression" dxfId="10598" priority="284">
      <formula>L$9&gt;=20/24</formula>
    </cfRule>
    <cfRule type="expression" dxfId="10597" priority="285">
      <formula>AND(L$9&gt;=14/24,L$9&lt;20/24)</formula>
    </cfRule>
    <cfRule type="expression" dxfId="10596" priority="286">
      <formula>AND(L$9&gt;=8/24,L$9&lt;14/24)</formula>
    </cfRule>
    <cfRule type="expression" dxfId="10595" priority="287">
      <formula>L$9&lt;8/24</formula>
    </cfRule>
  </conditionalFormatting>
  <conditionalFormatting sqref="V35:AD35">
    <cfRule type="expression" dxfId="10594" priority="280">
      <formula>V$9&gt;=20/24</formula>
    </cfRule>
    <cfRule type="expression" dxfId="10593" priority="281">
      <formula>AND(V$9&gt;=14/24,V$9&lt;20/24)</formula>
    </cfRule>
    <cfRule type="expression" dxfId="10592" priority="282">
      <formula>AND(V$9&gt;=8/24,V$9&lt;14/24)</formula>
    </cfRule>
    <cfRule type="expression" dxfId="10591" priority="283">
      <formula>V$9&lt;8/24</formula>
    </cfRule>
  </conditionalFormatting>
  <conditionalFormatting sqref="V33:AF33 V30:AF31">
    <cfRule type="expression" dxfId="10590" priority="276">
      <formula>V$9&gt;=20/24</formula>
    </cfRule>
    <cfRule type="expression" dxfId="10589" priority="277">
      <formula>AND(V$9&gt;=14/24,V$9&lt;20/24)</formula>
    </cfRule>
    <cfRule type="expression" dxfId="10588" priority="278">
      <formula>AND(V$9&gt;=8/24,V$9&lt;14/24)</formula>
    </cfRule>
    <cfRule type="expression" dxfId="10587" priority="279">
      <formula>V$9&lt;8/24</formula>
    </cfRule>
  </conditionalFormatting>
  <conditionalFormatting sqref="U43:V43 U45:V46 W43:AF46 U41:AF41">
    <cfRule type="expression" dxfId="10586" priority="272">
      <formula>U$9&gt;=20/24</formula>
    </cfRule>
    <cfRule type="expression" dxfId="10585" priority="273">
      <formula>AND(U$9&gt;=14/24,U$9&lt;20/24)</formula>
    </cfRule>
    <cfRule type="expression" dxfId="10584" priority="274">
      <formula>AND(U$9&gt;=8/24,U$9&lt;14/24)</formula>
    </cfRule>
    <cfRule type="expression" dxfId="10583" priority="275">
      <formula>U$9&lt;8/24</formula>
    </cfRule>
  </conditionalFormatting>
  <conditionalFormatting sqref="U47:AF47">
    <cfRule type="expression" dxfId="10582" priority="268">
      <formula>U$9&gt;=20/24</formula>
    </cfRule>
    <cfRule type="expression" dxfId="10581" priority="269">
      <formula>AND(U$9&gt;=14/24,U$9&lt;20/24)</formula>
    </cfRule>
    <cfRule type="expression" dxfId="10580" priority="270">
      <formula>AND(U$9&gt;=8/24,U$9&lt;14/24)</formula>
    </cfRule>
    <cfRule type="expression" dxfId="10579" priority="271">
      <formula>U$9&lt;8/24</formula>
    </cfRule>
  </conditionalFormatting>
  <conditionalFormatting sqref="U48:AF48">
    <cfRule type="expression" dxfId="10578" priority="264">
      <formula>U$9&gt;=20/24</formula>
    </cfRule>
    <cfRule type="expression" dxfId="10577" priority="265">
      <formula>AND(U$9&gt;=14/24,U$9&lt;20/24)</formula>
    </cfRule>
    <cfRule type="expression" dxfId="10576" priority="266">
      <formula>AND(U$9&gt;=8/24,U$9&lt;14/24)</formula>
    </cfRule>
    <cfRule type="expression" dxfId="10575" priority="267">
      <formula>U$9&lt;8/24</formula>
    </cfRule>
  </conditionalFormatting>
  <conditionalFormatting sqref="W58:AF65">
    <cfRule type="expression" dxfId="10574" priority="260">
      <formula>W$9&gt;=20/24</formula>
    </cfRule>
    <cfRule type="expression" dxfId="10573" priority="261">
      <formula>AND(W$9&gt;=14/24,W$9&lt;20/24)</formula>
    </cfRule>
    <cfRule type="expression" dxfId="10572" priority="262">
      <formula>AND(W$9&gt;=8/24,W$9&lt;14/24)</formula>
    </cfRule>
    <cfRule type="expression" dxfId="10571" priority="263">
      <formula>W$9&lt;8/24</formula>
    </cfRule>
  </conditionalFormatting>
  <conditionalFormatting sqref="AA92:AF95">
    <cfRule type="expression" dxfId="10570" priority="256">
      <formula>AA$9&gt;=20/24</formula>
    </cfRule>
    <cfRule type="expression" dxfId="10569" priority="257">
      <formula>AND(AA$9&gt;=14/24,AA$9&lt;20/24)</formula>
    </cfRule>
    <cfRule type="expression" dxfId="10568" priority="258">
      <formula>AND(AA$9&gt;=8/24,AA$9&lt;14/24)</formula>
    </cfRule>
    <cfRule type="expression" dxfId="10567" priority="259">
      <formula>AA$9&lt;8/24</formula>
    </cfRule>
  </conditionalFormatting>
  <conditionalFormatting sqref="B60:K60">
    <cfRule type="expression" dxfId="10566" priority="252">
      <formula>B$9&gt;=20/24</formula>
    </cfRule>
    <cfRule type="expression" dxfId="10565" priority="253">
      <formula>AND(B$9&gt;=14/24,B$9&lt;20/24)</formula>
    </cfRule>
    <cfRule type="expression" dxfId="10564" priority="254">
      <formula>AND(B$9&gt;=8/24,B$9&lt;14/24)</formula>
    </cfRule>
    <cfRule type="expression" dxfId="10563" priority="255">
      <formula>B$9&lt;8/24</formula>
    </cfRule>
  </conditionalFormatting>
  <conditionalFormatting sqref="T92:Z95">
    <cfRule type="expression" dxfId="10562" priority="248">
      <formula>T$9&gt;=20/24</formula>
    </cfRule>
    <cfRule type="expression" dxfId="10561" priority="249">
      <formula>AND(T$9&gt;=14/24,T$9&lt;20/24)</formula>
    </cfRule>
    <cfRule type="expression" dxfId="10560" priority="250">
      <formula>AND(T$9&gt;=8/24,T$9&lt;14/24)</formula>
    </cfRule>
    <cfRule type="expression" dxfId="10559" priority="251">
      <formula>T$9&lt;8/24</formula>
    </cfRule>
  </conditionalFormatting>
  <conditionalFormatting sqref="AG49 B33:K33 B15:K31 V17:W24 B36:AF36 L15:P20 B34:P35 B43:P48 B41:P41 T37:W37 B37:S40 T38:T40 Q35:U35 Q15:U15 B11:U13 V26:W31 W25 U43:V43 U38:W41 U45:V48 V11:AD11 X17:AD31 AD30:AE30 AE11:AF13 V33:AF35 AE15:AF31 W43:AF48 X37:AF41 B49:AF54">
    <cfRule type="expression" dxfId="10558" priority="247">
      <formula>B11&gt;$AG11</formula>
    </cfRule>
  </conditionalFormatting>
  <conditionalFormatting sqref="A98:A154 A82:A95 A11:A13 A15:A31 A43:A70 A78:A80 A72:A76 A33:A41 A167:A198">
    <cfRule type="expression" dxfId="10557" priority="246">
      <formula>$AH11=0</formula>
    </cfRule>
  </conditionalFormatting>
  <conditionalFormatting sqref="AA96:AF96">
    <cfRule type="expression" dxfId="10556" priority="242">
      <formula>AA$9&gt;=20/24</formula>
    </cfRule>
    <cfRule type="expression" dxfId="10555" priority="243">
      <formula>AND(AA$9&gt;=14/24,AA$9&lt;20/24)</formula>
    </cfRule>
    <cfRule type="expression" dxfId="10554" priority="244">
      <formula>AND(AA$9&gt;=8/24,AA$9&lt;14/24)</formula>
    </cfRule>
    <cfRule type="expression" dxfId="10553" priority="245">
      <formula>AA$9&lt;8/24</formula>
    </cfRule>
  </conditionalFormatting>
  <conditionalFormatting sqref="T96:Z96">
    <cfRule type="expression" dxfId="10552" priority="238">
      <formula>T$9&gt;=20/24</formula>
    </cfRule>
    <cfRule type="expression" dxfId="10551" priority="239">
      <formula>AND(T$9&gt;=14/24,T$9&lt;20/24)</formula>
    </cfRule>
    <cfRule type="expression" dxfId="10550" priority="240">
      <formula>AND(T$9&gt;=8/24,T$9&lt;14/24)</formula>
    </cfRule>
    <cfRule type="expression" dxfId="10549" priority="241">
      <formula>T$9&lt;8/24</formula>
    </cfRule>
  </conditionalFormatting>
  <conditionalFormatting sqref="A96">
    <cfRule type="expression" dxfId="10548" priority="237">
      <formula>$AH96=0</formula>
    </cfRule>
  </conditionalFormatting>
  <conditionalFormatting sqref="C34:P34 V34:AF34">
    <cfRule type="expression" dxfId="10547" priority="233">
      <formula>C$9&gt;=20/24</formula>
    </cfRule>
    <cfRule type="expression" dxfId="10546" priority="234">
      <formula>AND(C$9&gt;=14/24,C$9&lt;20/24)</formula>
    </cfRule>
    <cfRule type="expression" dxfId="10545" priority="235">
      <formula>AND(C$9&gt;=8/24,C$9&lt;14/24)</formula>
    </cfRule>
    <cfRule type="expression" dxfId="10544" priority="236">
      <formula>C$9&lt;8/24</formula>
    </cfRule>
  </conditionalFormatting>
  <conditionalFormatting sqref="V34:AF34">
    <cfRule type="expression" dxfId="10543" priority="229">
      <formula>V$9&gt;=20/24</formula>
    </cfRule>
    <cfRule type="expression" dxfId="10542" priority="230">
      <formula>AND(V$9&gt;=14/24,V$9&lt;20/24)</formula>
    </cfRule>
    <cfRule type="expression" dxfId="10541" priority="231">
      <formula>AND(V$9&gt;=8/24,V$9&lt;14/24)</formula>
    </cfRule>
    <cfRule type="expression" dxfId="10540" priority="232">
      <formula>V$9&lt;8/24</formula>
    </cfRule>
  </conditionalFormatting>
  <conditionalFormatting sqref="B34">
    <cfRule type="expression" dxfId="10539" priority="225">
      <formula>B$9&gt;=20/24</formula>
    </cfRule>
    <cfRule type="expression" dxfId="10538" priority="226">
      <formula>AND(B$9&gt;=14/24,B$9&lt;20/24)</formula>
    </cfRule>
    <cfRule type="expression" dxfId="10537" priority="227">
      <formula>AND(B$9&gt;=8/24,B$9&lt;14/24)</formula>
    </cfRule>
    <cfRule type="expression" dxfId="10536" priority="228">
      <formula>B$9&lt;8/24</formula>
    </cfRule>
  </conditionalFormatting>
  <conditionalFormatting sqref="L60:L65">
    <cfRule type="expression" dxfId="10535" priority="217">
      <formula>L$9&gt;=20/24</formula>
    </cfRule>
    <cfRule type="expression" dxfId="10534" priority="218">
      <formula>AND(L$9&gt;=14/24,L$9&lt;20/24)</formula>
    </cfRule>
    <cfRule type="expression" dxfId="10533" priority="219">
      <formula>AND(L$9&gt;=8/24,L$9&lt;14/24)</formula>
    </cfRule>
    <cfRule type="expression" dxfId="10532" priority="220">
      <formula>L$9&lt;8/24</formula>
    </cfRule>
  </conditionalFormatting>
  <conditionalFormatting sqref="AL31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V32:AF32">
    <cfRule type="expression" dxfId="10531" priority="204">
      <formula>V$9&gt;=20/24</formula>
    </cfRule>
    <cfRule type="expression" dxfId="10530" priority="205">
      <formula>AND(V$9&gt;=14/24,V$9&lt;20/24)</formula>
    </cfRule>
    <cfRule type="expression" dxfId="10529" priority="206">
      <formula>AND(V$9&gt;=8/24,V$9&lt;14/24)</formula>
    </cfRule>
    <cfRule type="expression" dxfId="10528" priority="207">
      <formula>V$9&lt;8/24</formula>
    </cfRule>
  </conditionalFormatting>
  <conditionalFormatting sqref="B32:K32 V32:AF32">
    <cfRule type="expression" dxfId="10527" priority="203">
      <formula>B32&gt;$AG32</formula>
    </cfRule>
  </conditionalFormatting>
  <conditionalFormatting sqref="A32">
    <cfRule type="expression" dxfId="10526" priority="202">
      <formula>$AH32=0</formula>
    </cfRule>
  </conditionalFormatting>
  <conditionalFormatting sqref="B81:AF81">
    <cfRule type="expression" dxfId="10525" priority="198">
      <formula>B$9&gt;=20/24</formula>
    </cfRule>
    <cfRule type="expression" dxfId="10524" priority="199">
      <formula>AND(B$9&gt;=14/24,B$9&lt;20/24)</formula>
    </cfRule>
    <cfRule type="expression" dxfId="10523" priority="200">
      <formula>AND(B$9&gt;=8/24,B$9&lt;14/24)</formula>
    </cfRule>
    <cfRule type="expression" dxfId="10522" priority="201">
      <formula>B$9&lt;8/24</formula>
    </cfRule>
  </conditionalFormatting>
  <conditionalFormatting sqref="A81">
    <cfRule type="expression" dxfId="10521" priority="197">
      <formula>$AH81=0</formula>
    </cfRule>
  </conditionalFormatting>
  <conditionalFormatting sqref="L14:U14">
    <cfRule type="expression" dxfId="10520" priority="189">
      <formula>L$9&gt;=20/24</formula>
    </cfRule>
    <cfRule type="expression" dxfId="10519" priority="190">
      <formula>AND(L$9&gt;=14/24,L$9&lt;20/24)</formula>
    </cfRule>
    <cfRule type="expression" dxfId="10518" priority="191">
      <formula>AND(L$9&gt;=8/24,L$9&lt;14/24)</formula>
    </cfRule>
    <cfRule type="expression" dxfId="10517" priority="192">
      <formula>L$9&lt;8/24</formula>
    </cfRule>
  </conditionalFormatting>
  <conditionalFormatting sqref="B14:U14 AE14:AF14">
    <cfRule type="expression" dxfId="10516" priority="188">
      <formula>B14&gt;$AG14</formula>
    </cfRule>
  </conditionalFormatting>
  <conditionalFormatting sqref="A14">
    <cfRule type="expression" dxfId="10515" priority="187">
      <formula>$AH14=0</formula>
    </cfRule>
  </conditionalFormatting>
  <conditionalFormatting sqref="A161:A166">
    <cfRule type="expression" dxfId="10514" priority="186">
      <formula>$AH161=0</formula>
    </cfRule>
  </conditionalFormatting>
  <conditionalFormatting sqref="A155:A160">
    <cfRule type="expression" dxfId="10513" priority="185">
      <formula>$AH155=0</formula>
    </cfRule>
  </conditionalFormatting>
  <conditionalFormatting sqref="L42:P42">
    <cfRule type="expression" dxfId="10512" priority="177">
      <formula>L$9&gt;=20/24</formula>
    </cfRule>
    <cfRule type="expression" dxfId="10511" priority="178">
      <formula>AND(L$9&gt;=14/24,L$9&lt;20/24)</formula>
    </cfRule>
    <cfRule type="expression" dxfId="10510" priority="179">
      <formula>AND(L$9&gt;=8/24,L$9&lt;14/24)</formula>
    </cfRule>
    <cfRule type="expression" dxfId="10509" priority="180">
      <formula>L$9&lt;8/24</formula>
    </cfRule>
  </conditionalFormatting>
  <conditionalFormatting sqref="U42:AF42">
    <cfRule type="expression" dxfId="10508" priority="173">
      <formula>U$9&gt;=20/24</formula>
    </cfRule>
    <cfRule type="expression" dxfId="10507" priority="174">
      <formula>AND(U$9&gt;=14/24,U$9&lt;20/24)</formula>
    </cfRule>
    <cfRule type="expression" dxfId="10506" priority="175">
      <formula>AND(U$9&gt;=8/24,U$9&lt;14/24)</formula>
    </cfRule>
    <cfRule type="expression" dxfId="10505" priority="176">
      <formula>U$9&lt;8/24</formula>
    </cfRule>
  </conditionalFormatting>
  <conditionalFormatting sqref="B42:P42 U42:AF42">
    <cfRule type="expression" dxfId="10504" priority="172">
      <formula>B42&gt;$AG42</formula>
    </cfRule>
  </conditionalFormatting>
  <conditionalFormatting sqref="A42">
    <cfRule type="expression" dxfId="10503" priority="171">
      <formula>$AH42=0</formula>
    </cfRule>
  </conditionalFormatting>
  <conditionalFormatting sqref="B77:AF77">
    <cfRule type="expression" dxfId="10502" priority="167">
      <formula>B$9&gt;=20/24</formula>
    </cfRule>
    <cfRule type="expression" dxfId="10501" priority="168">
      <formula>AND(B$9&gt;=14/24,B$9&lt;20/24)</formula>
    </cfRule>
    <cfRule type="expression" dxfId="10500" priority="169">
      <formula>AND(B$9&gt;=8/24,B$9&lt;14/24)</formula>
    </cfRule>
    <cfRule type="expression" dxfId="10499" priority="170">
      <formula>B$9&lt;8/24</formula>
    </cfRule>
  </conditionalFormatting>
  <conditionalFormatting sqref="A77">
    <cfRule type="expression" dxfId="10498" priority="166">
      <formula>$AH77=0</formula>
    </cfRule>
  </conditionalFormatting>
  <conditionalFormatting sqref="B71:AG71">
    <cfRule type="expression" dxfId="10497" priority="162">
      <formula>B$9&gt;=20/24</formula>
    </cfRule>
    <cfRule type="expression" dxfId="10496" priority="163">
      <formula>AND(B$9&gt;=14/24,B$9&lt;20/24)</formula>
    </cfRule>
    <cfRule type="expression" dxfId="10495" priority="164">
      <formula>AND(B$9&gt;=8/24,B$9&lt;14/24)</formula>
    </cfRule>
    <cfRule type="expression" dxfId="10494" priority="165">
      <formula>B$9&lt;8/24</formula>
    </cfRule>
  </conditionalFormatting>
  <conditionalFormatting sqref="A71">
    <cfRule type="expression" dxfId="10493" priority="161">
      <formula>$AH71=0</formula>
    </cfRule>
  </conditionalFormatting>
  <conditionalFormatting sqref="AL32:AL33 AL7:AL30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U58:V65">
    <cfRule type="expression" dxfId="10492" priority="157">
      <formula>U$9&gt;=20/24</formula>
    </cfRule>
    <cfRule type="expression" dxfId="10491" priority="158">
      <formula>AND(U$9&gt;=14/24,U$9&lt;20/24)</formula>
    </cfRule>
    <cfRule type="expression" dxfId="10490" priority="159">
      <formula>AND(U$9&gt;=8/24,U$9&lt;14/24)</formula>
    </cfRule>
    <cfRule type="expression" dxfId="10489" priority="160">
      <formula>U$9&lt;8/24</formula>
    </cfRule>
  </conditionalFormatting>
  <conditionalFormatting sqref="T83:AD89">
    <cfRule type="expression" dxfId="10488" priority="153">
      <formula>T$9&gt;=20/24</formula>
    </cfRule>
    <cfRule type="expression" dxfId="10487" priority="154">
      <formula>AND(T$9&gt;=14/24,T$9&lt;20/24)</formula>
    </cfRule>
    <cfRule type="expression" dxfId="10486" priority="155">
      <formula>AND(T$9&gt;=8/24,T$9&lt;14/24)</formula>
    </cfRule>
    <cfRule type="expression" dxfId="10485" priority="156">
      <formula>T$9&lt;8/24</formula>
    </cfRule>
  </conditionalFormatting>
  <conditionalFormatting sqref="B82:Q82 S83:S89 B85:N86 C83:Q83 B88:N88 C87:N87 C89:N89 C84:N84 O84:Q89 R82:R89">
    <cfRule type="expression" dxfId="10484" priority="149">
      <formula>B$9&gt;=20/24</formula>
    </cfRule>
    <cfRule type="expression" dxfId="10483" priority="150">
      <formula>AND(B$9&gt;=14/24,B$9&lt;20/24)</formula>
    </cfRule>
    <cfRule type="expression" dxfId="10482" priority="151">
      <formula>AND(B$9&gt;=8/24,B$9&lt;14/24)</formula>
    </cfRule>
    <cfRule type="expression" dxfId="10481" priority="152">
      <formula>B$9&lt;8/24</formula>
    </cfRule>
  </conditionalFormatting>
  <conditionalFormatting sqref="S82">
    <cfRule type="expression" dxfId="10480" priority="145">
      <formula>S$9&gt;=20/24</formula>
    </cfRule>
    <cfRule type="expression" dxfId="10479" priority="146">
      <formula>AND(S$9&gt;=14/24,S$9&lt;20/24)</formula>
    </cfRule>
    <cfRule type="expression" dxfId="10478" priority="147">
      <formula>AND(S$9&gt;=8/24,S$9&lt;14/24)</formula>
    </cfRule>
    <cfRule type="expression" dxfId="10477" priority="148">
      <formula>S$9&lt;8/24</formula>
    </cfRule>
  </conditionalFormatting>
  <conditionalFormatting sqref="B93:L95 B92:E92">
    <cfRule type="expression" dxfId="10476" priority="141">
      <formula>B$9&gt;=20/24</formula>
    </cfRule>
    <cfRule type="expression" dxfId="10475" priority="142">
      <formula>AND(B$9&gt;=14/24,B$9&lt;20/24)</formula>
    </cfRule>
    <cfRule type="expression" dxfId="10474" priority="143">
      <formula>AND(B$9&gt;=8/24,B$9&lt;14/24)</formula>
    </cfRule>
    <cfRule type="expression" dxfId="10473" priority="144">
      <formula>B$9&lt;8/24</formula>
    </cfRule>
  </conditionalFormatting>
  <conditionalFormatting sqref="M93:Q95 N92:Q92 R92:R95">
    <cfRule type="expression" dxfId="10472" priority="137">
      <formula>M$9&gt;=20/24</formula>
    </cfRule>
    <cfRule type="expression" dxfId="10471" priority="138">
      <formula>AND(M$9&gt;=14/24,M$9&lt;20/24)</formula>
    </cfRule>
    <cfRule type="expression" dxfId="10470" priority="139">
      <formula>AND(M$9&gt;=8/24,M$9&lt;14/24)</formula>
    </cfRule>
    <cfRule type="expression" dxfId="10469" priority="140">
      <formula>M$9&lt;8/24</formula>
    </cfRule>
  </conditionalFormatting>
  <conditionalFormatting sqref="S92:S95">
    <cfRule type="expression" dxfId="10468" priority="133">
      <formula>S$9&gt;=20/24</formula>
    </cfRule>
    <cfRule type="expression" dxfId="10467" priority="134">
      <formula>AND(S$9&gt;=14/24,S$9&lt;20/24)</formula>
    </cfRule>
    <cfRule type="expression" dxfId="10466" priority="135">
      <formula>AND(S$9&gt;=8/24,S$9&lt;14/24)</formula>
    </cfRule>
    <cfRule type="expression" dxfId="10465" priority="136">
      <formula>S$9&lt;8/24</formula>
    </cfRule>
  </conditionalFormatting>
  <conditionalFormatting sqref="B96:L96">
    <cfRule type="expression" dxfId="10464" priority="129">
      <formula>B$9&gt;=20/24</formula>
    </cfRule>
    <cfRule type="expression" dxfId="10463" priority="130">
      <formula>AND(B$9&gt;=14/24,B$9&lt;20/24)</formula>
    </cfRule>
    <cfRule type="expression" dxfId="10462" priority="131">
      <formula>AND(B$9&gt;=8/24,B$9&lt;14/24)</formula>
    </cfRule>
    <cfRule type="expression" dxfId="10461" priority="132">
      <formula>B$9&lt;8/24</formula>
    </cfRule>
  </conditionalFormatting>
  <conditionalFormatting sqref="M96:R96">
    <cfRule type="expression" dxfId="10460" priority="125">
      <formula>M$9&gt;=20/24</formula>
    </cfRule>
    <cfRule type="expression" dxfId="10459" priority="126">
      <formula>AND(M$9&gt;=14/24,M$9&lt;20/24)</formula>
    </cfRule>
    <cfRule type="expression" dxfId="10458" priority="127">
      <formula>AND(M$9&gt;=8/24,M$9&lt;14/24)</formula>
    </cfRule>
    <cfRule type="expression" dxfId="10457" priority="128">
      <formula>M$9&lt;8/24</formula>
    </cfRule>
  </conditionalFormatting>
  <conditionalFormatting sqref="S96">
    <cfRule type="expression" dxfId="10456" priority="121">
      <formula>S$9&gt;=20/24</formula>
    </cfRule>
    <cfRule type="expression" dxfId="10455" priority="122">
      <formula>AND(S$9&gt;=14/24,S$9&lt;20/24)</formula>
    </cfRule>
    <cfRule type="expression" dxfId="10454" priority="123">
      <formula>AND(S$9&gt;=8/24,S$9&lt;14/24)</formula>
    </cfRule>
    <cfRule type="expression" dxfId="10453" priority="124">
      <formula>S$9&lt;8/24</formula>
    </cfRule>
  </conditionalFormatting>
  <conditionalFormatting sqref="L92:M92">
    <cfRule type="expression" dxfId="10452" priority="117">
      <formula>L$9&gt;=20/24</formula>
    </cfRule>
    <cfRule type="expression" dxfId="10451" priority="118">
      <formula>AND(L$9&gt;=14/24,L$9&lt;20/24)</formula>
    </cfRule>
    <cfRule type="expression" dxfId="10450" priority="119">
      <formula>AND(L$9&gt;=8/24,L$9&lt;14/24)</formula>
    </cfRule>
    <cfRule type="expression" dxfId="10449" priority="120">
      <formula>L$9&lt;8/24</formula>
    </cfRule>
  </conditionalFormatting>
  <conditionalFormatting sqref="F92:K92">
    <cfRule type="expression" dxfId="10448" priority="113">
      <formula>F$9&gt;=20/24</formula>
    </cfRule>
    <cfRule type="expression" dxfId="10447" priority="114">
      <formula>AND(F$9&gt;=14/24,F$9&lt;20/24)</formula>
    </cfRule>
    <cfRule type="expression" dxfId="10446" priority="115">
      <formula>AND(F$9&gt;=8/24,F$9&lt;14/24)</formula>
    </cfRule>
    <cfRule type="expression" dxfId="10445" priority="116">
      <formula>F$9&lt;8/24</formula>
    </cfRule>
  </conditionalFormatting>
  <conditionalFormatting sqref="T92:V92">
    <cfRule type="expression" dxfId="10444" priority="109">
      <formula>T$9&gt;=20/24</formula>
    </cfRule>
    <cfRule type="expression" dxfId="10443" priority="110">
      <formula>AND(T$9&gt;=14/24,T$9&lt;20/24)</formula>
    </cfRule>
    <cfRule type="expression" dxfId="10442" priority="111">
      <formula>AND(T$9&gt;=8/24,T$9&lt;14/24)</formula>
    </cfRule>
    <cfRule type="expression" dxfId="10441" priority="112">
      <formula>T$9&lt;8/24</formula>
    </cfRule>
  </conditionalFormatting>
  <conditionalFormatting sqref="M92:S92">
    <cfRule type="expression" dxfId="10440" priority="105">
      <formula>M$9&gt;=20/24</formula>
    </cfRule>
    <cfRule type="expression" dxfId="10439" priority="106">
      <formula>AND(M$9&gt;=14/24,M$9&lt;20/24)</formula>
    </cfRule>
    <cfRule type="expression" dxfId="10438" priority="107">
      <formula>AND(M$9&gt;=8/24,M$9&lt;14/24)</formula>
    </cfRule>
    <cfRule type="expression" dxfId="10437" priority="108">
      <formula>M$9&lt;8/24</formula>
    </cfRule>
  </conditionalFormatting>
  <conditionalFormatting sqref="AA97:AF97">
    <cfRule type="expression" dxfId="10436" priority="101">
      <formula>AA$9&gt;=20/24</formula>
    </cfRule>
    <cfRule type="expression" dxfId="10435" priority="102">
      <formula>AND(AA$9&gt;=14/24,AA$9&lt;20/24)</formula>
    </cfRule>
    <cfRule type="expression" dxfId="10434" priority="103">
      <formula>AND(AA$9&gt;=8/24,AA$9&lt;14/24)</formula>
    </cfRule>
    <cfRule type="expression" dxfId="10433" priority="104">
      <formula>AA$9&lt;8/24</formula>
    </cfRule>
  </conditionalFormatting>
  <conditionalFormatting sqref="T97:Z97">
    <cfRule type="expression" dxfId="10432" priority="97">
      <formula>T$9&gt;=20/24</formula>
    </cfRule>
    <cfRule type="expression" dxfId="10431" priority="98">
      <formula>AND(T$9&gt;=14/24,T$9&lt;20/24)</formula>
    </cfRule>
    <cfRule type="expression" dxfId="10430" priority="99">
      <formula>AND(T$9&gt;=8/24,T$9&lt;14/24)</formula>
    </cfRule>
    <cfRule type="expression" dxfId="10429" priority="100">
      <formula>T$9&lt;8/24</formula>
    </cfRule>
  </conditionalFormatting>
  <conditionalFormatting sqref="A97">
    <cfRule type="expression" dxfId="10428" priority="96">
      <formula>$AH97=0</formula>
    </cfRule>
  </conditionalFormatting>
  <conditionalFormatting sqref="B97:L97">
    <cfRule type="expression" dxfId="10427" priority="92">
      <formula>B$9&gt;=20/24</formula>
    </cfRule>
    <cfRule type="expression" dxfId="10426" priority="93">
      <formula>AND(B$9&gt;=14/24,B$9&lt;20/24)</formula>
    </cfRule>
    <cfRule type="expression" dxfId="10425" priority="94">
      <formula>AND(B$9&gt;=8/24,B$9&lt;14/24)</formula>
    </cfRule>
    <cfRule type="expression" dxfId="10424" priority="95">
      <formula>B$9&lt;8/24</formula>
    </cfRule>
  </conditionalFormatting>
  <conditionalFormatting sqref="M97:R97">
    <cfRule type="expression" dxfId="10423" priority="88">
      <formula>M$9&gt;=20/24</formula>
    </cfRule>
    <cfRule type="expression" dxfId="10422" priority="89">
      <formula>AND(M$9&gt;=14/24,M$9&lt;20/24)</formula>
    </cfRule>
    <cfRule type="expression" dxfId="10421" priority="90">
      <formula>AND(M$9&gt;=8/24,M$9&lt;14/24)</formula>
    </cfRule>
    <cfRule type="expression" dxfId="10420" priority="91">
      <formula>M$9&lt;8/24</formula>
    </cfRule>
  </conditionalFormatting>
  <conditionalFormatting sqref="S97">
    <cfRule type="expression" dxfId="10419" priority="84">
      <formula>S$9&gt;=20/24</formula>
    </cfRule>
    <cfRule type="expression" dxfId="10418" priority="85">
      <formula>AND(S$9&gt;=14/24,S$9&lt;20/24)</formula>
    </cfRule>
    <cfRule type="expression" dxfId="10417" priority="86">
      <formula>AND(S$9&gt;=8/24,S$9&lt;14/24)</formula>
    </cfRule>
    <cfRule type="expression" dxfId="10416" priority="87">
      <formula>S$9&lt;8/24</formula>
    </cfRule>
  </conditionalFormatting>
  <conditionalFormatting sqref="V12:AD15">
    <cfRule type="expression" dxfId="10415" priority="80">
      <formula>V$9&gt;=20/24</formula>
    </cfRule>
    <cfRule type="expression" dxfId="10414" priority="81">
      <formula>AND(V$9&gt;=14/24,V$9&lt;20/24)</formula>
    </cfRule>
    <cfRule type="expression" dxfId="10413" priority="82">
      <formula>AND(V$9&gt;=8/24,V$9&lt;14/24)</formula>
    </cfRule>
    <cfRule type="expression" dxfId="10412" priority="83">
      <formula>V$9&lt;8/24</formula>
    </cfRule>
  </conditionalFormatting>
  <conditionalFormatting sqref="V16:AD16">
    <cfRule type="expression" dxfId="10411" priority="76">
      <formula>V$9&gt;=20/24</formula>
    </cfRule>
    <cfRule type="expression" dxfId="10410" priority="77">
      <formula>AND(V$9&gt;=14/24,V$9&lt;20/24)</formula>
    </cfRule>
    <cfRule type="expression" dxfId="10409" priority="78">
      <formula>AND(V$9&gt;=8/24,V$9&lt;14/24)</formula>
    </cfRule>
    <cfRule type="expression" dxfId="10408" priority="79">
      <formula>V$9&lt;8/24</formula>
    </cfRule>
  </conditionalFormatting>
  <conditionalFormatting sqref="V12:AD12">
    <cfRule type="expression" dxfId="10407" priority="72">
      <formula>V$9&gt;=20/24</formula>
    </cfRule>
    <cfRule type="expression" dxfId="10406" priority="73">
      <formula>AND(V$9&gt;=14/24,V$9&lt;20/24)</formula>
    </cfRule>
    <cfRule type="expression" dxfId="10405" priority="74">
      <formula>AND(V$9&gt;=8/24,V$9&lt;14/24)</formula>
    </cfRule>
    <cfRule type="expression" dxfId="10404" priority="75">
      <formula>V$9&lt;8/24</formula>
    </cfRule>
  </conditionalFormatting>
  <conditionalFormatting sqref="B83">
    <cfRule type="expression" dxfId="10403" priority="67">
      <formula>B83&gt;$AG83</formula>
    </cfRule>
  </conditionalFormatting>
  <conditionalFormatting sqref="B84">
    <cfRule type="expression" dxfId="10402" priority="66">
      <formula>B84&gt;$AG84</formula>
    </cfRule>
  </conditionalFormatting>
  <conditionalFormatting sqref="B87">
    <cfRule type="expression" dxfId="10401" priority="65">
      <formula>B87&gt;$AG87</formula>
    </cfRule>
  </conditionalFormatting>
  <conditionalFormatting sqref="B89">
    <cfRule type="expression" dxfId="10400" priority="64">
      <formula>B89&gt;$AG89</formula>
    </cfRule>
  </conditionalFormatting>
  <conditionalFormatting sqref="L21:P31 Q25:V25 Q24:U24">
    <cfRule type="expression" dxfId="10399" priority="60">
      <formula>L$9&gt;=20/24</formula>
    </cfRule>
    <cfRule type="expression" dxfId="10398" priority="61">
      <formula>AND(L$9&gt;=14/24,L$9&lt;20/24)</formula>
    </cfRule>
    <cfRule type="expression" dxfId="10397" priority="62">
      <formula>AND(L$9&gt;=8/24,L$9&lt;14/24)</formula>
    </cfRule>
    <cfRule type="expression" dxfId="10396" priority="63">
      <formula>L$9&lt;8/24</formula>
    </cfRule>
  </conditionalFormatting>
  <conditionalFormatting sqref="L33:P33">
    <cfRule type="expression" dxfId="10395" priority="56">
      <formula>L$9&gt;=20/24</formula>
    </cfRule>
    <cfRule type="expression" dxfId="10394" priority="57">
      <formula>AND(L$9&gt;=14/24,L$9&lt;20/24)</formula>
    </cfRule>
    <cfRule type="expression" dxfId="10393" priority="58">
      <formula>AND(L$9&gt;=8/24,L$9&lt;14/24)</formula>
    </cfRule>
    <cfRule type="expression" dxfId="10392" priority="59">
      <formula>L$9&lt;8/24</formula>
    </cfRule>
  </conditionalFormatting>
  <conditionalFormatting sqref="L33:P33 L21:P31 Q25:V25 Q24:U24">
    <cfRule type="expression" dxfId="10391" priority="55">
      <formula>L21&gt;$AG21</formula>
    </cfRule>
  </conditionalFormatting>
  <conditionalFormatting sqref="L32:P32">
    <cfRule type="expression" dxfId="10390" priority="51">
      <formula>L$9&gt;=20/24</formula>
    </cfRule>
    <cfRule type="expression" dxfId="10389" priority="52">
      <formula>AND(L$9&gt;=14/24,L$9&lt;20/24)</formula>
    </cfRule>
    <cfRule type="expression" dxfId="10388" priority="53">
      <formula>AND(L$9&gt;=8/24,L$9&lt;14/24)</formula>
    </cfRule>
    <cfRule type="expression" dxfId="10387" priority="54">
      <formula>L$9&lt;8/24</formula>
    </cfRule>
  </conditionalFormatting>
  <conditionalFormatting sqref="L32:P32">
    <cfRule type="expression" dxfId="10386" priority="50">
      <formula>L32&gt;$AG32</formula>
    </cfRule>
  </conditionalFormatting>
  <conditionalFormatting sqref="Q16:U20">
    <cfRule type="expression" dxfId="10385" priority="46">
      <formula>Q$9&gt;=20/24</formula>
    </cfRule>
    <cfRule type="expression" dxfId="10384" priority="47">
      <formula>AND(Q$9&gt;=14/24,Q$9&lt;20/24)</formula>
    </cfRule>
    <cfRule type="expression" dxfId="10383" priority="48">
      <formula>AND(Q$9&gt;=8/24,Q$9&lt;14/24)</formula>
    </cfRule>
    <cfRule type="expression" dxfId="10382" priority="49">
      <formula>Q$9&lt;8/24</formula>
    </cfRule>
  </conditionalFormatting>
  <conditionalFormatting sqref="Q16:U20 Q34:U34">
    <cfRule type="expression" dxfId="10381" priority="45">
      <formula>Q16&gt;$AG16</formula>
    </cfRule>
  </conditionalFormatting>
  <conditionalFormatting sqref="Q34:U34">
    <cfRule type="expression" dxfId="10380" priority="41">
      <formula>Q$9&gt;=20/24</formula>
    </cfRule>
    <cfRule type="expression" dxfId="10379" priority="42">
      <formula>AND(Q$9&gt;=14/24,Q$9&lt;20/24)</formula>
    </cfRule>
    <cfRule type="expression" dxfId="10378" priority="43">
      <formula>AND(Q$9&gt;=8/24,Q$9&lt;14/24)</formula>
    </cfRule>
    <cfRule type="expression" dxfId="10377" priority="44">
      <formula>Q$9&lt;8/24</formula>
    </cfRule>
  </conditionalFormatting>
  <conditionalFormatting sqref="Q21:U23 Q26:U31">
    <cfRule type="expression" dxfId="10376" priority="37">
      <formula>Q$9&gt;=20/24</formula>
    </cfRule>
    <cfRule type="expression" dxfId="10375" priority="38">
      <formula>AND(Q$9&gt;=14/24,Q$9&lt;20/24)</formula>
    </cfRule>
    <cfRule type="expression" dxfId="10374" priority="39">
      <formula>AND(Q$9&gt;=8/24,Q$9&lt;14/24)</formula>
    </cfRule>
    <cfRule type="expression" dxfId="10373" priority="40">
      <formula>Q$9&lt;8/24</formula>
    </cfRule>
  </conditionalFormatting>
  <conditionalFormatting sqref="Q33:U33">
    <cfRule type="expression" dxfId="10372" priority="33">
      <formula>Q$9&gt;=20/24</formula>
    </cfRule>
    <cfRule type="expression" dxfId="10371" priority="34">
      <formula>AND(Q$9&gt;=14/24,Q$9&lt;20/24)</formula>
    </cfRule>
    <cfRule type="expression" dxfId="10370" priority="35">
      <formula>AND(Q$9&gt;=8/24,Q$9&lt;14/24)</formula>
    </cfRule>
    <cfRule type="expression" dxfId="10369" priority="36">
      <formula>Q$9&lt;8/24</formula>
    </cfRule>
  </conditionalFormatting>
  <conditionalFormatting sqref="Q33:U33 Q21:U23 Q26:U31">
    <cfRule type="expression" dxfId="10368" priority="32">
      <formula>Q21&gt;$AG21</formula>
    </cfRule>
  </conditionalFormatting>
  <conditionalFormatting sqref="Q32:U32">
    <cfRule type="expression" dxfId="10367" priority="28">
      <formula>Q$9&gt;=20/24</formula>
    </cfRule>
    <cfRule type="expression" dxfId="10366" priority="29">
      <formula>AND(Q$9&gt;=14/24,Q$9&lt;20/24)</formula>
    </cfRule>
    <cfRule type="expression" dxfId="10365" priority="30">
      <formula>AND(Q$9&gt;=8/24,Q$9&lt;14/24)</formula>
    </cfRule>
    <cfRule type="expression" dxfId="10364" priority="31">
      <formula>Q$9&lt;8/24</formula>
    </cfRule>
  </conditionalFormatting>
  <conditionalFormatting sqref="Q32:U32">
    <cfRule type="expression" dxfId="10363" priority="27">
      <formula>Q32&gt;$AG32</formula>
    </cfRule>
  </conditionalFormatting>
  <conditionalFormatting sqref="Q43:T43 Q45:T46 Q44:V44">
    <cfRule type="expression" dxfId="10362" priority="23">
      <formula>Q$9&gt;=20/24</formula>
    </cfRule>
    <cfRule type="expression" dxfId="10361" priority="24">
      <formula>AND(Q$9&gt;=14/24,Q$9&lt;20/24)</formula>
    </cfRule>
    <cfRule type="expression" dxfId="10360" priority="25">
      <formula>AND(Q$9&gt;=8/24,Q$9&lt;14/24)</formula>
    </cfRule>
    <cfRule type="expression" dxfId="10359" priority="26">
      <formula>Q$9&lt;8/24</formula>
    </cfRule>
  </conditionalFormatting>
  <conditionalFormatting sqref="Q41:T41">
    <cfRule type="expression" dxfId="10358" priority="19">
      <formula>Q$9&gt;=20/24</formula>
    </cfRule>
    <cfRule type="expression" dxfId="10357" priority="20">
      <formula>AND(Q$9&gt;=14/24,Q$9&lt;20/24)</formula>
    </cfRule>
    <cfRule type="expression" dxfId="10356" priority="21">
      <formula>AND(Q$9&gt;=8/24,Q$9&lt;14/24)</formula>
    </cfRule>
    <cfRule type="expression" dxfId="10355" priority="22">
      <formula>Q$9&lt;8/24</formula>
    </cfRule>
  </conditionalFormatting>
  <conditionalFormatting sqref="Q47:T47">
    <cfRule type="expression" dxfId="10354" priority="15">
      <formula>Q$9&gt;=20/24</formula>
    </cfRule>
    <cfRule type="expression" dxfId="10353" priority="16">
      <formula>AND(Q$9&gt;=14/24,Q$9&lt;20/24)</formula>
    </cfRule>
    <cfRule type="expression" dxfId="10352" priority="17">
      <formula>AND(Q$9&gt;=8/24,Q$9&lt;14/24)</formula>
    </cfRule>
    <cfRule type="expression" dxfId="10351" priority="18">
      <formula>Q$9&lt;8/24</formula>
    </cfRule>
  </conditionalFormatting>
  <conditionalFormatting sqref="Q48:T48">
    <cfRule type="expression" dxfId="10350" priority="11">
      <formula>Q$9&gt;=20/24</formula>
    </cfRule>
    <cfRule type="expression" dxfId="10349" priority="12">
      <formula>AND(Q$9&gt;=14/24,Q$9&lt;20/24)</formula>
    </cfRule>
    <cfRule type="expression" dxfId="10348" priority="13">
      <formula>AND(Q$9&gt;=8/24,Q$9&lt;14/24)</formula>
    </cfRule>
    <cfRule type="expression" dxfId="10347" priority="14">
      <formula>Q$9&lt;8/24</formula>
    </cfRule>
  </conditionalFormatting>
  <conditionalFormatting sqref="Q43:T43 Q45:T46 Q44:V44">
    <cfRule type="expression" dxfId="10346" priority="7">
      <formula>Q$9&gt;=20/24</formula>
    </cfRule>
    <cfRule type="expression" dxfId="10345" priority="8">
      <formula>AND(Q$9&gt;=14/24,Q$9&lt;20/24)</formula>
    </cfRule>
    <cfRule type="expression" dxfId="10344" priority="9">
      <formula>AND(Q$9&gt;=8/24,Q$9&lt;14/24)</formula>
    </cfRule>
    <cfRule type="expression" dxfId="10343" priority="10">
      <formula>Q$9&lt;8/24</formula>
    </cfRule>
  </conditionalFormatting>
  <conditionalFormatting sqref="Q43:T43 Q41:T41 Q45:T48 Q44:V44">
    <cfRule type="expression" dxfId="10342" priority="6">
      <formula>Q41&gt;$AG41</formula>
    </cfRule>
  </conditionalFormatting>
  <conditionalFormatting sqref="Q42:T42">
    <cfRule type="expression" dxfId="10341" priority="2">
      <formula>Q$9&gt;=20/24</formula>
    </cfRule>
    <cfRule type="expression" dxfId="10340" priority="3">
      <formula>AND(Q$9&gt;=14/24,Q$9&lt;20/24)</formula>
    </cfRule>
    <cfRule type="expression" dxfId="10339" priority="4">
      <formula>AND(Q$9&gt;=8/24,Q$9&lt;14/24)</formula>
    </cfRule>
    <cfRule type="expression" dxfId="10338" priority="5">
      <formula>Q$9&lt;8/24</formula>
    </cfRule>
  </conditionalFormatting>
  <conditionalFormatting sqref="Q42:T42">
    <cfRule type="expression" dxfId="10337" priority="1">
      <formula>Q42&gt;$AG42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Normal="10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K14" sqref="AK1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2078/07/3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-50</v>
      </c>
      <c r="C5" s="32">
        <f t="shared" ref="C5:AF5" si="0">C66</f>
        <v>-67</v>
      </c>
      <c r="D5" s="32">
        <f t="shared" si="0"/>
        <v>-48.6</v>
      </c>
      <c r="E5" s="32">
        <f t="shared" si="0"/>
        <v>-70.8</v>
      </c>
      <c r="F5" s="32">
        <f t="shared" si="0"/>
        <v>-41.2</v>
      </c>
      <c r="G5" s="32">
        <f t="shared" si="0"/>
        <v>-43.5</v>
      </c>
      <c r="H5" s="32">
        <f t="shared" si="0"/>
        <v>-56.7</v>
      </c>
      <c r="I5" s="32">
        <f t="shared" si="0"/>
        <v>-16.600000000000001</v>
      </c>
      <c r="J5" s="32">
        <f t="shared" si="0"/>
        <v>-51.7</v>
      </c>
      <c r="K5" s="32">
        <f t="shared" si="0"/>
        <v>-56</v>
      </c>
      <c r="L5" s="32">
        <f t="shared" si="0"/>
        <v>-24.3</v>
      </c>
      <c r="M5" s="32">
        <f t="shared" si="0"/>
        <v>-63.1</v>
      </c>
      <c r="N5" s="32">
        <f t="shared" si="0"/>
        <v>-55</v>
      </c>
      <c r="O5" s="32">
        <f t="shared" si="0"/>
        <v>-56.8</v>
      </c>
      <c r="P5" s="32">
        <f t="shared" si="0"/>
        <v>-10</v>
      </c>
      <c r="Q5" s="32">
        <f t="shared" si="0"/>
        <v>-25</v>
      </c>
      <c r="R5" s="32">
        <f t="shared" si="0"/>
        <v>-41.5</v>
      </c>
      <c r="S5" s="32">
        <f t="shared" si="0"/>
        <v>-53.4</v>
      </c>
      <c r="T5" s="32">
        <f t="shared" si="0"/>
        <v>-61.7</v>
      </c>
      <c r="U5" s="32">
        <f t="shared" si="0"/>
        <v>-42.5</v>
      </c>
      <c r="V5" s="32">
        <f t="shared" si="0"/>
        <v>-5.0999999999999996</v>
      </c>
      <c r="W5" s="32">
        <f t="shared" si="0"/>
        <v>-3.5</v>
      </c>
      <c r="X5" s="32">
        <f t="shared" si="0"/>
        <v>-26</v>
      </c>
      <c r="Y5" s="32">
        <f t="shared" si="0"/>
        <v>-35.799999999999997</v>
      </c>
      <c r="Z5" s="32">
        <f t="shared" si="0"/>
        <v>-117.8</v>
      </c>
      <c r="AA5" s="32">
        <f t="shared" si="0"/>
        <v>-154.79999999999998</v>
      </c>
      <c r="AB5" s="32">
        <f t="shared" si="0"/>
        <v>-122.89999999999999</v>
      </c>
      <c r="AC5" s="32">
        <f t="shared" si="0"/>
        <v>-110.6</v>
      </c>
      <c r="AD5" s="32">
        <f t="shared" si="0"/>
        <v>0</v>
      </c>
      <c r="AE5" s="32">
        <f t="shared" si="0"/>
        <v>-64.099999999999994</v>
      </c>
      <c r="AF5" s="32">
        <f t="shared" si="0"/>
        <v>-101.2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897MW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B73</f>
        <v>693.64</v>
      </c>
      <c r="C7" s="37">
        <f t="shared" si="1"/>
        <v>686.64</v>
      </c>
      <c r="D7" s="37">
        <f t="shared" si="1"/>
        <v>678.54</v>
      </c>
      <c r="E7" s="37">
        <f t="shared" si="1"/>
        <v>631.33999999999992</v>
      </c>
      <c r="F7" s="37">
        <f t="shared" si="1"/>
        <v>636.04</v>
      </c>
      <c r="G7" s="37">
        <f t="shared" si="1"/>
        <v>671.54</v>
      </c>
      <c r="H7" s="37">
        <f t="shared" si="1"/>
        <v>700.74</v>
      </c>
      <c r="I7" s="37">
        <f t="shared" si="1"/>
        <v>738.04</v>
      </c>
      <c r="J7" s="37">
        <f t="shared" si="1"/>
        <v>774.34</v>
      </c>
      <c r="K7" s="37">
        <f t="shared" si="1"/>
        <v>770.04</v>
      </c>
      <c r="L7" s="37">
        <f>L73</f>
        <v>823.6400000000001</v>
      </c>
      <c r="M7" s="37">
        <f t="shared" si="1"/>
        <v>897.33999999999992</v>
      </c>
      <c r="N7" s="37">
        <f t="shared" si="1"/>
        <v>901.63999999999987</v>
      </c>
      <c r="O7" s="37">
        <f t="shared" si="1"/>
        <v>876.44</v>
      </c>
      <c r="P7" s="37">
        <f t="shared" si="1"/>
        <v>883.6400000000001</v>
      </c>
      <c r="Q7" s="37">
        <f t="shared" si="1"/>
        <v>868.6400000000001</v>
      </c>
      <c r="R7" s="37">
        <f t="shared" si="1"/>
        <v>867.6400000000001</v>
      </c>
      <c r="S7" s="37">
        <f t="shared" si="1"/>
        <v>888.1400000000001</v>
      </c>
      <c r="T7" s="37">
        <f t="shared" si="1"/>
        <v>870.94</v>
      </c>
      <c r="U7" s="37">
        <f t="shared" si="1"/>
        <v>924.74</v>
      </c>
      <c r="V7" s="37">
        <f t="shared" si="1"/>
        <v>998.74</v>
      </c>
      <c r="W7" s="37">
        <f t="shared" si="1"/>
        <v>1110.3400000000001</v>
      </c>
      <c r="X7" s="37">
        <f t="shared" si="1"/>
        <v>1066.04</v>
      </c>
      <c r="Y7" s="37">
        <f t="shared" si="1"/>
        <v>1042.44</v>
      </c>
      <c r="Z7" s="37">
        <f t="shared" si="1"/>
        <v>958.94</v>
      </c>
      <c r="AA7" s="37">
        <f t="shared" si="1"/>
        <v>941.1400000000001</v>
      </c>
      <c r="AB7" s="37">
        <f t="shared" si="1"/>
        <v>935.64</v>
      </c>
      <c r="AC7" s="37">
        <f t="shared" si="1"/>
        <v>919.1400000000001</v>
      </c>
      <c r="AD7" s="37">
        <f t="shared" si="1"/>
        <v>3.54</v>
      </c>
      <c r="AE7" s="37">
        <f t="shared" si="1"/>
        <v>758.34</v>
      </c>
      <c r="AF7" s="37">
        <f t="shared" si="1"/>
        <v>733.84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90</v>
      </c>
      <c r="C11" s="49">
        <v>100</v>
      </c>
      <c r="D11" s="49">
        <v>80</v>
      </c>
      <c r="E11" s="49">
        <v>80</v>
      </c>
      <c r="F11" s="49">
        <v>60</v>
      </c>
      <c r="G11" s="49">
        <v>83</v>
      </c>
      <c r="H11" s="49">
        <v>82</v>
      </c>
      <c r="I11" s="49">
        <v>82</v>
      </c>
      <c r="J11" s="49">
        <v>132</v>
      </c>
      <c r="K11" s="49">
        <v>132</v>
      </c>
      <c r="L11" s="50">
        <v>134.19999999999999</v>
      </c>
      <c r="M11" s="50">
        <v>190</v>
      </c>
      <c r="N11" s="50">
        <v>165</v>
      </c>
      <c r="O11" s="50">
        <v>135</v>
      </c>
      <c r="P11" s="50">
        <v>135</v>
      </c>
      <c r="Q11" s="50">
        <v>135</v>
      </c>
      <c r="R11" s="50">
        <v>143</v>
      </c>
      <c r="S11" s="52">
        <v>144</v>
      </c>
      <c r="T11" s="52">
        <v>147</v>
      </c>
      <c r="U11" s="52">
        <v>149.6</v>
      </c>
      <c r="V11" s="52">
        <v>180</v>
      </c>
      <c r="W11" s="52">
        <v>200</v>
      </c>
      <c r="X11" s="52">
        <v>200</v>
      </c>
      <c r="Y11" s="52">
        <v>200</v>
      </c>
      <c r="Z11" s="52">
        <v>200</v>
      </c>
      <c r="AA11" s="54">
        <v>230</v>
      </c>
      <c r="AB11" s="54">
        <v>200</v>
      </c>
      <c r="AC11" s="54">
        <v>200</v>
      </c>
      <c r="AD11" s="54" t="s">
        <v>221</v>
      </c>
      <c r="AE11" s="49">
        <v>100</v>
      </c>
      <c r="AF11" s="49">
        <v>100</v>
      </c>
      <c r="AG11" s="55">
        <v>456</v>
      </c>
      <c r="AH11" s="56">
        <f>MAX(B11:AF11)</f>
        <v>230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50</v>
      </c>
      <c r="C12" s="49">
        <v>50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40</v>
      </c>
      <c r="S12" s="60">
        <v>40</v>
      </c>
      <c r="T12" s="60">
        <v>40</v>
      </c>
      <c r="U12" s="60">
        <v>40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0">
        <v>60</v>
      </c>
      <c r="AB12" s="50">
        <v>50</v>
      </c>
      <c r="AC12" s="50">
        <v>50</v>
      </c>
      <c r="AD12" s="50" t="s">
        <v>222</v>
      </c>
      <c r="AE12" s="49">
        <v>50</v>
      </c>
      <c r="AF12" s="49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</v>
      </c>
      <c r="C13" s="49">
        <v>25</v>
      </c>
      <c r="D13" s="49">
        <v>25.2</v>
      </c>
      <c r="E13" s="49">
        <v>25.2</v>
      </c>
      <c r="F13" s="49">
        <v>25.2</v>
      </c>
      <c r="G13" s="49">
        <v>25.2</v>
      </c>
      <c r="H13" s="49">
        <v>25.2</v>
      </c>
      <c r="I13" s="49">
        <v>25.2</v>
      </c>
      <c r="J13" s="49">
        <v>25.2</v>
      </c>
      <c r="K13" s="49">
        <v>25.2</v>
      </c>
      <c r="L13" s="50">
        <v>25.2</v>
      </c>
      <c r="M13" s="50">
        <v>25.2</v>
      </c>
      <c r="N13" s="50">
        <v>25.2</v>
      </c>
      <c r="O13" s="50">
        <v>25.5</v>
      </c>
      <c r="P13" s="50">
        <v>25.5</v>
      </c>
      <c r="Q13" s="50">
        <v>25.5</v>
      </c>
      <c r="R13" s="50">
        <v>25.5</v>
      </c>
      <c r="S13" s="62">
        <v>25.5</v>
      </c>
      <c r="T13" s="62">
        <v>25.5</v>
      </c>
      <c r="U13" s="62">
        <v>25.2</v>
      </c>
      <c r="V13" s="62">
        <v>25.2</v>
      </c>
      <c r="W13" s="62">
        <v>25.2</v>
      </c>
      <c r="X13" s="62">
        <v>25.2</v>
      </c>
      <c r="Y13" s="62">
        <v>25.2</v>
      </c>
      <c r="Z13" s="62">
        <v>25.2</v>
      </c>
      <c r="AA13" s="50">
        <v>25.2</v>
      </c>
      <c r="AB13" s="50">
        <v>34.799999999999997</v>
      </c>
      <c r="AC13" s="50">
        <v>34.799999999999997</v>
      </c>
      <c r="AD13" s="50" t="s">
        <v>221</v>
      </c>
      <c r="AE13" s="49">
        <v>25.1</v>
      </c>
      <c r="AF13" s="49">
        <v>25.1</v>
      </c>
      <c r="AG13" s="61">
        <v>52.4</v>
      </c>
      <c r="AH13" s="56">
        <f t="shared" si="2"/>
        <v>34.799999999999997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41</v>
      </c>
      <c r="C14" s="63">
        <v>41</v>
      </c>
      <c r="D14" s="63">
        <v>41</v>
      </c>
      <c r="E14" s="63">
        <v>41</v>
      </c>
      <c r="F14" s="63">
        <v>41</v>
      </c>
      <c r="G14" s="63">
        <v>41</v>
      </c>
      <c r="H14" s="63">
        <v>41.1</v>
      </c>
      <c r="I14" s="63">
        <v>41.1</v>
      </c>
      <c r="J14" s="63">
        <v>41.1</v>
      </c>
      <c r="K14" s="63">
        <v>41.1</v>
      </c>
      <c r="L14" s="50">
        <v>41.1</v>
      </c>
      <c r="M14" s="50">
        <v>41.1</v>
      </c>
      <c r="N14" s="50">
        <v>45.9</v>
      </c>
      <c r="O14" s="50">
        <v>46</v>
      </c>
      <c r="P14" s="50">
        <v>46</v>
      </c>
      <c r="Q14" s="50">
        <v>46</v>
      </c>
      <c r="R14" s="50">
        <v>46</v>
      </c>
      <c r="S14" s="62">
        <v>46</v>
      </c>
      <c r="T14" s="62">
        <v>46</v>
      </c>
      <c r="U14" s="62">
        <v>37.799999999999997</v>
      </c>
      <c r="V14" s="62">
        <v>37.799999999999997</v>
      </c>
      <c r="W14" s="62">
        <v>37.799999999999997</v>
      </c>
      <c r="X14" s="62">
        <v>37.799999999999997</v>
      </c>
      <c r="Y14" s="62">
        <v>37.799999999999997</v>
      </c>
      <c r="Z14" s="62">
        <v>37.799999999999997</v>
      </c>
      <c r="AA14" s="50">
        <v>45.9</v>
      </c>
      <c r="AB14" s="50">
        <v>45.6</v>
      </c>
      <c r="AC14" s="50">
        <v>41.5</v>
      </c>
      <c r="AD14" s="50" t="s">
        <v>223</v>
      </c>
      <c r="AE14" s="63">
        <v>37.1</v>
      </c>
      <c r="AF14" s="63">
        <v>37.1</v>
      </c>
      <c r="AG14" s="64">
        <v>45</v>
      </c>
      <c r="AH14" s="56">
        <f t="shared" si="2"/>
        <v>46</v>
      </c>
      <c r="AI14" s="57">
        <f t="shared" si="3"/>
        <v>37.1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28</v>
      </c>
      <c r="S15" s="50">
        <v>28</v>
      </c>
      <c r="T15" s="50">
        <v>28</v>
      </c>
      <c r="U15" s="50">
        <v>28</v>
      </c>
      <c r="V15" s="50">
        <v>28</v>
      </c>
      <c r="W15" s="65">
        <v>28</v>
      </c>
      <c r="X15" s="65">
        <v>32</v>
      </c>
      <c r="Y15" s="65">
        <v>32</v>
      </c>
      <c r="Z15" s="65">
        <v>32</v>
      </c>
      <c r="AA15" s="50">
        <v>32</v>
      </c>
      <c r="AB15" s="50">
        <v>28</v>
      </c>
      <c r="AC15" s="50">
        <v>28</v>
      </c>
      <c r="AD15" s="50" t="s">
        <v>224</v>
      </c>
      <c r="AE15" s="49">
        <v>0</v>
      </c>
      <c r="AF15" s="49">
        <v>26</v>
      </c>
      <c r="AG15" s="61">
        <v>45</v>
      </c>
      <c r="AH15" s="56">
        <f t="shared" si="2"/>
        <v>32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0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62">
        <v>12.5</v>
      </c>
      <c r="T16" s="62">
        <v>12.5</v>
      </c>
      <c r="U16" s="62">
        <v>12.5</v>
      </c>
      <c r="V16" s="62">
        <v>12.5</v>
      </c>
      <c r="W16" s="62">
        <v>12.5</v>
      </c>
      <c r="X16" s="62">
        <v>25</v>
      </c>
      <c r="Y16" s="62">
        <v>25</v>
      </c>
      <c r="Z16" s="62">
        <v>25</v>
      </c>
      <c r="AA16" s="50">
        <v>25</v>
      </c>
      <c r="AB16" s="50">
        <v>25</v>
      </c>
      <c r="AC16" s="50">
        <v>25</v>
      </c>
      <c r="AD16" s="50" t="s">
        <v>225</v>
      </c>
      <c r="AE16" s="49">
        <v>25</v>
      </c>
      <c r="AF16" s="49">
        <v>15</v>
      </c>
      <c r="AG16" s="61">
        <v>42</v>
      </c>
      <c r="AH16" s="56">
        <f t="shared" si="2"/>
        <v>25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/>
      <c r="AE17" s="49">
        <v>25</v>
      </c>
      <c r="AF17" s="49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25</v>
      </c>
      <c r="C18" s="49">
        <v>25</v>
      </c>
      <c r="D18" s="49">
        <v>25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50">
        <v>21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25.2</v>
      </c>
      <c r="AB18" s="50">
        <v>25.2</v>
      </c>
      <c r="AC18" s="50">
        <v>0</v>
      </c>
      <c r="AD18" s="50" t="s">
        <v>226</v>
      </c>
      <c r="AE18" s="49">
        <v>25.1</v>
      </c>
      <c r="AF18" s="49">
        <v>20.7</v>
      </c>
      <c r="AG18" s="61">
        <v>30</v>
      </c>
      <c r="AH18" s="56">
        <f t="shared" si="2"/>
        <v>25.2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 t="s">
        <v>227</v>
      </c>
      <c r="AE19" s="49">
        <v>6.2</v>
      </c>
      <c r="AF19" s="49">
        <v>6.2</v>
      </c>
      <c r="AG19" s="61">
        <v>27</v>
      </c>
      <c r="AH19" s="56">
        <f t="shared" si="2"/>
        <v>6.2</v>
      </c>
      <c r="AI19" s="57">
        <f t="shared" si="3"/>
        <v>0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 t="s">
        <v>221</v>
      </c>
      <c r="AE20" s="49">
        <v>11</v>
      </c>
      <c r="AF20" s="49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 t="s">
        <v>223</v>
      </c>
      <c r="AE21" s="49">
        <v>17</v>
      </c>
      <c r="AF21" s="49">
        <v>17</v>
      </c>
      <c r="AG21" s="61">
        <v>25</v>
      </c>
      <c r="AH21" s="56">
        <f t="shared" si="2"/>
        <v>22</v>
      </c>
      <c r="AI21" s="57">
        <f t="shared" si="3"/>
        <v>17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 t="s">
        <v>228</v>
      </c>
      <c r="AE22" s="49">
        <v>0</v>
      </c>
      <c r="AF22" s="49">
        <v>0</v>
      </c>
      <c r="AG22" s="61">
        <v>25</v>
      </c>
      <c r="AH22" s="56">
        <f t="shared" si="2"/>
        <v>0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 t="s">
        <v>229</v>
      </c>
      <c r="AE23" s="49">
        <v>18</v>
      </c>
      <c r="AF23" s="49">
        <v>18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19.5</v>
      </c>
      <c r="T24" s="50">
        <v>19.5</v>
      </c>
      <c r="U24" s="50">
        <v>19.5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 t="s">
        <v>230</v>
      </c>
      <c r="AE24" s="49">
        <v>22</v>
      </c>
      <c r="AF24" s="49">
        <v>15</v>
      </c>
      <c r="AG24" s="61">
        <v>24.2</v>
      </c>
      <c r="AH24" s="56">
        <f t="shared" si="2"/>
        <v>22</v>
      </c>
      <c r="AI24" s="57">
        <f t="shared" si="3"/>
        <v>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11</v>
      </c>
      <c r="S25" s="50">
        <v>11</v>
      </c>
      <c r="T25" s="50">
        <v>11</v>
      </c>
      <c r="U25" s="50">
        <v>11</v>
      </c>
      <c r="V25" s="50">
        <v>11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/>
      <c r="AE25" s="49">
        <v>10</v>
      </c>
      <c r="AF25" s="49">
        <v>10</v>
      </c>
      <c r="AG25" s="61">
        <v>20</v>
      </c>
      <c r="AH25" s="56">
        <f>MAX(B25:AF25)</f>
        <v>20</v>
      </c>
      <c r="AI25" s="57">
        <f>MIN(B25:AF25)</f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0</v>
      </c>
      <c r="C26" s="49">
        <v>0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14.9</v>
      </c>
      <c r="V26" s="50">
        <v>14.9</v>
      </c>
      <c r="W26" s="50">
        <v>14.9</v>
      </c>
      <c r="X26" s="50">
        <v>14.9</v>
      </c>
      <c r="Y26" s="50">
        <v>14.9</v>
      </c>
      <c r="Z26" s="50">
        <v>14.9</v>
      </c>
      <c r="AA26" s="49">
        <v>14.9</v>
      </c>
      <c r="AB26" s="49">
        <v>14.9</v>
      </c>
      <c r="AC26" s="49">
        <v>14.9</v>
      </c>
      <c r="AD26" s="49"/>
      <c r="AE26" s="49">
        <v>14.9</v>
      </c>
      <c r="AF26" s="49">
        <v>14.9</v>
      </c>
      <c r="AG26" s="61">
        <v>23.5</v>
      </c>
      <c r="AH26" s="56">
        <f t="shared" si="2"/>
        <v>14.9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/>
      <c r="AE27" s="49">
        <v>0</v>
      </c>
      <c r="AF27" s="49">
        <v>0</v>
      </c>
      <c r="AG27" s="61">
        <v>22.2</v>
      </c>
      <c r="AH27" s="56">
        <f t="shared" si="2"/>
        <v>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/>
      <c r="AE28" s="49">
        <v>0</v>
      </c>
      <c r="AF28" s="49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/>
      <c r="AE29" s="49">
        <v>0</v>
      </c>
      <c r="AF29" s="49">
        <v>0</v>
      </c>
      <c r="AG29" s="61">
        <v>22.1</v>
      </c>
      <c r="AH29" s="56">
        <f t="shared" si="2"/>
        <v>12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/>
      <c r="AE30" s="63">
        <v>0</v>
      </c>
      <c r="AF30" s="63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/>
      <c r="AE31" s="63">
        <v>0</v>
      </c>
      <c r="AF31" s="63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/>
      <c r="AE32" s="63">
        <v>0</v>
      </c>
      <c r="AF32" s="63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/>
      <c r="AE33" s="63">
        <v>0</v>
      </c>
      <c r="AF33" s="63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150</v>
      </c>
      <c r="C34" s="63">
        <v>150</v>
      </c>
      <c r="D34" s="63">
        <v>150</v>
      </c>
      <c r="E34" s="63">
        <v>150</v>
      </c>
      <c r="F34" s="63">
        <v>150</v>
      </c>
      <c r="G34" s="63">
        <v>150</v>
      </c>
      <c r="H34" s="63">
        <v>150</v>
      </c>
      <c r="I34" s="63">
        <v>150</v>
      </c>
      <c r="J34" s="63">
        <v>150</v>
      </c>
      <c r="K34" s="63">
        <v>150</v>
      </c>
      <c r="L34" s="63">
        <v>150</v>
      </c>
      <c r="M34" s="63">
        <v>150</v>
      </c>
      <c r="N34" s="63">
        <v>150</v>
      </c>
      <c r="O34" s="63">
        <v>150</v>
      </c>
      <c r="P34" s="63">
        <v>150</v>
      </c>
      <c r="Q34" s="63">
        <v>150</v>
      </c>
      <c r="R34" s="63">
        <v>150</v>
      </c>
      <c r="S34" s="63">
        <v>150</v>
      </c>
      <c r="T34" s="63">
        <v>150</v>
      </c>
      <c r="U34" s="63">
        <v>150</v>
      </c>
      <c r="V34" s="63">
        <v>150</v>
      </c>
      <c r="W34" s="63">
        <v>150</v>
      </c>
      <c r="X34" s="63">
        <v>150</v>
      </c>
      <c r="Y34" s="63">
        <v>150</v>
      </c>
      <c r="Z34" s="63">
        <v>150</v>
      </c>
      <c r="AA34" s="63">
        <v>150</v>
      </c>
      <c r="AB34" s="63">
        <v>150</v>
      </c>
      <c r="AC34" s="63">
        <v>150</v>
      </c>
      <c r="AD34" s="63"/>
      <c r="AE34" s="63">
        <v>150</v>
      </c>
      <c r="AF34" s="63">
        <v>150</v>
      </c>
      <c r="AG34" s="69">
        <v>85</v>
      </c>
      <c r="AH34" s="56">
        <f t="shared" si="2"/>
        <v>150</v>
      </c>
      <c r="AI34" s="57">
        <f t="shared" si="3"/>
        <v>150</v>
      </c>
      <c r="AK34" s="58"/>
    </row>
    <row r="35" spans="1:88" ht="15.75" thickBot="1" x14ac:dyDescent="0.3">
      <c r="A35" s="71" t="s">
        <v>43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/>
      <c r="S35" s="72">
        <v>51</v>
      </c>
      <c r="T35" s="72"/>
      <c r="U35" s="72"/>
      <c r="V35" s="72">
        <v>68</v>
      </c>
      <c r="W35" s="72">
        <v>81</v>
      </c>
      <c r="X35" s="72">
        <v>83</v>
      </c>
      <c r="Y35" s="72">
        <f>57+48</f>
        <v>105</v>
      </c>
      <c r="Z35" s="72">
        <f>57+48</f>
        <v>105</v>
      </c>
      <c r="AA35" s="72"/>
      <c r="AB35" s="72"/>
      <c r="AC35" s="72"/>
      <c r="AD35" s="72"/>
      <c r="AE35" s="63"/>
      <c r="AF35" s="63"/>
      <c r="AG35" s="69">
        <v>240</v>
      </c>
      <c r="AH35" s="56">
        <f t="shared" si="2"/>
        <v>105</v>
      </c>
      <c r="AI35" s="57">
        <f t="shared" si="3"/>
        <v>0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509</v>
      </c>
      <c r="C36" s="74">
        <f t="shared" si="4"/>
        <v>519</v>
      </c>
      <c r="D36" s="74">
        <f t="shared" si="4"/>
        <v>489.2</v>
      </c>
      <c r="E36" s="74">
        <f t="shared" si="4"/>
        <v>464.2</v>
      </c>
      <c r="F36" s="74">
        <f t="shared" si="4"/>
        <v>444.2</v>
      </c>
      <c r="G36" s="74">
        <f t="shared" si="4"/>
        <v>467.2</v>
      </c>
      <c r="H36" s="74">
        <f t="shared" si="4"/>
        <v>466.29999999999995</v>
      </c>
      <c r="I36" s="74">
        <f t="shared" si="4"/>
        <v>466.29999999999995</v>
      </c>
      <c r="J36" s="74">
        <f t="shared" si="4"/>
        <v>516.29999999999995</v>
      </c>
      <c r="K36" s="74">
        <f t="shared" si="4"/>
        <v>516.29999999999995</v>
      </c>
      <c r="L36" s="74">
        <f t="shared" si="4"/>
        <v>539.5</v>
      </c>
      <c r="M36" s="74">
        <f t="shared" si="4"/>
        <v>619.29999999999995</v>
      </c>
      <c r="N36" s="74">
        <f t="shared" si="4"/>
        <v>599.09999999999991</v>
      </c>
      <c r="O36" s="74">
        <f t="shared" si="4"/>
        <v>575.70000000000005</v>
      </c>
      <c r="P36" s="74">
        <f t="shared" si="4"/>
        <v>575.70000000000005</v>
      </c>
      <c r="Q36" s="74">
        <f t="shared" si="4"/>
        <v>575.70000000000005</v>
      </c>
      <c r="R36" s="74">
        <f t="shared" si="4"/>
        <v>566.70000000000005</v>
      </c>
      <c r="S36" s="74">
        <f t="shared" si="4"/>
        <v>599.70000000000005</v>
      </c>
      <c r="T36" s="74">
        <f t="shared" si="4"/>
        <v>602.70000000000005</v>
      </c>
      <c r="U36" s="74">
        <f t="shared" si="4"/>
        <v>611.69999999999993</v>
      </c>
      <c r="V36" s="74">
        <f t="shared" si="4"/>
        <v>664.59999999999991</v>
      </c>
      <c r="W36" s="74">
        <f t="shared" si="4"/>
        <v>693.6</v>
      </c>
      <c r="X36" s="74">
        <f t="shared" si="4"/>
        <v>710.1</v>
      </c>
      <c r="Y36" s="74">
        <f t="shared" si="4"/>
        <v>698.1</v>
      </c>
      <c r="Z36" s="74">
        <f t="shared" si="4"/>
        <v>698.1</v>
      </c>
      <c r="AA36" s="74">
        <f t="shared" si="4"/>
        <v>736.4</v>
      </c>
      <c r="AB36" s="74">
        <f t="shared" si="4"/>
        <v>701.69999999999993</v>
      </c>
      <c r="AC36" s="74">
        <f t="shared" si="4"/>
        <v>672.4</v>
      </c>
      <c r="AD36" s="74">
        <f t="shared" si="4"/>
        <v>0</v>
      </c>
      <c r="AE36" s="74">
        <f t="shared" si="4"/>
        <v>536.4</v>
      </c>
      <c r="AF36" s="74">
        <f t="shared" si="4"/>
        <v>536</v>
      </c>
      <c r="AG36" s="69">
        <f>SUM(AG11:AG35)</f>
        <v>1431.83</v>
      </c>
      <c r="AH36" s="56">
        <f t="shared" si="2"/>
        <v>736.4</v>
      </c>
      <c r="AI36" s="57">
        <f t="shared" si="3"/>
        <v>0</v>
      </c>
      <c r="AK36" s="58"/>
    </row>
    <row r="37" spans="1:88" x14ac:dyDescent="0.25">
      <c r="A37" s="59" t="s">
        <v>45</v>
      </c>
      <c r="B37" s="63">
        <v>91</v>
      </c>
      <c r="C37" s="63">
        <v>91</v>
      </c>
      <c r="D37" s="63">
        <v>91.1</v>
      </c>
      <c r="E37" s="63">
        <v>90.9</v>
      </c>
      <c r="F37" s="63">
        <v>91</v>
      </c>
      <c r="G37" s="63">
        <v>91</v>
      </c>
      <c r="H37" s="63">
        <v>101</v>
      </c>
      <c r="I37" s="63">
        <v>120</v>
      </c>
      <c r="J37" s="63">
        <v>121.3</v>
      </c>
      <c r="K37" s="63">
        <v>121.3</v>
      </c>
      <c r="L37" s="50">
        <v>121.5</v>
      </c>
      <c r="M37" s="50">
        <v>121.4</v>
      </c>
      <c r="N37" s="50">
        <v>138.80000000000001</v>
      </c>
      <c r="O37" s="50">
        <v>138.9</v>
      </c>
      <c r="P37" s="50">
        <v>136.9</v>
      </c>
      <c r="Q37" s="50">
        <v>136.9</v>
      </c>
      <c r="R37" s="50">
        <v>136.9</v>
      </c>
      <c r="S37" s="50">
        <v>135</v>
      </c>
      <c r="T37" s="50">
        <v>136.4</v>
      </c>
      <c r="U37" s="50">
        <v>139.1</v>
      </c>
      <c r="V37" s="50">
        <v>138.19999999999999</v>
      </c>
      <c r="W37" s="50">
        <v>138.19999999999999</v>
      </c>
      <c r="X37" s="50">
        <v>138.19999999999999</v>
      </c>
      <c r="Y37" s="50">
        <v>140.69999999999999</v>
      </c>
      <c r="Z37" s="50">
        <v>140.69999999999999</v>
      </c>
      <c r="AA37" s="50">
        <v>140.4</v>
      </c>
      <c r="AB37" s="50">
        <v>140.4</v>
      </c>
      <c r="AC37" s="50">
        <v>140.30000000000001</v>
      </c>
      <c r="AD37" s="50"/>
      <c r="AE37" s="49">
        <v>121.2</v>
      </c>
      <c r="AF37" s="49">
        <v>121.3</v>
      </c>
      <c r="AG37" s="64">
        <v>144</v>
      </c>
      <c r="AH37" s="56">
        <f t="shared" si="2"/>
        <v>140.69999999999999</v>
      </c>
      <c r="AI37" s="57">
        <f t="shared" si="3"/>
        <v>90.9</v>
      </c>
      <c r="AK37" s="58"/>
    </row>
    <row r="38" spans="1:88" x14ac:dyDescent="0.25">
      <c r="A38" s="68" t="s">
        <v>46</v>
      </c>
      <c r="B38" s="63">
        <v>30</v>
      </c>
      <c r="C38" s="63">
        <v>30</v>
      </c>
      <c r="D38" s="63">
        <v>30.1</v>
      </c>
      <c r="E38" s="63">
        <v>29.8</v>
      </c>
      <c r="F38" s="63">
        <v>29.9</v>
      </c>
      <c r="G38" s="63">
        <v>30</v>
      </c>
      <c r="H38" s="63">
        <v>29.9</v>
      </c>
      <c r="I38" s="63">
        <v>29.9</v>
      </c>
      <c r="J38" s="63">
        <v>29.8</v>
      </c>
      <c r="K38" s="63">
        <v>29.8</v>
      </c>
      <c r="L38" s="52">
        <v>30</v>
      </c>
      <c r="M38" s="52">
        <v>35.4</v>
      </c>
      <c r="N38" s="52">
        <v>35.5</v>
      </c>
      <c r="O38" s="52">
        <v>35.4</v>
      </c>
      <c r="P38" s="52">
        <v>33.799999999999997</v>
      </c>
      <c r="Q38" s="52">
        <v>33.799999999999997</v>
      </c>
      <c r="R38" s="52">
        <v>33.799999999999997</v>
      </c>
      <c r="S38" s="52">
        <v>34.799999999999997</v>
      </c>
      <c r="T38" s="52">
        <v>34.6</v>
      </c>
      <c r="U38" s="52">
        <v>34.799999999999997</v>
      </c>
      <c r="V38" s="52">
        <v>34.799999999999997</v>
      </c>
      <c r="W38" s="52">
        <v>34.799999999999997</v>
      </c>
      <c r="X38" s="52">
        <v>34.799999999999997</v>
      </c>
      <c r="Y38" s="52">
        <v>34.799999999999997</v>
      </c>
      <c r="Z38" s="52">
        <v>34.799999999999997</v>
      </c>
      <c r="AA38" s="52">
        <v>34.799999999999997</v>
      </c>
      <c r="AB38" s="52">
        <v>34.799999999999997</v>
      </c>
      <c r="AC38" s="52">
        <v>34.799999999999997</v>
      </c>
      <c r="AD38" s="52"/>
      <c r="AE38" s="63">
        <v>35.200000000000003</v>
      </c>
      <c r="AF38" s="63">
        <v>35.200000000000003</v>
      </c>
      <c r="AG38" s="69">
        <v>70</v>
      </c>
      <c r="AH38" s="56">
        <f t="shared" si="2"/>
        <v>35.5</v>
      </c>
      <c r="AI38" s="57">
        <f t="shared" si="3"/>
        <v>29.8</v>
      </c>
      <c r="AK38" s="58"/>
    </row>
    <row r="39" spans="1:88" x14ac:dyDescent="0.25">
      <c r="A39" s="68" t="s">
        <v>47</v>
      </c>
      <c r="B39" s="63">
        <v>33</v>
      </c>
      <c r="C39" s="63">
        <v>33</v>
      </c>
      <c r="D39" s="63">
        <v>41.1</v>
      </c>
      <c r="E39" s="63">
        <v>41.6</v>
      </c>
      <c r="F39" s="63">
        <v>35.6</v>
      </c>
      <c r="G39" s="63">
        <v>35.9</v>
      </c>
      <c r="H39" s="63">
        <v>54.6</v>
      </c>
      <c r="I39" s="63">
        <v>62.8</v>
      </c>
      <c r="J39" s="63">
        <v>62.2</v>
      </c>
      <c r="K39" s="63">
        <v>62.2</v>
      </c>
      <c r="L39" s="52">
        <v>60.5</v>
      </c>
      <c r="M39" s="52">
        <v>67.2</v>
      </c>
      <c r="N39" s="52">
        <v>66.400000000000006</v>
      </c>
      <c r="O39" s="52">
        <v>66.3</v>
      </c>
      <c r="P39" s="52">
        <v>50.5</v>
      </c>
      <c r="Q39" s="52">
        <v>50.5</v>
      </c>
      <c r="R39" s="52">
        <v>65.7</v>
      </c>
      <c r="S39" s="52">
        <v>66</v>
      </c>
      <c r="T39" s="52">
        <v>66.8</v>
      </c>
      <c r="U39" s="52">
        <v>66.3</v>
      </c>
      <c r="V39" s="52">
        <v>47.9</v>
      </c>
      <c r="W39" s="52">
        <v>66.900000000000006</v>
      </c>
      <c r="X39" s="52">
        <v>66.900000000000006</v>
      </c>
      <c r="Y39" s="52">
        <v>68.099999999999994</v>
      </c>
      <c r="Z39" s="52">
        <v>68.099999999999994</v>
      </c>
      <c r="AA39" s="52">
        <v>66.599999999999994</v>
      </c>
      <c r="AB39" s="52">
        <v>66.400000000000006</v>
      </c>
      <c r="AC39" s="52">
        <v>66.900000000000006</v>
      </c>
      <c r="AD39" s="52"/>
      <c r="AE39" s="63">
        <v>54.2</v>
      </c>
      <c r="AF39" s="63">
        <v>45.9</v>
      </c>
      <c r="AG39" s="69">
        <v>69</v>
      </c>
      <c r="AH39" s="56">
        <f t="shared" si="2"/>
        <v>68.099999999999994</v>
      </c>
      <c r="AI39" s="57">
        <f t="shared" si="3"/>
        <v>33</v>
      </c>
      <c r="AK39" s="58"/>
    </row>
    <row r="40" spans="1:88" x14ac:dyDescent="0.25">
      <c r="A40" s="68" t="s">
        <v>48</v>
      </c>
      <c r="B40" s="63">
        <v>30</v>
      </c>
      <c r="C40" s="63">
        <v>30</v>
      </c>
      <c r="D40" s="63">
        <v>25</v>
      </c>
      <c r="E40" s="63">
        <v>25</v>
      </c>
      <c r="F40" s="63">
        <v>25.9</v>
      </c>
      <c r="G40" s="63">
        <v>40.299999999999997</v>
      </c>
      <c r="H40" s="63">
        <v>50</v>
      </c>
      <c r="I40" s="63">
        <v>20</v>
      </c>
      <c r="J40" s="63">
        <v>40.799999999999997</v>
      </c>
      <c r="K40" s="63">
        <v>40.799999999999997</v>
      </c>
      <c r="L40" s="52">
        <v>40.799999999999997</v>
      </c>
      <c r="M40" s="52">
        <v>61.5</v>
      </c>
      <c r="N40" s="52">
        <v>60.9</v>
      </c>
      <c r="O40" s="52">
        <v>60.9</v>
      </c>
      <c r="P40" s="52">
        <v>42.1</v>
      </c>
      <c r="Q40" s="52">
        <v>42.1</v>
      </c>
      <c r="R40" s="52">
        <v>51.4</v>
      </c>
      <c r="S40" s="52">
        <v>51.4</v>
      </c>
      <c r="T40" s="52">
        <v>37.5</v>
      </c>
      <c r="U40" s="52">
        <v>60.7</v>
      </c>
      <c r="V40" s="52">
        <v>60.4</v>
      </c>
      <c r="W40" s="52">
        <v>60.4</v>
      </c>
      <c r="X40" s="52">
        <v>60.4</v>
      </c>
      <c r="Y40" s="52">
        <v>60.4</v>
      </c>
      <c r="Z40" s="52">
        <v>60.4</v>
      </c>
      <c r="AA40" s="52">
        <v>60.4</v>
      </c>
      <c r="AB40" s="52">
        <v>55.9</v>
      </c>
      <c r="AC40" s="52">
        <v>55.9</v>
      </c>
      <c r="AD40" s="52"/>
      <c r="AE40" s="63">
        <v>18.600000000000001</v>
      </c>
      <c r="AF40" s="63">
        <v>39.799999999999997</v>
      </c>
      <c r="AG40" s="69">
        <v>60</v>
      </c>
      <c r="AH40" s="56">
        <f t="shared" si="2"/>
        <v>61.5</v>
      </c>
      <c r="AI40" s="57">
        <f t="shared" si="3"/>
        <v>18.600000000000001</v>
      </c>
      <c r="AK40" s="58"/>
    </row>
    <row r="41" spans="1:88" x14ac:dyDescent="0.25">
      <c r="A41" s="68" t="s">
        <v>49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2">
        <v>0</v>
      </c>
      <c r="AB41" s="52">
        <v>0</v>
      </c>
      <c r="AC41" s="52">
        <v>0</v>
      </c>
      <c r="AD41" s="52"/>
      <c r="AE41" s="63">
        <v>0</v>
      </c>
      <c r="AF41" s="63">
        <v>0</v>
      </c>
      <c r="AG41" s="69">
        <v>30</v>
      </c>
      <c r="AH41" s="56">
        <f t="shared" si="2"/>
        <v>0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/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14.6</v>
      </c>
      <c r="C43" s="75">
        <v>14.6</v>
      </c>
      <c r="D43" s="75">
        <v>14.6</v>
      </c>
      <c r="E43" s="75">
        <v>14.6</v>
      </c>
      <c r="F43" s="75">
        <v>14.6</v>
      </c>
      <c r="G43" s="75">
        <v>14.6</v>
      </c>
      <c r="H43" s="75">
        <v>14.6</v>
      </c>
      <c r="I43" s="75">
        <v>14.6</v>
      </c>
      <c r="J43" s="75">
        <v>14.6</v>
      </c>
      <c r="K43" s="75">
        <v>14.6</v>
      </c>
      <c r="L43" s="75">
        <v>14.6</v>
      </c>
      <c r="M43" s="75">
        <v>14.6</v>
      </c>
      <c r="N43" s="50">
        <v>14.9</v>
      </c>
      <c r="O43" s="50">
        <v>15</v>
      </c>
      <c r="P43" s="50">
        <v>16.5</v>
      </c>
      <c r="Q43" s="50">
        <v>16.5</v>
      </c>
      <c r="R43" s="50">
        <v>16.5</v>
      </c>
      <c r="S43" s="50">
        <v>16.5</v>
      </c>
      <c r="T43" s="50">
        <v>16.5</v>
      </c>
      <c r="U43" s="50">
        <v>16.5</v>
      </c>
      <c r="V43" s="50">
        <v>16.5</v>
      </c>
      <c r="W43" s="50">
        <v>16.5</v>
      </c>
      <c r="X43" s="50">
        <v>16.5</v>
      </c>
      <c r="Y43" s="50">
        <v>16.5</v>
      </c>
      <c r="Z43" s="50">
        <v>16.5</v>
      </c>
      <c r="AA43" s="50">
        <v>16.600000000000001</v>
      </c>
      <c r="AB43" s="50">
        <v>16.7</v>
      </c>
      <c r="AC43" s="50">
        <v>16.7</v>
      </c>
      <c r="AD43" s="50"/>
      <c r="AE43" s="63">
        <v>16.7</v>
      </c>
      <c r="AF43" s="63">
        <v>16.7</v>
      </c>
      <c r="AG43" s="69">
        <v>24</v>
      </c>
      <c r="AH43" s="56">
        <f t="shared" si="2"/>
        <v>16.7</v>
      </c>
      <c r="AI43" s="57">
        <f t="shared" si="3"/>
        <v>14.6</v>
      </c>
      <c r="AK43" s="58"/>
    </row>
    <row r="44" spans="1:88" x14ac:dyDescent="0.25">
      <c r="A44" s="68" t="s">
        <v>52</v>
      </c>
      <c r="B44" s="63">
        <v>2.9</v>
      </c>
      <c r="C44" s="63">
        <v>2.9</v>
      </c>
      <c r="D44" s="63">
        <v>2.9</v>
      </c>
      <c r="E44" s="63">
        <v>2.9</v>
      </c>
      <c r="F44" s="63">
        <v>2.9</v>
      </c>
      <c r="G44" s="63">
        <v>2.9</v>
      </c>
      <c r="H44" s="63">
        <v>2.9</v>
      </c>
      <c r="I44" s="63">
        <v>2.9</v>
      </c>
      <c r="J44" s="63">
        <v>2.9</v>
      </c>
      <c r="K44" s="63">
        <v>2.9</v>
      </c>
      <c r="L44" s="63">
        <v>2.9</v>
      </c>
      <c r="M44" s="63">
        <v>2.9</v>
      </c>
      <c r="N44" s="63">
        <v>2.9</v>
      </c>
      <c r="O44" s="50">
        <v>2.9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2.6</v>
      </c>
      <c r="AB44" s="50">
        <v>2.5</v>
      </c>
      <c r="AC44" s="50">
        <v>2.6</v>
      </c>
      <c r="AD44" s="50"/>
      <c r="AE44" s="63">
        <v>0</v>
      </c>
      <c r="AF44" s="63">
        <v>0</v>
      </c>
      <c r="AG44" s="69">
        <v>15</v>
      </c>
      <c r="AH44" s="56">
        <f t="shared" si="2"/>
        <v>2.9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13</v>
      </c>
      <c r="D45" s="63">
        <v>13</v>
      </c>
      <c r="E45" s="63">
        <v>13</v>
      </c>
      <c r="F45" s="63">
        <v>13</v>
      </c>
      <c r="G45" s="63">
        <v>13</v>
      </c>
      <c r="H45" s="63">
        <v>13</v>
      </c>
      <c r="I45" s="63">
        <v>13</v>
      </c>
      <c r="J45" s="63">
        <v>13</v>
      </c>
      <c r="K45" s="63">
        <v>13</v>
      </c>
      <c r="L45" s="63">
        <v>13</v>
      </c>
      <c r="M45" s="63">
        <v>13</v>
      </c>
      <c r="N45" s="63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/>
      <c r="AE45" s="63">
        <v>13</v>
      </c>
      <c r="AF45" s="63">
        <v>13</v>
      </c>
      <c r="AG45" s="69">
        <v>14.1</v>
      </c>
      <c r="AH45" s="56">
        <f t="shared" si="2"/>
        <v>13</v>
      </c>
      <c r="AI45" s="57">
        <f t="shared" si="3"/>
        <v>13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7</v>
      </c>
      <c r="C46" s="75">
        <v>7</v>
      </c>
      <c r="D46" s="75">
        <v>7</v>
      </c>
      <c r="E46" s="75">
        <v>7</v>
      </c>
      <c r="F46" s="75">
        <v>7</v>
      </c>
      <c r="G46" s="75">
        <v>7</v>
      </c>
      <c r="H46" s="75">
        <v>12</v>
      </c>
      <c r="I46" s="75">
        <v>12</v>
      </c>
      <c r="J46" s="75">
        <v>12</v>
      </c>
      <c r="K46" s="75">
        <v>12</v>
      </c>
      <c r="L46" s="75">
        <v>12</v>
      </c>
      <c r="M46" s="75">
        <v>12</v>
      </c>
      <c r="N46" s="75">
        <v>12</v>
      </c>
      <c r="O46" s="50">
        <v>12</v>
      </c>
      <c r="P46" s="50">
        <v>12</v>
      </c>
      <c r="Q46" s="50">
        <v>12</v>
      </c>
      <c r="R46" s="50">
        <v>12</v>
      </c>
      <c r="S46" s="50">
        <v>12</v>
      </c>
      <c r="T46" s="50">
        <v>12</v>
      </c>
      <c r="U46" s="50">
        <v>12</v>
      </c>
      <c r="V46" s="50">
        <v>12</v>
      </c>
      <c r="W46" s="50">
        <v>12</v>
      </c>
      <c r="X46" s="50">
        <v>12</v>
      </c>
      <c r="Y46" s="50">
        <v>12</v>
      </c>
      <c r="Z46" s="50">
        <v>12</v>
      </c>
      <c r="AA46" s="50">
        <v>12</v>
      </c>
      <c r="AB46" s="50">
        <v>14</v>
      </c>
      <c r="AC46" s="50">
        <v>14</v>
      </c>
      <c r="AD46" s="50"/>
      <c r="AE46" s="63">
        <v>14</v>
      </c>
      <c r="AF46" s="63">
        <v>14</v>
      </c>
      <c r="AG46" s="69">
        <v>14</v>
      </c>
      <c r="AH46" s="56">
        <f t="shared" si="2"/>
        <v>14</v>
      </c>
      <c r="AI46" s="57">
        <f t="shared" si="3"/>
        <v>7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63">
        <v>9.6</v>
      </c>
      <c r="M47" s="63">
        <v>9.6</v>
      </c>
      <c r="N47" s="63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/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/>
      <c r="AE48" s="63">
        <v>0</v>
      </c>
      <c r="AF48" s="63">
        <v>0</v>
      </c>
      <c r="AG48" s="69">
        <v>6.2</v>
      </c>
      <c r="AH48" s="56">
        <f t="shared" si="2"/>
        <v>0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234.64</v>
      </c>
      <c r="C50" s="74">
        <f t="shared" si="6"/>
        <v>234.64</v>
      </c>
      <c r="D50" s="74">
        <f t="shared" si="6"/>
        <v>237.93999999999997</v>
      </c>
      <c r="E50" s="74">
        <f t="shared" si="6"/>
        <v>237.94</v>
      </c>
      <c r="F50" s="74">
        <f t="shared" si="6"/>
        <v>233.04</v>
      </c>
      <c r="G50" s="74">
        <f t="shared" si="6"/>
        <v>247.83999999999997</v>
      </c>
      <c r="H50" s="74">
        <f t="shared" si="6"/>
        <v>291.14000000000004</v>
      </c>
      <c r="I50" s="74">
        <f t="shared" si="6"/>
        <v>288.34000000000003</v>
      </c>
      <c r="J50" s="74">
        <f t="shared" si="6"/>
        <v>309.74000000000007</v>
      </c>
      <c r="K50" s="74">
        <f t="shared" si="6"/>
        <v>309.74000000000007</v>
      </c>
      <c r="L50" s="74">
        <f t="shared" si="6"/>
        <v>308.44000000000005</v>
      </c>
      <c r="M50" s="74">
        <f t="shared" si="6"/>
        <v>341.14000000000004</v>
      </c>
      <c r="N50" s="74">
        <f t="shared" si="6"/>
        <v>357.54</v>
      </c>
      <c r="O50" s="74">
        <f t="shared" si="6"/>
        <v>357.54</v>
      </c>
      <c r="P50" s="74">
        <f t="shared" si="6"/>
        <v>317.94000000000005</v>
      </c>
      <c r="Q50" s="74">
        <f t="shared" si="6"/>
        <v>317.94000000000005</v>
      </c>
      <c r="R50" s="74">
        <f t="shared" si="6"/>
        <v>342.44</v>
      </c>
      <c r="S50" s="74">
        <f t="shared" si="6"/>
        <v>341.84000000000003</v>
      </c>
      <c r="T50" s="74">
        <f t="shared" si="6"/>
        <v>329.94000000000005</v>
      </c>
      <c r="U50" s="74">
        <f t="shared" si="6"/>
        <v>355.54</v>
      </c>
      <c r="V50" s="74">
        <f t="shared" si="6"/>
        <v>335.94000000000005</v>
      </c>
      <c r="W50" s="74">
        <f t="shared" si="6"/>
        <v>354.94000000000005</v>
      </c>
      <c r="X50" s="74">
        <f t="shared" si="6"/>
        <v>354.94000000000005</v>
      </c>
      <c r="Y50" s="74">
        <f t="shared" si="6"/>
        <v>358.64000000000004</v>
      </c>
      <c r="Z50" s="74">
        <f t="shared" si="6"/>
        <v>358.64000000000004</v>
      </c>
      <c r="AA50" s="74">
        <f t="shared" si="6"/>
        <v>359.54000000000008</v>
      </c>
      <c r="AB50" s="74">
        <f t="shared" si="6"/>
        <v>356.84000000000003</v>
      </c>
      <c r="AC50" s="74">
        <f t="shared" si="6"/>
        <v>357.34000000000009</v>
      </c>
      <c r="AD50" s="74">
        <f t="shared" si="6"/>
        <v>3.54</v>
      </c>
      <c r="AE50" s="74">
        <f t="shared" si="6"/>
        <v>286.04000000000002</v>
      </c>
      <c r="AF50" s="74">
        <f t="shared" si="6"/>
        <v>299.04000000000002</v>
      </c>
      <c r="AG50" s="79">
        <f>SUM(AG37:AG49)</f>
        <v>489.91</v>
      </c>
      <c r="AH50" s="56">
        <f t="shared" si="2"/>
        <v>359.54000000000008</v>
      </c>
      <c r="AI50" s="57">
        <f t="shared" si="3"/>
        <v>3.54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3.3</v>
      </c>
      <c r="W51" s="50">
        <v>43.9</v>
      </c>
      <c r="X51" s="50">
        <v>13.5</v>
      </c>
      <c r="Y51" s="50">
        <v>14</v>
      </c>
      <c r="Z51" s="50">
        <v>13.7</v>
      </c>
      <c r="AA51" s="50">
        <v>0</v>
      </c>
      <c r="AB51" s="50">
        <v>0</v>
      </c>
      <c r="AC51" s="50">
        <v>0</v>
      </c>
      <c r="AD51" s="50"/>
      <c r="AE51" s="50">
        <v>0</v>
      </c>
      <c r="AF51" s="50">
        <v>0</v>
      </c>
      <c r="AG51" s="64">
        <v>60</v>
      </c>
      <c r="AH51" s="56">
        <f t="shared" si="2"/>
        <v>43.9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2">
        <v>0</v>
      </c>
      <c r="Q52" s="52">
        <v>0</v>
      </c>
      <c r="R52" s="52">
        <v>0</v>
      </c>
      <c r="S52" s="50">
        <v>0</v>
      </c>
      <c r="T52" s="50">
        <v>0</v>
      </c>
      <c r="U52" s="52">
        <v>0</v>
      </c>
      <c r="V52" s="52">
        <v>0</v>
      </c>
      <c r="W52" s="52">
        <v>15.7</v>
      </c>
      <c r="X52" s="52">
        <v>9.9</v>
      </c>
      <c r="Y52" s="52">
        <v>5.5</v>
      </c>
      <c r="Z52" s="52">
        <v>4.5999999999999996</v>
      </c>
      <c r="AA52" s="52">
        <v>0</v>
      </c>
      <c r="AB52" s="52">
        <v>0</v>
      </c>
      <c r="AC52" s="52">
        <v>0</v>
      </c>
      <c r="AD52" s="52"/>
      <c r="AE52" s="52">
        <v>0</v>
      </c>
      <c r="AF52" s="52">
        <v>0</v>
      </c>
      <c r="AG52" s="69">
        <v>32</v>
      </c>
      <c r="AH52" s="56">
        <f t="shared" si="2"/>
        <v>15.7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2">
        <v>0</v>
      </c>
      <c r="Q53" s="82">
        <v>0</v>
      </c>
      <c r="R53" s="82">
        <v>0</v>
      </c>
      <c r="S53" s="50">
        <v>0</v>
      </c>
      <c r="T53" s="50">
        <v>0</v>
      </c>
      <c r="U53" s="82">
        <v>0</v>
      </c>
      <c r="V53" s="82">
        <v>0</v>
      </c>
      <c r="W53" s="82">
        <v>5.7</v>
      </c>
      <c r="X53" s="82">
        <v>3.6</v>
      </c>
      <c r="Y53" s="82">
        <v>2</v>
      </c>
      <c r="Z53" s="82">
        <v>1.7</v>
      </c>
      <c r="AA53" s="82">
        <v>0</v>
      </c>
      <c r="AB53" s="82">
        <v>0</v>
      </c>
      <c r="AC53" s="82">
        <v>0</v>
      </c>
      <c r="AD53" s="82"/>
      <c r="AE53" s="82">
        <v>0</v>
      </c>
      <c r="AF53" s="82">
        <v>0</v>
      </c>
      <c r="AG53" s="83">
        <v>14</v>
      </c>
      <c r="AH53" s="56">
        <f t="shared" si="2"/>
        <v>5.7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3.3</v>
      </c>
      <c r="W54" s="74">
        <f t="shared" si="7"/>
        <v>65.3</v>
      </c>
      <c r="X54" s="74">
        <f t="shared" si="7"/>
        <v>27</v>
      </c>
      <c r="Y54" s="74">
        <f t="shared" si="7"/>
        <v>21.5</v>
      </c>
      <c r="Z54" s="74">
        <f t="shared" si="7"/>
        <v>19.999999999999996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65.3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13.1</v>
      </c>
      <c r="AB55" s="50">
        <v>12.6</v>
      </c>
      <c r="AC55" s="50">
        <v>26.8</v>
      </c>
      <c r="AD55" s="50"/>
      <c r="AE55" s="50">
        <v>0</v>
      </c>
      <c r="AF55" s="50">
        <v>0</v>
      </c>
      <c r="AG55" s="64"/>
      <c r="AH55" s="56">
        <f t="shared" si="2"/>
        <v>26.8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-13.2</v>
      </c>
      <c r="AA56" s="52">
        <v>-13.4</v>
      </c>
      <c r="AB56" s="52">
        <v>-10.199999999999999</v>
      </c>
      <c r="AC56" s="52">
        <v>12</v>
      </c>
      <c r="AD56" s="52"/>
      <c r="AE56" s="52">
        <v>0</v>
      </c>
      <c r="AF56" s="52">
        <v>0</v>
      </c>
      <c r="AG56" s="69"/>
      <c r="AH56" s="56">
        <f t="shared" si="2"/>
        <v>12</v>
      </c>
      <c r="AI56" s="57">
        <f t="shared" si="3"/>
        <v>-13.4</v>
      </c>
      <c r="AK56" s="58"/>
    </row>
    <row r="57" spans="1:37" x14ac:dyDescent="0.25">
      <c r="A57" s="68" t="s">
        <v>65</v>
      </c>
      <c r="B57" s="52">
        <v>-50</v>
      </c>
      <c r="C57" s="52">
        <v>-67</v>
      </c>
      <c r="D57" s="52">
        <v>-48.6</v>
      </c>
      <c r="E57" s="52">
        <v>-70.8</v>
      </c>
      <c r="F57" s="52">
        <v>-41.2</v>
      </c>
      <c r="G57" s="52">
        <v>-43.5</v>
      </c>
      <c r="H57" s="52">
        <v>-56.7</v>
      </c>
      <c r="I57" s="52">
        <v>-16.600000000000001</v>
      </c>
      <c r="J57" s="52">
        <v>-51.7</v>
      </c>
      <c r="K57" s="52">
        <v>-56</v>
      </c>
      <c r="L57" s="52">
        <v>-24.3</v>
      </c>
      <c r="M57" s="52">
        <v>-63.1</v>
      </c>
      <c r="N57" s="52">
        <v>-55</v>
      </c>
      <c r="O57" s="52">
        <v>-56.8</v>
      </c>
      <c r="P57" s="52">
        <v>-10</v>
      </c>
      <c r="Q57" s="52">
        <v>-25</v>
      </c>
      <c r="R57" s="52">
        <v>-41.5</v>
      </c>
      <c r="S57" s="52">
        <v>-53.4</v>
      </c>
      <c r="T57" s="52">
        <v>-61.7</v>
      </c>
      <c r="U57" s="52">
        <v>-42.5</v>
      </c>
      <c r="V57" s="52">
        <v>-5.0999999999999996</v>
      </c>
      <c r="W57" s="85">
        <v>-3.5</v>
      </c>
      <c r="X57" s="85">
        <v>-26</v>
      </c>
      <c r="Y57" s="85">
        <v>-35.799999999999997</v>
      </c>
      <c r="Z57" s="85">
        <v>-30.4</v>
      </c>
      <c r="AA57" s="52">
        <v>-74.599999999999994</v>
      </c>
      <c r="AB57" s="52">
        <v>-49.5</v>
      </c>
      <c r="AC57" s="52">
        <v>-69.599999999999994</v>
      </c>
      <c r="AD57" s="52"/>
      <c r="AE57" s="52">
        <v>-64.099999999999994</v>
      </c>
      <c r="AF57" s="52">
        <v>-101.2</v>
      </c>
      <c r="AG57" s="86"/>
      <c r="AH57" s="56">
        <f t="shared" si="2"/>
        <v>-3.5</v>
      </c>
      <c r="AI57" s="57">
        <f t="shared" si="3"/>
        <v>-101.2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-50</v>
      </c>
      <c r="AA58" s="52">
        <v>-50</v>
      </c>
      <c r="AB58" s="52">
        <v>-49</v>
      </c>
      <c r="AC58" s="52">
        <v>-50</v>
      </c>
      <c r="AD58" s="52"/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-50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2">
        <v>0</v>
      </c>
      <c r="O59" s="52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-24.2</v>
      </c>
      <c r="AA59" s="50">
        <v>-29.9</v>
      </c>
      <c r="AB59" s="50">
        <v>-26.8</v>
      </c>
      <c r="AC59" s="50">
        <v>-29.8</v>
      </c>
      <c r="AD59" s="50"/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-29.9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/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50">
        <v>0</v>
      </c>
      <c r="N61" s="52">
        <v>0</v>
      </c>
      <c r="O61" s="5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/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52">
        <v>0</v>
      </c>
      <c r="O62" s="52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/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52">
        <v>0</v>
      </c>
      <c r="O63" s="52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/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52">
        <v>0</v>
      </c>
      <c r="N64" s="52">
        <v>0</v>
      </c>
      <c r="O64" s="52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/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50">
        <v>0</v>
      </c>
      <c r="N65" s="52">
        <v>0</v>
      </c>
      <c r="O65" s="52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/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-50</v>
      </c>
      <c r="C66" s="74">
        <f t="shared" ref="C66:AF66" si="8">SUM(C55:C65)</f>
        <v>-67</v>
      </c>
      <c r="D66" s="74">
        <f t="shared" si="8"/>
        <v>-48.6</v>
      </c>
      <c r="E66" s="74">
        <f t="shared" si="8"/>
        <v>-70.8</v>
      </c>
      <c r="F66" s="74">
        <f t="shared" si="8"/>
        <v>-41.2</v>
      </c>
      <c r="G66" s="74">
        <f t="shared" si="8"/>
        <v>-43.5</v>
      </c>
      <c r="H66" s="74">
        <f t="shared" si="8"/>
        <v>-56.7</v>
      </c>
      <c r="I66" s="74">
        <f t="shared" si="8"/>
        <v>-16.600000000000001</v>
      </c>
      <c r="J66" s="74">
        <f t="shared" si="8"/>
        <v>-51.7</v>
      </c>
      <c r="K66" s="74">
        <f t="shared" si="8"/>
        <v>-56</v>
      </c>
      <c r="L66" s="74">
        <f t="shared" si="8"/>
        <v>-24.3</v>
      </c>
      <c r="M66" s="74">
        <f t="shared" si="8"/>
        <v>-63.1</v>
      </c>
      <c r="N66" s="74">
        <f t="shared" si="8"/>
        <v>-55</v>
      </c>
      <c r="O66" s="74">
        <f t="shared" si="8"/>
        <v>-56.8</v>
      </c>
      <c r="P66" s="74">
        <f t="shared" si="8"/>
        <v>-10</v>
      </c>
      <c r="Q66" s="74">
        <f t="shared" si="8"/>
        <v>-25</v>
      </c>
      <c r="R66" s="74">
        <f t="shared" si="8"/>
        <v>-41.5</v>
      </c>
      <c r="S66" s="74">
        <f t="shared" si="8"/>
        <v>-53.4</v>
      </c>
      <c r="T66" s="74">
        <f t="shared" si="8"/>
        <v>-61.7</v>
      </c>
      <c r="U66" s="74">
        <f t="shared" si="8"/>
        <v>-42.5</v>
      </c>
      <c r="V66" s="74">
        <f t="shared" si="8"/>
        <v>-5.0999999999999996</v>
      </c>
      <c r="W66" s="74">
        <f t="shared" si="8"/>
        <v>-3.5</v>
      </c>
      <c r="X66" s="74">
        <f t="shared" si="8"/>
        <v>-26</v>
      </c>
      <c r="Y66" s="74">
        <f t="shared" si="8"/>
        <v>-35.799999999999997</v>
      </c>
      <c r="Z66" s="74">
        <f t="shared" si="8"/>
        <v>-117.8</v>
      </c>
      <c r="AA66" s="74">
        <f t="shared" si="8"/>
        <v>-154.79999999999998</v>
      </c>
      <c r="AB66" s="74">
        <f t="shared" si="8"/>
        <v>-122.89999999999999</v>
      </c>
      <c r="AC66" s="74">
        <f t="shared" si="8"/>
        <v>-110.6</v>
      </c>
      <c r="AD66" s="74">
        <f t="shared" si="8"/>
        <v>0</v>
      </c>
      <c r="AE66" s="74">
        <f t="shared" si="8"/>
        <v>-64.099999999999994</v>
      </c>
      <c r="AF66" s="74">
        <f t="shared" si="8"/>
        <v>-101.2</v>
      </c>
      <c r="AG66" s="79">
        <f>SUM(AG55:AG65)</f>
        <v>0</v>
      </c>
      <c r="AH66" s="56">
        <f t="shared" si="2"/>
        <v>0</v>
      </c>
      <c r="AI66" s="57">
        <f t="shared" si="3"/>
        <v>-154.79999999999998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693.64</v>
      </c>
      <c r="C71" s="90">
        <f t="shared" ref="C71:AG71" si="10">C66+C54+C50+C36+C70</f>
        <v>686.64</v>
      </c>
      <c r="D71" s="90">
        <f t="shared" si="10"/>
        <v>678.54</v>
      </c>
      <c r="E71" s="90">
        <f t="shared" si="10"/>
        <v>631.33999999999992</v>
      </c>
      <c r="F71" s="90">
        <f t="shared" si="10"/>
        <v>636.04</v>
      </c>
      <c r="G71" s="90">
        <f t="shared" si="10"/>
        <v>671.54</v>
      </c>
      <c r="H71" s="90">
        <f t="shared" si="10"/>
        <v>700.74</v>
      </c>
      <c r="I71" s="90">
        <f t="shared" si="10"/>
        <v>738.04</v>
      </c>
      <c r="J71" s="90">
        <f t="shared" si="10"/>
        <v>774.34</v>
      </c>
      <c r="K71" s="90">
        <f t="shared" si="10"/>
        <v>770.04</v>
      </c>
      <c r="L71" s="90">
        <f t="shared" si="10"/>
        <v>823.6400000000001</v>
      </c>
      <c r="M71" s="90">
        <f t="shared" si="10"/>
        <v>897.33999999999992</v>
      </c>
      <c r="N71" s="90">
        <f t="shared" si="10"/>
        <v>901.63999999999987</v>
      </c>
      <c r="O71" s="90">
        <f t="shared" si="10"/>
        <v>876.44</v>
      </c>
      <c r="P71" s="90">
        <f t="shared" si="10"/>
        <v>883.6400000000001</v>
      </c>
      <c r="Q71" s="90">
        <f t="shared" si="10"/>
        <v>868.6400000000001</v>
      </c>
      <c r="R71" s="90">
        <f t="shared" si="10"/>
        <v>867.6400000000001</v>
      </c>
      <c r="S71" s="90">
        <f t="shared" si="10"/>
        <v>888.1400000000001</v>
      </c>
      <c r="T71" s="90">
        <f t="shared" si="10"/>
        <v>870.94</v>
      </c>
      <c r="U71" s="90">
        <f t="shared" si="10"/>
        <v>924.74</v>
      </c>
      <c r="V71" s="90">
        <f t="shared" si="10"/>
        <v>998.74</v>
      </c>
      <c r="W71" s="90">
        <f t="shared" si="10"/>
        <v>1110.3400000000001</v>
      </c>
      <c r="X71" s="90">
        <f t="shared" si="10"/>
        <v>1066.04</v>
      </c>
      <c r="Y71" s="90">
        <f t="shared" si="10"/>
        <v>1042.44</v>
      </c>
      <c r="Z71" s="90">
        <f t="shared" si="10"/>
        <v>958.94</v>
      </c>
      <c r="AA71" s="90">
        <f t="shared" si="10"/>
        <v>941.1400000000001</v>
      </c>
      <c r="AB71" s="90">
        <f t="shared" si="10"/>
        <v>935.64</v>
      </c>
      <c r="AC71" s="90">
        <f t="shared" si="10"/>
        <v>919.1400000000001</v>
      </c>
      <c r="AD71" s="90">
        <f t="shared" si="10"/>
        <v>3.54</v>
      </c>
      <c r="AE71" s="90">
        <f t="shared" si="10"/>
        <v>758.34</v>
      </c>
      <c r="AF71" s="90">
        <f t="shared" si="10"/>
        <v>733.84</v>
      </c>
      <c r="AG71" s="90">
        <f t="shared" si="10"/>
        <v>2083.14</v>
      </c>
      <c r="AH71" s="56">
        <f t="shared" si="2"/>
        <v>1110.3400000000001</v>
      </c>
      <c r="AI71" s="57">
        <f t="shared" si="3"/>
        <v>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693.64</v>
      </c>
      <c r="C73" s="90">
        <f t="shared" ref="C73:AF73" si="11">C70+C66+C54+C50+C36+C72</f>
        <v>686.64</v>
      </c>
      <c r="D73" s="90">
        <f t="shared" si="11"/>
        <v>678.54</v>
      </c>
      <c r="E73" s="90">
        <f t="shared" si="11"/>
        <v>631.33999999999992</v>
      </c>
      <c r="F73" s="90">
        <f t="shared" si="11"/>
        <v>636.04</v>
      </c>
      <c r="G73" s="90">
        <f t="shared" si="11"/>
        <v>671.54</v>
      </c>
      <c r="H73" s="90">
        <f t="shared" si="11"/>
        <v>700.74</v>
      </c>
      <c r="I73" s="90">
        <f t="shared" si="11"/>
        <v>738.04</v>
      </c>
      <c r="J73" s="90">
        <f t="shared" si="11"/>
        <v>774.34</v>
      </c>
      <c r="K73" s="90">
        <f t="shared" si="11"/>
        <v>770.04</v>
      </c>
      <c r="L73" s="90">
        <f t="shared" si="11"/>
        <v>823.6400000000001</v>
      </c>
      <c r="M73" s="90">
        <f t="shared" si="11"/>
        <v>897.33999999999992</v>
      </c>
      <c r="N73" s="90">
        <f t="shared" si="11"/>
        <v>901.63999999999987</v>
      </c>
      <c r="O73" s="90">
        <f t="shared" si="11"/>
        <v>876.44</v>
      </c>
      <c r="P73" s="90">
        <f t="shared" si="11"/>
        <v>883.6400000000001</v>
      </c>
      <c r="Q73" s="90">
        <f t="shared" si="11"/>
        <v>868.6400000000001</v>
      </c>
      <c r="R73" s="90">
        <f t="shared" si="11"/>
        <v>867.6400000000001</v>
      </c>
      <c r="S73" s="90">
        <f t="shared" si="11"/>
        <v>888.1400000000001</v>
      </c>
      <c r="T73" s="90">
        <f t="shared" si="11"/>
        <v>870.94</v>
      </c>
      <c r="U73" s="90">
        <f t="shared" si="11"/>
        <v>924.74</v>
      </c>
      <c r="V73" s="90">
        <f t="shared" si="11"/>
        <v>998.74</v>
      </c>
      <c r="W73" s="90">
        <f t="shared" si="11"/>
        <v>1110.3400000000001</v>
      </c>
      <c r="X73" s="90">
        <f t="shared" si="11"/>
        <v>1066.04</v>
      </c>
      <c r="Y73" s="90">
        <f t="shared" si="11"/>
        <v>1042.44</v>
      </c>
      <c r="Z73" s="90">
        <f t="shared" si="11"/>
        <v>958.94</v>
      </c>
      <c r="AA73" s="90">
        <f t="shared" si="11"/>
        <v>941.1400000000001</v>
      </c>
      <c r="AB73" s="90">
        <f t="shared" si="11"/>
        <v>935.64</v>
      </c>
      <c r="AC73" s="90">
        <f t="shared" si="11"/>
        <v>919.1400000000001</v>
      </c>
      <c r="AD73" s="90">
        <f t="shared" si="11"/>
        <v>3.54</v>
      </c>
      <c r="AE73" s="90">
        <f t="shared" si="11"/>
        <v>758.34</v>
      </c>
      <c r="AF73" s="90">
        <f t="shared" si="11"/>
        <v>733.84</v>
      </c>
      <c r="AG73" s="79">
        <f>AG70+AG66+AG54+AG50+AG36+AG72</f>
        <v>2083.14</v>
      </c>
      <c r="AH73" s="56">
        <f t="shared" si="2"/>
        <v>1110.3400000000001</v>
      </c>
      <c r="AI73" s="57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50</v>
      </c>
      <c r="AA74" s="60">
        <f t="shared" si="12"/>
        <v>50</v>
      </c>
      <c r="AB74" s="60">
        <f t="shared" si="12"/>
        <v>49</v>
      </c>
      <c r="AC74" s="60">
        <f t="shared" si="12"/>
        <v>50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50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13.2</v>
      </c>
      <c r="AA75" s="60">
        <f t="shared" si="13"/>
        <v>13.4</v>
      </c>
      <c r="AB75" s="60">
        <f t="shared" si="13"/>
        <v>10.199999999999999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13.4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24.2</v>
      </c>
      <c r="AA76" s="60">
        <f t="shared" si="14"/>
        <v>29.9</v>
      </c>
      <c r="AB76" s="60">
        <f t="shared" si="14"/>
        <v>26.8</v>
      </c>
      <c r="AC76" s="60">
        <f t="shared" si="14"/>
        <v>29.8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29.9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50</v>
      </c>
      <c r="C77" s="60">
        <f t="shared" ref="C77:AF77" si="15">IF(C57&lt;0,C57*-1,0)</f>
        <v>67</v>
      </c>
      <c r="D77" s="60">
        <f t="shared" si="15"/>
        <v>48.6</v>
      </c>
      <c r="E77" s="60">
        <f t="shared" si="15"/>
        <v>70.8</v>
      </c>
      <c r="F77" s="60">
        <f t="shared" si="15"/>
        <v>41.2</v>
      </c>
      <c r="G77" s="60">
        <f t="shared" si="15"/>
        <v>43.5</v>
      </c>
      <c r="H77" s="60">
        <f t="shared" si="15"/>
        <v>56.7</v>
      </c>
      <c r="I77" s="60">
        <f t="shared" si="15"/>
        <v>16.600000000000001</v>
      </c>
      <c r="J77" s="60">
        <f t="shared" si="15"/>
        <v>51.7</v>
      </c>
      <c r="K77" s="60">
        <f t="shared" si="15"/>
        <v>56</v>
      </c>
      <c r="L77" s="60">
        <f t="shared" si="15"/>
        <v>24.3</v>
      </c>
      <c r="M77" s="60">
        <f t="shared" si="15"/>
        <v>63.1</v>
      </c>
      <c r="N77" s="60">
        <f t="shared" si="15"/>
        <v>55</v>
      </c>
      <c r="O77" s="60">
        <f t="shared" si="15"/>
        <v>56.8</v>
      </c>
      <c r="P77" s="60">
        <f t="shared" si="15"/>
        <v>10</v>
      </c>
      <c r="Q77" s="60">
        <f t="shared" si="15"/>
        <v>25</v>
      </c>
      <c r="R77" s="60">
        <f t="shared" si="15"/>
        <v>41.5</v>
      </c>
      <c r="S77" s="60">
        <f t="shared" si="15"/>
        <v>53.4</v>
      </c>
      <c r="T77" s="60">
        <f t="shared" si="15"/>
        <v>61.7</v>
      </c>
      <c r="U77" s="60">
        <f t="shared" si="15"/>
        <v>42.5</v>
      </c>
      <c r="V77" s="60">
        <f t="shared" si="15"/>
        <v>5.0999999999999996</v>
      </c>
      <c r="W77" s="60">
        <f t="shared" si="15"/>
        <v>3.5</v>
      </c>
      <c r="X77" s="60">
        <f t="shared" si="15"/>
        <v>26</v>
      </c>
      <c r="Y77" s="60">
        <f t="shared" si="15"/>
        <v>35.799999999999997</v>
      </c>
      <c r="Z77" s="60">
        <f t="shared" si="15"/>
        <v>30.4</v>
      </c>
      <c r="AA77" s="60">
        <f t="shared" si="15"/>
        <v>74.599999999999994</v>
      </c>
      <c r="AB77" s="60">
        <f t="shared" si="15"/>
        <v>49.5</v>
      </c>
      <c r="AC77" s="60">
        <f t="shared" si="15"/>
        <v>69.599999999999994</v>
      </c>
      <c r="AD77" s="60">
        <f t="shared" si="15"/>
        <v>0</v>
      </c>
      <c r="AE77" s="60">
        <f t="shared" si="15"/>
        <v>64.099999999999994</v>
      </c>
      <c r="AF77" s="60">
        <f t="shared" si="15"/>
        <v>101.2</v>
      </c>
      <c r="AG77" s="93"/>
      <c r="AH77" s="56">
        <f t="shared" ref="AH77:AH89" si="16">MAX(B77:AF77)</f>
        <v>101.2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50</v>
      </c>
      <c r="C80" s="74">
        <f t="shared" si="19"/>
        <v>67</v>
      </c>
      <c r="D80" s="74">
        <f t="shared" si="19"/>
        <v>48.6</v>
      </c>
      <c r="E80" s="74">
        <f t="shared" si="19"/>
        <v>70.8</v>
      </c>
      <c r="F80" s="74">
        <f t="shared" si="19"/>
        <v>41.2</v>
      </c>
      <c r="G80" s="74">
        <f t="shared" si="19"/>
        <v>43.5</v>
      </c>
      <c r="H80" s="74">
        <f t="shared" si="19"/>
        <v>56.7</v>
      </c>
      <c r="I80" s="74">
        <f t="shared" si="19"/>
        <v>16.600000000000001</v>
      </c>
      <c r="J80" s="74">
        <f t="shared" si="19"/>
        <v>51.7</v>
      </c>
      <c r="K80" s="74">
        <f t="shared" si="19"/>
        <v>56</v>
      </c>
      <c r="L80" s="74">
        <f t="shared" si="19"/>
        <v>24.3</v>
      </c>
      <c r="M80" s="74">
        <f t="shared" si="19"/>
        <v>63.1</v>
      </c>
      <c r="N80" s="74">
        <f t="shared" si="19"/>
        <v>55</v>
      </c>
      <c r="O80" s="74">
        <f t="shared" si="19"/>
        <v>56.8</v>
      </c>
      <c r="P80" s="74">
        <f t="shared" si="19"/>
        <v>10</v>
      </c>
      <c r="Q80" s="74">
        <f t="shared" si="19"/>
        <v>25</v>
      </c>
      <c r="R80" s="74">
        <f t="shared" si="19"/>
        <v>41.5</v>
      </c>
      <c r="S80" s="74">
        <f t="shared" si="19"/>
        <v>53.4</v>
      </c>
      <c r="T80" s="74">
        <f t="shared" si="19"/>
        <v>61.7</v>
      </c>
      <c r="U80" s="74">
        <f t="shared" si="19"/>
        <v>42.5</v>
      </c>
      <c r="V80" s="74">
        <f t="shared" si="19"/>
        <v>5.0999999999999996</v>
      </c>
      <c r="W80" s="74">
        <f t="shared" si="19"/>
        <v>3.5</v>
      </c>
      <c r="X80" s="74">
        <f t="shared" si="19"/>
        <v>26</v>
      </c>
      <c r="Y80" s="74">
        <f t="shared" si="19"/>
        <v>35.799999999999997</v>
      </c>
      <c r="Z80" s="74">
        <f t="shared" si="19"/>
        <v>117.80000000000001</v>
      </c>
      <c r="AA80" s="74">
        <f t="shared" si="19"/>
        <v>167.89999999999998</v>
      </c>
      <c r="AB80" s="74">
        <f t="shared" si="19"/>
        <v>135.5</v>
      </c>
      <c r="AC80" s="74">
        <f t="shared" si="19"/>
        <v>149.39999999999998</v>
      </c>
      <c r="AD80" s="74">
        <f t="shared" si="19"/>
        <v>0</v>
      </c>
      <c r="AE80" s="74">
        <f t="shared" si="19"/>
        <v>64.099999999999994</v>
      </c>
      <c r="AF80" s="74">
        <f t="shared" si="19"/>
        <v>101.2</v>
      </c>
      <c r="AG80" s="79">
        <f t="shared" si="19"/>
        <v>0</v>
      </c>
      <c r="AH80" s="56">
        <f t="shared" si="16"/>
        <v>167.89999999999998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1487.28</v>
      </c>
      <c r="C81" s="74">
        <f t="shared" si="20"/>
        <v>1507.28</v>
      </c>
      <c r="D81" s="74">
        <f t="shared" si="20"/>
        <v>1454.2799999999997</v>
      </c>
      <c r="E81" s="74">
        <f t="shared" si="20"/>
        <v>1404.2799999999997</v>
      </c>
      <c r="F81" s="74">
        <f t="shared" si="20"/>
        <v>1354.48</v>
      </c>
      <c r="G81" s="74">
        <f t="shared" si="20"/>
        <v>1430.08</v>
      </c>
      <c r="H81" s="74">
        <f t="shared" si="20"/>
        <v>1514.88</v>
      </c>
      <c r="I81" s="74">
        <f t="shared" si="20"/>
        <v>1509.2799999999997</v>
      </c>
      <c r="J81" s="74">
        <f t="shared" si="20"/>
        <v>1652.0800000000002</v>
      </c>
      <c r="K81" s="74">
        <f t="shared" si="20"/>
        <v>1652.08</v>
      </c>
      <c r="L81" s="74">
        <f t="shared" si="20"/>
        <v>1695.88</v>
      </c>
      <c r="M81" s="74">
        <f t="shared" si="20"/>
        <v>1920.8799999999997</v>
      </c>
      <c r="N81" s="74">
        <f t="shared" si="20"/>
        <v>1913.2799999999997</v>
      </c>
      <c r="O81" s="74">
        <f t="shared" si="20"/>
        <v>1866.48</v>
      </c>
      <c r="P81" s="74">
        <f t="shared" si="20"/>
        <v>1787.2800000000002</v>
      </c>
      <c r="Q81" s="74">
        <f t="shared" si="20"/>
        <v>1787.2800000000002</v>
      </c>
      <c r="R81" s="74">
        <f t="shared" si="20"/>
        <v>1818.2800000000002</v>
      </c>
      <c r="S81" s="74">
        <f t="shared" si="20"/>
        <v>1883.0800000000004</v>
      </c>
      <c r="T81" s="74">
        <f t="shared" si="20"/>
        <v>1865.2800000000002</v>
      </c>
      <c r="U81" s="74">
        <f t="shared" si="20"/>
        <v>1934.48</v>
      </c>
      <c r="V81" s="74">
        <f t="shared" si="20"/>
        <v>2007.6799999999998</v>
      </c>
      <c r="W81" s="74">
        <f t="shared" si="20"/>
        <v>2227.6800000000003</v>
      </c>
      <c r="X81" s="74">
        <f t="shared" si="20"/>
        <v>2184.08</v>
      </c>
      <c r="Y81" s="74">
        <f t="shared" si="20"/>
        <v>2156.4800000000005</v>
      </c>
      <c r="Z81" s="74">
        <f t="shared" si="20"/>
        <v>2153.4800000000005</v>
      </c>
      <c r="AA81" s="74">
        <f t="shared" si="20"/>
        <v>2218.0800000000004</v>
      </c>
      <c r="AB81" s="74">
        <f t="shared" si="20"/>
        <v>2142.2799999999997</v>
      </c>
      <c r="AC81" s="74">
        <f t="shared" si="20"/>
        <v>2137.08</v>
      </c>
      <c r="AD81" s="74">
        <f t="shared" si="20"/>
        <v>7.08</v>
      </c>
      <c r="AE81" s="74">
        <f t="shared" si="20"/>
        <v>1644.8799999999999</v>
      </c>
      <c r="AF81" s="74">
        <f t="shared" si="20"/>
        <v>1670.0800000000002</v>
      </c>
      <c r="AG81" s="79">
        <f t="shared" si="20"/>
        <v>4238.08</v>
      </c>
      <c r="AH81" s="56">
        <f t="shared" si="16"/>
        <v>2227.6800000000003</v>
      </c>
      <c r="AI81" s="57">
        <f t="shared" si="17"/>
        <v>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50.039000000000001</v>
      </c>
      <c r="C82" s="96">
        <v>50.021000000000001</v>
      </c>
      <c r="D82" s="96">
        <v>49.97</v>
      </c>
      <c r="E82" s="96">
        <v>49.97</v>
      </c>
      <c r="F82" s="96">
        <v>49.98</v>
      </c>
      <c r="G82" s="96">
        <v>49.97</v>
      </c>
      <c r="H82" s="96">
        <v>49.96</v>
      </c>
      <c r="I82" s="96">
        <v>49.84</v>
      </c>
      <c r="J82" s="96">
        <v>50</v>
      </c>
      <c r="K82" s="96">
        <v>49.99</v>
      </c>
      <c r="L82" s="96">
        <v>50.024999999999999</v>
      </c>
      <c r="M82" s="96">
        <v>50.06</v>
      </c>
      <c r="N82" s="96">
        <v>50.084000000000003</v>
      </c>
      <c r="O82" s="96">
        <v>50.103000000000002</v>
      </c>
      <c r="P82" s="96">
        <v>50.02</v>
      </c>
      <c r="Q82" s="96">
        <v>50.02</v>
      </c>
      <c r="R82" s="96">
        <v>50.024000000000001</v>
      </c>
      <c r="S82" s="96">
        <v>49.997999999999998</v>
      </c>
      <c r="T82" s="96">
        <v>49.975999999999999</v>
      </c>
      <c r="U82" s="96">
        <v>49.984999999999999</v>
      </c>
      <c r="V82" s="96">
        <v>50.052999999999997</v>
      </c>
      <c r="W82" s="96">
        <v>50.026000000000003</v>
      </c>
      <c r="X82" s="96">
        <v>49.981999999999999</v>
      </c>
      <c r="Y82" s="96">
        <v>50.015000000000001</v>
      </c>
      <c r="Z82" s="96">
        <v>50.042999999999999</v>
      </c>
      <c r="AA82" s="96">
        <v>50.07</v>
      </c>
      <c r="AB82" s="96">
        <v>50.058999999999997</v>
      </c>
      <c r="AC82" s="96">
        <v>50.058999999999997</v>
      </c>
      <c r="AD82" s="96"/>
      <c r="AE82" s="96"/>
      <c r="AF82" s="97">
        <v>50.051000000000002</v>
      </c>
      <c r="AG82" s="98"/>
      <c r="AH82" s="56">
        <f t="shared" si="16"/>
        <v>50.103000000000002</v>
      </c>
      <c r="AI82" s="57">
        <f t="shared" si="17"/>
        <v>49.84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</v>
      </c>
      <c r="C83" s="52">
        <v>126.5</v>
      </c>
      <c r="D83" s="52">
        <v>127.3</v>
      </c>
      <c r="E83" s="52">
        <v>126.8</v>
      </c>
      <c r="F83" s="52">
        <v>126.9</v>
      </c>
      <c r="G83" s="52">
        <v>126.4</v>
      </c>
      <c r="H83" s="52">
        <v>127.2</v>
      </c>
      <c r="I83" s="52">
        <v>125.4</v>
      </c>
      <c r="J83" s="52">
        <v>124.1</v>
      </c>
      <c r="K83" s="52">
        <v>124.1</v>
      </c>
      <c r="L83" s="52">
        <v>123.7</v>
      </c>
      <c r="M83" s="52">
        <v>123.3</v>
      </c>
      <c r="N83" s="52">
        <v>124</v>
      </c>
      <c r="O83" s="52">
        <v>124.2</v>
      </c>
      <c r="P83" s="52">
        <v>125.2</v>
      </c>
      <c r="Q83" s="52">
        <v>125.2</v>
      </c>
      <c r="R83" s="52">
        <v>124.9</v>
      </c>
      <c r="S83" s="52">
        <v>124</v>
      </c>
      <c r="T83" s="100">
        <v>123.5</v>
      </c>
      <c r="U83" s="100">
        <v>124.4</v>
      </c>
      <c r="V83" s="100">
        <v>126.1</v>
      </c>
      <c r="W83" s="100">
        <v>123.5</v>
      </c>
      <c r="X83" s="52">
        <v>124</v>
      </c>
      <c r="Y83" s="100">
        <v>126.2</v>
      </c>
      <c r="Z83" s="100">
        <v>126.6</v>
      </c>
      <c r="AA83" s="52">
        <v>126.1</v>
      </c>
      <c r="AB83" s="52">
        <v>126</v>
      </c>
      <c r="AC83" s="52">
        <v>126</v>
      </c>
      <c r="AD83" s="52"/>
      <c r="AE83" s="52"/>
      <c r="AF83" s="101">
        <v>125.4</v>
      </c>
      <c r="AG83" s="102"/>
      <c r="AH83" s="56">
        <f t="shared" si="16"/>
        <v>127.3</v>
      </c>
      <c r="AI83" s="57">
        <f t="shared" si="17"/>
        <v>123.3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</v>
      </c>
      <c r="C84" s="52">
        <v>130</v>
      </c>
      <c r="D84" s="52">
        <v>131.1</v>
      </c>
      <c r="E84" s="52">
        <v>130.69999999999999</v>
      </c>
      <c r="F84" s="52">
        <v>131</v>
      </c>
      <c r="G84" s="52">
        <v>130.19999999999999</v>
      </c>
      <c r="H84" s="52">
        <v>130.6</v>
      </c>
      <c r="I84" s="52">
        <v>128.69999999999999</v>
      </c>
      <c r="J84" s="52">
        <v>128.19999999999999</v>
      </c>
      <c r="K84" s="52">
        <v>128.19999999999999</v>
      </c>
      <c r="L84" s="52">
        <v>127.9</v>
      </c>
      <c r="M84" s="52">
        <v>127.3</v>
      </c>
      <c r="N84" s="52">
        <v>127.8</v>
      </c>
      <c r="O84" s="52">
        <v>128.19999999999999</v>
      </c>
      <c r="P84" s="52">
        <v>128.80000000000001</v>
      </c>
      <c r="Q84" s="52">
        <v>128.80000000000001</v>
      </c>
      <c r="R84" s="52">
        <v>128.9</v>
      </c>
      <c r="S84" s="52">
        <v>128.30000000000001</v>
      </c>
      <c r="T84" s="100">
        <v>128.1</v>
      </c>
      <c r="U84" s="100">
        <v>128.6</v>
      </c>
      <c r="V84" s="100">
        <v>129.30000000000001</v>
      </c>
      <c r="W84" s="100">
        <v>128.1</v>
      </c>
      <c r="X84" s="52">
        <v>128.30000000000001</v>
      </c>
      <c r="Y84" s="100">
        <v>129.5</v>
      </c>
      <c r="Z84" s="100">
        <v>129.9</v>
      </c>
      <c r="AA84" s="52">
        <v>129.80000000000001</v>
      </c>
      <c r="AB84" s="52">
        <v>129.9</v>
      </c>
      <c r="AC84" s="52">
        <v>129.9</v>
      </c>
      <c r="AD84" s="52"/>
      <c r="AE84" s="52"/>
      <c r="AF84" s="101">
        <v>130</v>
      </c>
      <c r="AG84" s="102"/>
      <c r="AH84" s="56">
        <f t="shared" si="16"/>
        <v>131.1</v>
      </c>
      <c r="AI84" s="57">
        <f t="shared" si="17"/>
        <v>127.3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52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52"/>
      <c r="Y86" s="100"/>
      <c r="Z86" s="100"/>
      <c r="AA86" s="52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132.69999999999999</v>
      </c>
      <c r="C87" s="104">
        <v>133.6</v>
      </c>
      <c r="D87" s="104">
        <v>135.5</v>
      </c>
      <c r="E87" s="104">
        <v>132.4</v>
      </c>
      <c r="F87" s="104">
        <v>132.30000000000001</v>
      </c>
      <c r="G87" s="104">
        <v>131.9</v>
      </c>
      <c r="H87" s="104">
        <v>134.1</v>
      </c>
      <c r="I87" s="104">
        <v>132.9</v>
      </c>
      <c r="J87" s="104">
        <v>131.9</v>
      </c>
      <c r="K87" s="104">
        <v>131.9</v>
      </c>
      <c r="L87" s="104">
        <v>132.30000000000001</v>
      </c>
      <c r="M87" s="104">
        <v>132.9</v>
      </c>
      <c r="N87" s="104">
        <v>134.4</v>
      </c>
      <c r="O87" s="104">
        <v>135.19999999999999</v>
      </c>
      <c r="P87" s="104">
        <v>130.69999999999999</v>
      </c>
      <c r="Q87" s="104">
        <v>133.19999999999999</v>
      </c>
      <c r="R87" s="104">
        <v>133.19999999999999</v>
      </c>
      <c r="S87" s="104">
        <v>136.4</v>
      </c>
      <c r="T87" s="104">
        <v>134.1</v>
      </c>
      <c r="U87" s="104">
        <v>132.1</v>
      </c>
      <c r="V87" s="104">
        <v>135.19999999999999</v>
      </c>
      <c r="W87" s="100">
        <v>134.1</v>
      </c>
      <c r="X87" s="104">
        <v>136.4</v>
      </c>
      <c r="Y87" s="100">
        <v>135.5</v>
      </c>
      <c r="Z87" s="100">
        <v>136.69999999999999</v>
      </c>
      <c r="AA87" s="104">
        <v>133.1</v>
      </c>
      <c r="AB87" s="104">
        <v>132.6</v>
      </c>
      <c r="AC87" s="104">
        <v>132.6</v>
      </c>
      <c r="AD87" s="104"/>
      <c r="AE87" s="104"/>
      <c r="AF87" s="105">
        <v>133.80000000000001</v>
      </c>
      <c r="AG87" s="106"/>
      <c r="AH87" s="56">
        <f t="shared" si="16"/>
        <v>136.69999999999999</v>
      </c>
      <c r="AI87" s="57">
        <f t="shared" si="17"/>
        <v>130.69999999999999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130</v>
      </c>
      <c r="C88" s="52">
        <v>131.80000000000001</v>
      </c>
      <c r="D88" s="52">
        <v>134.6</v>
      </c>
      <c r="E88" s="52">
        <v>131.6</v>
      </c>
      <c r="F88" s="52">
        <v>131.4</v>
      </c>
      <c r="G88" s="52">
        <v>129</v>
      </c>
      <c r="H88" s="52">
        <v>130.80000000000001</v>
      </c>
      <c r="I88" s="52">
        <v>130.6</v>
      </c>
      <c r="J88" s="52">
        <v>130.19999999999999</v>
      </c>
      <c r="K88" s="52">
        <v>130.19999999999999</v>
      </c>
      <c r="L88" s="52">
        <v>133.30000000000001</v>
      </c>
      <c r="M88" s="52">
        <v>130</v>
      </c>
      <c r="N88" s="52">
        <v>132.69999999999999</v>
      </c>
      <c r="O88" s="52">
        <v>133.1</v>
      </c>
      <c r="P88" s="52">
        <v>127.2</v>
      </c>
      <c r="Q88" s="52">
        <v>129.4</v>
      </c>
      <c r="R88" s="52">
        <v>129.4</v>
      </c>
      <c r="S88" s="52">
        <v>132.6</v>
      </c>
      <c r="T88" s="52">
        <v>130.69999999999999</v>
      </c>
      <c r="U88" s="52">
        <v>127.4</v>
      </c>
      <c r="V88" s="52">
        <v>132.19999999999999</v>
      </c>
      <c r="W88" s="100">
        <v>130.69999999999999</v>
      </c>
      <c r="X88" s="52">
        <v>132.6</v>
      </c>
      <c r="Y88" s="100">
        <v>133</v>
      </c>
      <c r="Z88" s="100">
        <v>138.6</v>
      </c>
      <c r="AA88" s="52">
        <v>131.80000000000001</v>
      </c>
      <c r="AB88" s="52">
        <v>130.80000000000001</v>
      </c>
      <c r="AC88" s="52">
        <v>130.80000000000001</v>
      </c>
      <c r="AD88" s="52"/>
      <c r="AE88" s="52"/>
      <c r="AF88" s="101">
        <v>133</v>
      </c>
      <c r="AG88" s="102"/>
      <c r="AH88" s="56">
        <f t="shared" si="16"/>
        <v>138.6</v>
      </c>
      <c r="AI88" s="57">
        <f t="shared" si="17"/>
        <v>127.2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66.7</v>
      </c>
      <c r="C89" s="107">
        <v>66.8</v>
      </c>
      <c r="D89" s="107">
        <v>67</v>
      </c>
      <c r="E89" s="107">
        <v>66.900000000000006</v>
      </c>
      <c r="F89" s="107">
        <v>65.900000000000006</v>
      </c>
      <c r="G89" s="107">
        <v>66.400000000000006</v>
      </c>
      <c r="H89" s="107">
        <v>66.7</v>
      </c>
      <c r="I89" s="107">
        <v>65.599999999999994</v>
      </c>
      <c r="J89" s="107">
        <v>65.8</v>
      </c>
      <c r="K89" s="107">
        <v>65.8</v>
      </c>
      <c r="L89" s="107">
        <v>65.400000000000006</v>
      </c>
      <c r="M89" s="107">
        <v>65.2</v>
      </c>
      <c r="N89" s="107">
        <v>65.2</v>
      </c>
      <c r="O89" s="107">
        <v>65.3</v>
      </c>
      <c r="P89" s="107">
        <v>65.900000000000006</v>
      </c>
      <c r="Q89" s="107">
        <v>65.7</v>
      </c>
      <c r="R89" s="107">
        <v>65.7</v>
      </c>
      <c r="S89" s="107">
        <v>65.400000000000006</v>
      </c>
      <c r="T89" s="107">
        <v>65.3</v>
      </c>
      <c r="U89" s="107">
        <v>65.8</v>
      </c>
      <c r="V89" s="107">
        <v>66.2</v>
      </c>
      <c r="W89" s="107">
        <v>65.3</v>
      </c>
      <c r="X89" s="107">
        <v>65.400000000000006</v>
      </c>
      <c r="Y89" s="107">
        <v>66.400000000000006</v>
      </c>
      <c r="Z89" s="107">
        <v>66.2</v>
      </c>
      <c r="AA89" s="107">
        <v>66.099999999999994</v>
      </c>
      <c r="AB89" s="107">
        <v>66.3</v>
      </c>
      <c r="AC89" s="107">
        <v>66.3</v>
      </c>
      <c r="AD89" s="107"/>
      <c r="AE89" s="107"/>
      <c r="AF89" s="108">
        <v>66.099999999999994</v>
      </c>
      <c r="AG89" s="109"/>
      <c r="AH89" s="56">
        <f t="shared" si="16"/>
        <v>67</v>
      </c>
      <c r="AI89" s="57">
        <f t="shared" si="17"/>
        <v>65.2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120.54</v>
      </c>
      <c r="C91" s="114">
        <f t="shared" ref="C91:AF91" si="21">SUM(C14,C17,C20:C21,C40,C42:C43,C45,C47,C92:C95,C100,C106,C112,C121,C123,C135,C142,C145:C146,C153,C155,C157,C161:C163,C165:C167,C172,C178:C179,C181:C183,C191,C196)</f>
        <v>115.13999999999997</v>
      </c>
      <c r="D91" s="114">
        <f>SUM(D14,D17,D20:D21,D40,D42:D43,D45,D47,D92:D95,D100,D106,D112,D121,D123,D135,D142,D145:D146,D153,D155,D157,D161:D163,D165:D167,D172,D178:D179,D181:D183,D191,D196)</f>
        <v>111.13999999999997</v>
      </c>
      <c r="E91" s="114">
        <f t="shared" si="21"/>
        <v>112.93999999999998</v>
      </c>
      <c r="F91" s="115">
        <f t="shared" si="21"/>
        <v>124.24</v>
      </c>
      <c r="G91" s="115">
        <f t="shared" si="21"/>
        <v>138.63999999999999</v>
      </c>
      <c r="H91" s="115">
        <f t="shared" si="21"/>
        <v>163.43999999999997</v>
      </c>
      <c r="I91" s="115">
        <f t="shared" si="21"/>
        <v>184.43999999999997</v>
      </c>
      <c r="J91" s="115">
        <f t="shared" si="21"/>
        <v>203.63999999999996</v>
      </c>
      <c r="K91" s="115">
        <f t="shared" si="21"/>
        <v>211.93999999999994</v>
      </c>
      <c r="L91" s="115">
        <f t="shared" si="21"/>
        <v>237.43999999999997</v>
      </c>
      <c r="M91" s="115">
        <f t="shared" si="21"/>
        <v>250.33999999999997</v>
      </c>
      <c r="N91" s="115">
        <f t="shared" si="21"/>
        <v>247.24</v>
      </c>
      <c r="O91" s="115">
        <f t="shared" si="21"/>
        <v>244.93999999999997</v>
      </c>
      <c r="P91" s="115">
        <f t="shared" si="21"/>
        <v>245.83999999999997</v>
      </c>
      <c r="Q91" s="115">
        <f t="shared" si="21"/>
        <v>227.63999999999996</v>
      </c>
      <c r="R91" s="115">
        <f t="shared" si="21"/>
        <v>227.64</v>
      </c>
      <c r="S91" s="115">
        <f t="shared" si="21"/>
        <v>220.24</v>
      </c>
      <c r="T91" s="115">
        <f t="shared" si="21"/>
        <v>228.83999999999995</v>
      </c>
      <c r="U91" s="115">
        <f t="shared" si="21"/>
        <v>244.23999999999995</v>
      </c>
      <c r="V91" s="115">
        <f t="shared" si="21"/>
        <v>269.23999999999995</v>
      </c>
      <c r="W91" s="115">
        <f t="shared" si="21"/>
        <v>297.64</v>
      </c>
      <c r="X91" s="115">
        <f t="shared" si="21"/>
        <v>291.84000000000003</v>
      </c>
      <c r="Y91" s="115">
        <f t="shared" si="21"/>
        <v>275.34000000000003</v>
      </c>
      <c r="Z91" s="115">
        <f t="shared" si="21"/>
        <v>254.23999999999995</v>
      </c>
      <c r="AA91" s="115">
        <f t="shared" si="21"/>
        <v>241.53999999999996</v>
      </c>
      <c r="AB91" s="115">
        <f t="shared" si="21"/>
        <v>227.03999999999996</v>
      </c>
      <c r="AC91" s="115">
        <f t="shared" si="21"/>
        <v>222.94</v>
      </c>
      <c r="AD91" s="115">
        <f t="shared" si="21"/>
        <v>34.840000000000003</v>
      </c>
      <c r="AE91" s="115">
        <f t="shared" si="21"/>
        <v>182.83999999999995</v>
      </c>
      <c r="AF91" s="115">
        <f t="shared" si="21"/>
        <v>117.94000000000001</v>
      </c>
      <c r="AG91" s="116"/>
      <c r="AH91" s="56">
        <f>MAX(B91:AF91)</f>
        <v>297.64</v>
      </c>
      <c r="AI91" s="57">
        <f>MIN(B91:AF91)</f>
        <v>34.840000000000003</v>
      </c>
    </row>
    <row r="92" spans="1:88" x14ac:dyDescent="0.25">
      <c r="A92" s="117" t="s">
        <v>96</v>
      </c>
      <c r="B92" s="60">
        <v>17.3</v>
      </c>
      <c r="C92" s="60">
        <v>19.7</v>
      </c>
      <c r="D92" s="60">
        <v>19.7</v>
      </c>
      <c r="E92" s="60">
        <v>19.3</v>
      </c>
      <c r="F92" s="60">
        <v>18</v>
      </c>
      <c r="G92" s="60">
        <v>12.8</v>
      </c>
      <c r="H92" s="60">
        <v>23.8</v>
      </c>
      <c r="I92" s="60">
        <v>40.700000000000003</v>
      </c>
      <c r="J92" s="60">
        <v>39.9</v>
      </c>
      <c r="K92" s="118"/>
      <c r="L92" s="54">
        <v>37.299999999999997</v>
      </c>
      <c r="M92" s="118">
        <v>22.8</v>
      </c>
      <c r="N92" s="118">
        <v>35.299999999999997</v>
      </c>
      <c r="O92" s="118">
        <v>36.1</v>
      </c>
      <c r="P92" s="118">
        <v>24.9</v>
      </c>
      <c r="Q92" s="118">
        <v>36.1</v>
      </c>
      <c r="R92" s="118">
        <v>36.9</v>
      </c>
      <c r="S92" s="118">
        <v>37.299999999999997</v>
      </c>
      <c r="T92" s="54">
        <v>41.8</v>
      </c>
      <c r="U92" s="54">
        <v>36.700000000000003</v>
      </c>
      <c r="V92" s="54">
        <v>17.2</v>
      </c>
      <c r="W92" s="118">
        <v>9</v>
      </c>
      <c r="X92" s="118">
        <v>30.9</v>
      </c>
      <c r="Y92" s="118">
        <v>13.9</v>
      </c>
      <c r="Z92" s="118">
        <v>12.2</v>
      </c>
      <c r="AA92" s="54">
        <v>12.5</v>
      </c>
      <c r="AB92" s="54">
        <v>14.9</v>
      </c>
      <c r="AC92" s="54">
        <v>14.9</v>
      </c>
      <c r="AD92" s="54"/>
      <c r="AE92" s="54"/>
      <c r="AF92" s="119">
        <v>23.8</v>
      </c>
      <c r="AG92" s="120">
        <v>75</v>
      </c>
      <c r="AH92" s="56">
        <f t="shared" ref="AH92:AH97" si="22">IF(ABS(MAX(B92:AF92))&gt;ABS(MIN(B92:AF92)),MAX(B92:AF92),MIN(B92:AF92))</f>
        <v>41.8</v>
      </c>
      <c r="AI92" s="121">
        <f t="shared" ref="AI92:AI97" si="23">INDEX($B$9:$AF$9,1,MATCH(AH92,B92:AF92,0))</f>
        <v>0.66666666666666696</v>
      </c>
    </row>
    <row r="93" spans="1:88" x14ac:dyDescent="0.25">
      <c r="A93" s="122" t="s">
        <v>97</v>
      </c>
      <c r="B93" s="62">
        <v>-87</v>
      </c>
      <c r="C93" s="62">
        <v>-92</v>
      </c>
      <c r="D93" s="62">
        <f>-41.7-49.3</f>
        <v>-91</v>
      </c>
      <c r="E93" s="62">
        <f>-41.4-50.1</f>
        <v>-91.5</v>
      </c>
      <c r="F93" s="62">
        <f>-37.4-44.6</f>
        <v>-82</v>
      </c>
      <c r="G93" s="62">
        <f>-34.9-41.7</f>
        <v>-76.599999999999994</v>
      </c>
      <c r="H93" s="62">
        <f>-35.7-43.4</f>
        <v>-79.099999999999994</v>
      </c>
      <c r="I93" s="62">
        <f>-21.2-26.4</f>
        <v>-47.599999999999994</v>
      </c>
      <c r="J93" s="62">
        <f>-22.4-27.1</f>
        <v>-49.5</v>
      </c>
      <c r="K93" s="62"/>
      <c r="L93" s="62">
        <v>-44</v>
      </c>
      <c r="M93" s="62">
        <v>-54</v>
      </c>
      <c r="N93" s="62">
        <v>-57.9</v>
      </c>
      <c r="O93" s="62">
        <v>-59.9</v>
      </c>
      <c r="P93" s="62">
        <f>-22.4-26.6</f>
        <v>-49</v>
      </c>
      <c r="Q93" s="62">
        <v>-59.9</v>
      </c>
      <c r="R93" s="62">
        <v>-57.6</v>
      </c>
      <c r="S93" s="62">
        <v>-63</v>
      </c>
      <c r="T93" s="62">
        <v>-58.9</v>
      </c>
      <c r="U93" s="62">
        <v>-60.8</v>
      </c>
      <c r="V93" s="62">
        <v>-45.2</v>
      </c>
      <c r="W93" s="62">
        <v>-34</v>
      </c>
      <c r="X93" s="62">
        <v>-37</v>
      </c>
      <c r="Y93" s="62">
        <v>-42.6</v>
      </c>
      <c r="Z93" s="62">
        <v>-54.8</v>
      </c>
      <c r="AA93" s="52">
        <v>-63.2</v>
      </c>
      <c r="AB93" s="52">
        <v>-64.599999999999994</v>
      </c>
      <c r="AC93" s="52">
        <v>-64.599999999999994</v>
      </c>
      <c r="AD93" s="52"/>
      <c r="AE93" s="52"/>
      <c r="AF93" s="123">
        <v>-85.8</v>
      </c>
      <c r="AG93" s="120">
        <v>240</v>
      </c>
      <c r="AH93" s="56">
        <f t="shared" si="22"/>
        <v>-92</v>
      </c>
      <c r="AI93" s="121">
        <f t="shared" si="23"/>
        <v>8.3333333333333301E-2</v>
      </c>
    </row>
    <row r="94" spans="1:88" x14ac:dyDescent="0.25">
      <c r="A94" s="122" t="s">
        <v>98</v>
      </c>
      <c r="B94" s="62">
        <v>-10.8</v>
      </c>
      <c r="C94" s="62">
        <v>-13.6</v>
      </c>
      <c r="D94" s="62">
        <v>-13.6</v>
      </c>
      <c r="E94" s="62">
        <v>-10.9</v>
      </c>
      <c r="F94" s="62">
        <v>-8.6999999999999993</v>
      </c>
      <c r="G94" s="62">
        <v>-8.9</v>
      </c>
      <c r="H94" s="62">
        <v>-2.4</v>
      </c>
      <c r="I94" s="62">
        <v>0.2</v>
      </c>
      <c r="J94" s="62">
        <v>1.3</v>
      </c>
      <c r="K94" s="62"/>
      <c r="L94" s="62">
        <v>1.3</v>
      </c>
      <c r="M94" s="62">
        <v>5.7</v>
      </c>
      <c r="N94" s="62">
        <v>1.4</v>
      </c>
      <c r="O94" s="62">
        <v>0</v>
      </c>
      <c r="P94" s="62">
        <v>7.1</v>
      </c>
      <c r="Q94" s="62">
        <v>0</v>
      </c>
      <c r="R94" s="62">
        <v>-1.5</v>
      </c>
      <c r="S94" s="62">
        <v>-1.7</v>
      </c>
      <c r="T94" s="62">
        <v>0.7</v>
      </c>
      <c r="U94" s="62">
        <v>4.0999999999999996</v>
      </c>
      <c r="V94" s="62">
        <v>10.6</v>
      </c>
      <c r="W94" s="62">
        <v>29.2</v>
      </c>
      <c r="X94" s="62">
        <v>10.3</v>
      </c>
      <c r="Y94" s="62">
        <v>15.6</v>
      </c>
      <c r="Z94" s="62">
        <v>11.1</v>
      </c>
      <c r="AA94" s="52">
        <v>1.6</v>
      </c>
      <c r="AB94" s="52">
        <v>-2.1</v>
      </c>
      <c r="AC94" s="52">
        <v>-2.1</v>
      </c>
      <c r="AD94" s="52"/>
      <c r="AE94" s="52"/>
      <c r="AF94" s="123">
        <v>-10.1</v>
      </c>
      <c r="AG94" s="120">
        <v>60</v>
      </c>
      <c r="AH94" s="56">
        <f t="shared" si="22"/>
        <v>29.2</v>
      </c>
      <c r="AI94" s="121">
        <f t="shared" si="23"/>
        <v>0.75</v>
      </c>
    </row>
    <row r="95" spans="1:88" x14ac:dyDescent="0.25">
      <c r="A95" s="124" t="s">
        <v>99</v>
      </c>
      <c r="B95" s="65">
        <v>0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/>
      <c r="L95" s="65">
        <v>30.9</v>
      </c>
      <c r="M95" s="65">
        <v>43.2</v>
      </c>
      <c r="N95" s="65">
        <v>31.3</v>
      </c>
      <c r="O95" s="65">
        <v>31.4</v>
      </c>
      <c r="P95" s="65">
        <v>42.8</v>
      </c>
      <c r="Q95" s="65">
        <v>31.4</v>
      </c>
      <c r="R95" s="65">
        <v>20.5</v>
      </c>
      <c r="S95" s="65">
        <v>18.3</v>
      </c>
      <c r="T95" s="65">
        <v>29.8</v>
      </c>
      <c r="U95" s="65">
        <v>33.799999999999997</v>
      </c>
      <c r="V95" s="65">
        <v>56.5</v>
      </c>
      <c r="W95" s="65">
        <v>63.3</v>
      </c>
      <c r="X95" s="65">
        <v>57.5</v>
      </c>
      <c r="Y95" s="65">
        <v>58.3</v>
      </c>
      <c r="Z95" s="65">
        <v>55.6</v>
      </c>
      <c r="AA95" s="125">
        <v>52.3</v>
      </c>
      <c r="AB95" s="125">
        <v>45.2</v>
      </c>
      <c r="AC95" s="125">
        <v>45.2</v>
      </c>
      <c r="AD95" s="125"/>
      <c r="AE95" s="125"/>
      <c r="AF95" s="126">
        <v>-9</v>
      </c>
      <c r="AG95" s="127">
        <v>120</v>
      </c>
      <c r="AH95" s="56">
        <f t="shared" si="22"/>
        <v>63.3</v>
      </c>
      <c r="AI95" s="121">
        <f t="shared" si="23"/>
        <v>0.75</v>
      </c>
    </row>
    <row r="96" spans="1:88" x14ac:dyDescent="0.25">
      <c r="A96" s="124" t="s">
        <v>100</v>
      </c>
      <c r="B96" s="65">
        <v>22.3</v>
      </c>
      <c r="C96" s="65">
        <v>8.5</v>
      </c>
      <c r="D96" s="65">
        <v>4.5</v>
      </c>
      <c r="E96" s="65">
        <v>3.7</v>
      </c>
      <c r="F96" s="65">
        <v>15.5</v>
      </c>
      <c r="G96" s="65">
        <v>21.7</v>
      </c>
      <c r="H96" s="65">
        <v>9.1</v>
      </c>
      <c r="I96" s="65">
        <v>28.8</v>
      </c>
      <c r="J96" s="65">
        <v>34.5</v>
      </c>
      <c r="K96" s="65"/>
      <c r="L96" s="65">
        <v>42.8</v>
      </c>
      <c r="M96" s="65">
        <v>46.5</v>
      </c>
      <c r="N96" s="65">
        <v>41.4</v>
      </c>
      <c r="O96" s="65">
        <v>39.9</v>
      </c>
      <c r="P96" s="65">
        <v>47.8</v>
      </c>
      <c r="Q96" s="65">
        <v>39.9</v>
      </c>
      <c r="R96" s="65">
        <v>36.799999999999997</v>
      </c>
      <c r="S96" s="65">
        <v>33.1</v>
      </c>
      <c r="T96" s="65">
        <v>65.8</v>
      </c>
      <c r="U96" s="65">
        <v>66.900000000000006</v>
      </c>
      <c r="V96" s="65">
        <v>58.8</v>
      </c>
      <c r="W96" s="65">
        <v>60.8</v>
      </c>
      <c r="X96" s="65">
        <v>54.3</v>
      </c>
      <c r="Y96" s="65">
        <v>58.9</v>
      </c>
      <c r="Z96" s="65">
        <v>61.4</v>
      </c>
      <c r="AA96" s="125">
        <v>61.9</v>
      </c>
      <c r="AB96" s="125">
        <v>57.7</v>
      </c>
      <c r="AC96" s="125">
        <v>57.7</v>
      </c>
      <c r="AD96" s="125"/>
      <c r="AE96" s="125"/>
      <c r="AF96" s="126">
        <v>16.5</v>
      </c>
      <c r="AG96" s="127"/>
      <c r="AH96" s="56">
        <f t="shared" si="22"/>
        <v>66.900000000000006</v>
      </c>
      <c r="AI96" s="121">
        <f t="shared" si="23"/>
        <v>0.70833333333333304</v>
      </c>
    </row>
    <row r="97" spans="1:37" ht="15.75" thickBot="1" x14ac:dyDescent="0.3">
      <c r="A97" s="124" t="s">
        <v>101</v>
      </c>
      <c r="B97" s="65">
        <v>54</v>
      </c>
      <c r="C97" s="65">
        <v>49.7</v>
      </c>
      <c r="D97" s="65">
        <v>44.2</v>
      </c>
      <c r="E97" s="65">
        <v>41.1</v>
      </c>
      <c r="F97" s="65">
        <v>47.6</v>
      </c>
      <c r="G97" s="65">
        <v>48.7</v>
      </c>
      <c r="H97" s="65">
        <v>46.9</v>
      </c>
      <c r="I97" s="65">
        <v>35.4</v>
      </c>
      <c r="J97" s="65">
        <v>27</v>
      </c>
      <c r="K97" s="65"/>
      <c r="L97" s="65">
        <v>33.700000000000003</v>
      </c>
      <c r="M97" s="65">
        <v>54.1</v>
      </c>
      <c r="N97" s="65">
        <v>47.8</v>
      </c>
      <c r="O97" s="65">
        <v>45.7</v>
      </c>
      <c r="P97" s="65">
        <v>47.1</v>
      </c>
      <c r="Q97" s="65">
        <v>45.7</v>
      </c>
      <c r="R97" s="65">
        <v>46.8</v>
      </c>
      <c r="S97" s="65">
        <v>51.2</v>
      </c>
      <c r="T97" s="65">
        <v>45.3</v>
      </c>
      <c r="U97" s="65">
        <v>49.7</v>
      </c>
      <c r="V97" s="65">
        <v>60.4</v>
      </c>
      <c r="W97" s="65">
        <v>83.2</v>
      </c>
      <c r="X97" s="65">
        <v>22.7</v>
      </c>
      <c r="Y97" s="65">
        <v>69.3</v>
      </c>
      <c r="Z97" s="65">
        <v>70.099999999999994</v>
      </c>
      <c r="AA97" s="125">
        <v>75.7</v>
      </c>
      <c r="AB97" s="125">
        <v>71.2</v>
      </c>
      <c r="AC97" s="125">
        <v>71.2</v>
      </c>
      <c r="AD97" s="125"/>
      <c r="AE97" s="125"/>
      <c r="AF97" s="126">
        <v>63</v>
      </c>
      <c r="AG97" s="128"/>
      <c r="AH97" s="56">
        <f t="shared" si="22"/>
        <v>83.2</v>
      </c>
      <c r="AI97" s="121">
        <f t="shared" si="23"/>
        <v>0.75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897.33999999999992</v>
      </c>
      <c r="C206" s="164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3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2078/07/3)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2078/07/3)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693.64</v>
      </c>
      <c r="U211" s="173">
        <f t="shared" si="52"/>
        <v>686.64</v>
      </c>
      <c r="V211" s="173">
        <f t="shared" si="52"/>
        <v>678.54</v>
      </c>
      <c r="W211" s="173">
        <f t="shared" si="52"/>
        <v>631.33999999999992</v>
      </c>
      <c r="X211" s="173">
        <f t="shared" si="52"/>
        <v>636.04</v>
      </c>
      <c r="Y211" s="173">
        <f t="shared" si="52"/>
        <v>671.54</v>
      </c>
      <c r="Z211" s="173">
        <f t="shared" si="52"/>
        <v>700.74</v>
      </c>
      <c r="AA211" s="173">
        <f t="shared" si="52"/>
        <v>738.04</v>
      </c>
      <c r="AB211" s="173">
        <f t="shared" si="52"/>
        <v>774.34</v>
      </c>
      <c r="AC211" s="173">
        <f t="shared" si="52"/>
        <v>770.04</v>
      </c>
      <c r="AD211" s="173">
        <f t="shared" si="52"/>
        <v>823.6400000000001</v>
      </c>
      <c r="AE211" s="173">
        <f t="shared" si="52"/>
        <v>897.33999999999992</v>
      </c>
      <c r="AF211" s="173">
        <f t="shared" si="52"/>
        <v>901.63999999999987</v>
      </c>
      <c r="AG211" s="173">
        <f t="shared" si="52"/>
        <v>876.44</v>
      </c>
      <c r="AH211" s="173">
        <f t="shared" si="52"/>
        <v>883.6400000000001</v>
      </c>
      <c r="AI211" s="173">
        <f t="shared" si="52"/>
        <v>868.6400000000001</v>
      </c>
      <c r="AJ211" s="173">
        <f t="shared" si="52"/>
        <v>867.6400000000001</v>
      </c>
      <c r="AK211" s="173">
        <f t="shared" si="52"/>
        <v>888.1400000000001</v>
      </c>
      <c r="AL211" s="173">
        <f t="shared" si="52"/>
        <v>870.94</v>
      </c>
      <c r="AM211" s="173">
        <f t="shared" si="52"/>
        <v>924.74</v>
      </c>
      <c r="AN211" s="173">
        <f t="shared" si="52"/>
        <v>998.74</v>
      </c>
      <c r="AO211" s="173">
        <f t="shared" si="52"/>
        <v>1110.3400000000001</v>
      </c>
      <c r="AP211" s="173">
        <f t="shared" si="52"/>
        <v>1066.04</v>
      </c>
      <c r="AQ211" s="173">
        <f t="shared" si="52"/>
        <v>1042.44</v>
      </c>
      <c r="AR211" s="173">
        <f t="shared" si="52"/>
        <v>958.94</v>
      </c>
      <c r="AS211" s="173">
        <f t="shared" si="52"/>
        <v>941.1400000000001</v>
      </c>
      <c r="AT211" s="173">
        <f t="shared" si="52"/>
        <v>935.64</v>
      </c>
      <c r="AU211" s="173">
        <f t="shared" si="52"/>
        <v>919.1400000000001</v>
      </c>
      <c r="AV211" s="173">
        <f t="shared" si="52"/>
        <v>3.54</v>
      </c>
      <c r="AW211" s="173">
        <f t="shared" si="52"/>
        <v>758.34</v>
      </c>
      <c r="AX211" s="173">
        <f t="shared" si="52"/>
        <v>733.84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2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0336" priority="417">
      <formula>S$9&gt;=20/24</formula>
    </cfRule>
    <cfRule type="expression" dxfId="10335" priority="418">
      <formula>AND(S$9&gt;=14/24,S$9&lt;20/24)</formula>
    </cfRule>
    <cfRule type="expression" dxfId="10334" priority="419">
      <formula>AND(S$9&gt;=8/24,S$9&lt;14/24)</formula>
    </cfRule>
    <cfRule type="expression" dxfId="10333" priority="420">
      <formula>S$9&lt;8/24</formula>
    </cfRule>
  </conditionalFormatting>
  <conditionalFormatting sqref="B8:AF10 AA79:AF79 B79:Q79 B54:AF54 B80:AF80 C191:AF197 AE55:AF58 B66:AF70 T210:AX210 N43:P46 N12:O13 L56:P57 W83:W89 B72:AF76 B78:AF78 B61:K65 B55:K59 L11:O11 L58:M59 N16:N17 N58:P65 S38:S39 P11:Q13 N15:Q15 L37:Q40 R56:V57 Q56:Q65 V17:X24 S17:U18 W25:X29 Y83:Z89 S11:Z11 Y17:Z28 T38:Z40 AA11:AD13 AA15:AD25 AA27:AD28 AA38:AD41 L51:AF53 AA82:AF89 AA30:AD30 Y29:AD29">
    <cfRule type="expression" dxfId="10332" priority="413">
      <formula>B$9&gt;=20/24</formula>
    </cfRule>
    <cfRule type="expression" dxfId="10331" priority="414">
      <formula>AND(B$9&gt;=14/24,B$9&lt;20/24)</formula>
    </cfRule>
    <cfRule type="expression" dxfId="10330" priority="415">
      <formula>AND(B$9&gt;=8/24,B$9&lt;14/24)</formula>
    </cfRule>
    <cfRule type="expression" dxfId="10329" priority="416">
      <formula>B$9&lt;8/24</formula>
    </cfRule>
  </conditionalFormatting>
  <conditionalFormatting sqref="B189:AF189">
    <cfRule type="expression" dxfId="10328" priority="409">
      <formula>B$9&gt;=20/24</formula>
    </cfRule>
    <cfRule type="expression" dxfId="10327" priority="410">
      <formula>AND(B$9&gt;=14/24,B$9&lt;20/24)</formula>
    </cfRule>
    <cfRule type="expression" dxfId="10326" priority="411">
      <formula>AND(B$9&gt;=8/24,B$9&lt;14/24)</formula>
    </cfRule>
    <cfRule type="expression" dxfId="10325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10324" priority="404">
      <formula>L$9&gt;=20/24</formula>
    </cfRule>
    <cfRule type="expression" dxfId="10323" priority="405">
      <formula>AND(L$9&gt;=14/24,L$9&lt;20/24)</formula>
    </cfRule>
    <cfRule type="expression" dxfId="10322" priority="406">
      <formula>AND(L$9&gt;=8/24,L$9&lt;14/24)</formula>
    </cfRule>
    <cfRule type="expression" dxfId="10321" priority="407">
      <formula>L$9&lt;8/24</formula>
    </cfRule>
  </conditionalFormatting>
  <conditionalFormatting sqref="L41:Q41">
    <cfRule type="expression" dxfId="10320" priority="400">
      <formula>L$9&gt;=20/24</formula>
    </cfRule>
    <cfRule type="expression" dxfId="10319" priority="401">
      <formula>AND(L$9&gt;=14/24,L$9&lt;20/24)</formula>
    </cfRule>
    <cfRule type="expression" dxfId="10318" priority="402">
      <formula>AND(L$9&gt;=8/24,L$9&lt;14/24)</formula>
    </cfRule>
    <cfRule type="expression" dxfId="10317" priority="403">
      <formula>L$9&lt;8/24</formula>
    </cfRule>
  </conditionalFormatting>
  <conditionalFormatting sqref="AA31:AD31">
    <cfRule type="expression" dxfId="10316" priority="396">
      <formula>AA$9&gt;=20/24</formula>
    </cfRule>
    <cfRule type="expression" dxfId="10315" priority="397">
      <formula>AND(AA$9&gt;=14/24,AA$9&lt;20/24)</formula>
    </cfRule>
    <cfRule type="expression" dxfId="10314" priority="398">
      <formula>AND(AA$9&gt;=8/24,AA$9&lt;14/24)</formula>
    </cfRule>
    <cfRule type="expression" dxfId="10313" priority="399">
      <formula>AA$9&lt;8/24</formula>
    </cfRule>
  </conditionalFormatting>
  <conditionalFormatting sqref="S37:AD37">
    <cfRule type="expression" dxfId="10312" priority="392">
      <formula>S$9&gt;=20/24</formula>
    </cfRule>
    <cfRule type="expression" dxfId="10311" priority="393">
      <formula>AND(S$9&gt;=14/24,S$9&lt;20/24)</formula>
    </cfRule>
    <cfRule type="expression" dxfId="10310" priority="394">
      <formula>AND(S$9&gt;=8/24,S$9&lt;14/24)</formula>
    </cfRule>
    <cfRule type="expression" dxfId="10309" priority="395">
      <formula>S$9&lt;8/24</formula>
    </cfRule>
  </conditionalFormatting>
  <conditionalFormatting sqref="R55:AD55">
    <cfRule type="expression" dxfId="10308" priority="388">
      <formula>R$9&gt;=20/24</formula>
    </cfRule>
    <cfRule type="expression" dxfId="10307" priority="389">
      <formula>AND(R$9&gt;=14/24,R$9&lt;20/24)</formula>
    </cfRule>
    <cfRule type="expression" dxfId="10306" priority="390">
      <formula>AND(R$9&gt;=8/24,R$9&lt;14/24)</formula>
    </cfRule>
    <cfRule type="expression" dxfId="10305" priority="391">
      <formula>R$9&lt;8/24</formula>
    </cfRule>
  </conditionalFormatting>
  <conditionalFormatting sqref="R79:Z79">
    <cfRule type="expression" dxfId="10304" priority="384">
      <formula>R$9&gt;=20/24</formula>
    </cfRule>
    <cfRule type="expression" dxfId="10303" priority="385">
      <formula>AND(R$9&gt;=14/24,R$9&lt;20/24)</formula>
    </cfRule>
    <cfRule type="expression" dxfId="10302" priority="386">
      <formula>AND(R$9&gt;=8/24,R$9&lt;14/24)</formula>
    </cfRule>
    <cfRule type="expression" dxfId="10301" priority="387">
      <formula>R$9&lt;8/24</formula>
    </cfRule>
  </conditionalFormatting>
  <conditionalFormatting sqref="T82:Z82">
    <cfRule type="expression" dxfId="10300" priority="380">
      <formula>T$9&gt;=20/24</formula>
    </cfRule>
    <cfRule type="expression" dxfId="10299" priority="381">
      <formula>AND(T$9&gt;=14/24,T$9&lt;20/24)</formula>
    </cfRule>
    <cfRule type="expression" dxfId="10298" priority="382">
      <formula>AND(T$9&gt;=8/24,T$9&lt;14/24)</formula>
    </cfRule>
    <cfRule type="expression" dxfId="10297" priority="383">
      <formula>T$9&lt;8/24</formula>
    </cfRule>
  </conditionalFormatting>
  <conditionalFormatting sqref="L47:P47">
    <cfRule type="expression" dxfId="10296" priority="372">
      <formula>L$9&gt;=20/24</formula>
    </cfRule>
    <cfRule type="expression" dxfId="10295" priority="373">
      <formula>AND(L$9&gt;=14/24,L$9&lt;20/24)</formula>
    </cfRule>
    <cfRule type="expression" dxfId="10294" priority="374">
      <formula>AND(L$9&gt;=8/24,L$9&lt;14/24)</formula>
    </cfRule>
    <cfRule type="expression" dxfId="10293" priority="375">
      <formula>L$9&lt;8/24</formula>
    </cfRule>
  </conditionalFormatting>
  <conditionalFormatting sqref="L48:P48">
    <cfRule type="expression" dxfId="10292" priority="368">
      <formula>L$9&gt;=20/24</formula>
    </cfRule>
    <cfRule type="expression" dxfId="10291" priority="369">
      <formula>AND(L$9&gt;=14/24,L$9&lt;20/24)</formula>
    </cfRule>
    <cfRule type="expression" dxfId="10290" priority="370">
      <formula>AND(L$9&gt;=8/24,L$9&lt;14/24)</formula>
    </cfRule>
    <cfRule type="expression" dxfId="10289" priority="371">
      <formula>L$9&lt;8/24</formula>
    </cfRule>
  </conditionalFormatting>
  <conditionalFormatting sqref="L43:P46">
    <cfRule type="expression" dxfId="10288" priority="364">
      <formula>L$9&gt;=20/24</formula>
    </cfRule>
    <cfRule type="expression" dxfId="10287" priority="365">
      <formula>AND(L$9&gt;=14/24,L$9&lt;20/24)</formula>
    </cfRule>
    <cfRule type="expression" dxfId="10286" priority="366">
      <formula>AND(L$9&gt;=8/24,L$9&lt;14/24)</formula>
    </cfRule>
    <cfRule type="expression" dxfId="10285" priority="367">
      <formula>L$9&lt;8/24</formula>
    </cfRule>
  </conditionalFormatting>
  <conditionalFormatting sqref="S35:AD35">
    <cfRule type="expression" dxfId="10284" priority="360">
      <formula>S$9&gt;=20/24</formula>
    </cfRule>
    <cfRule type="expression" dxfId="10283" priority="361">
      <formula>AND(S$9&gt;=14/24,S$9&lt;20/24)</formula>
    </cfRule>
    <cfRule type="expression" dxfId="10282" priority="362">
      <formula>AND(S$9&gt;=8/24,S$9&lt;14/24)</formula>
    </cfRule>
    <cfRule type="expression" dxfId="10281" priority="363">
      <formula>S$9&lt;8/24</formula>
    </cfRule>
  </conditionalFormatting>
  <conditionalFormatting sqref="W30:Z31 W33:AD33">
    <cfRule type="expression" dxfId="10280" priority="356">
      <formula>W$9&gt;=20/24</formula>
    </cfRule>
    <cfRule type="expression" dxfId="10279" priority="357">
      <formula>AND(W$9&gt;=14/24,W$9&lt;20/24)</formula>
    </cfRule>
    <cfRule type="expression" dxfId="10278" priority="358">
      <formula>AND(W$9&gt;=8/24,W$9&lt;14/24)</formula>
    </cfRule>
    <cfRule type="expression" dxfId="10277" priority="359">
      <formula>W$9&lt;8/24</formula>
    </cfRule>
  </conditionalFormatting>
  <conditionalFormatting sqref="S40 W41:Z41 W43:AD46">
    <cfRule type="expression" dxfId="10276" priority="352">
      <formula>S$9&gt;=20/24</formula>
    </cfRule>
    <cfRule type="expression" dxfId="10275" priority="353">
      <formula>AND(S$9&gt;=14/24,S$9&lt;20/24)</formula>
    </cfRule>
    <cfRule type="expression" dxfId="10274" priority="354">
      <formula>AND(S$9&gt;=8/24,S$9&lt;14/24)</formula>
    </cfRule>
    <cfRule type="expression" dxfId="10273" priority="355">
      <formula>S$9&lt;8/24</formula>
    </cfRule>
  </conditionalFormatting>
  <conditionalFormatting sqref="W47:AD47">
    <cfRule type="expression" dxfId="10272" priority="348">
      <formula>W$9&gt;=20/24</formula>
    </cfRule>
    <cfRule type="expression" dxfId="10271" priority="349">
      <formula>AND(W$9&gt;=14/24,W$9&lt;20/24)</formula>
    </cfRule>
    <cfRule type="expression" dxfId="10270" priority="350">
      <formula>AND(W$9&gt;=8/24,W$9&lt;14/24)</formula>
    </cfRule>
    <cfRule type="expression" dxfId="10269" priority="351">
      <formula>W$9&lt;8/24</formula>
    </cfRule>
  </conditionalFormatting>
  <conditionalFormatting sqref="W48:AD48">
    <cfRule type="expression" dxfId="10268" priority="344">
      <formula>W$9&gt;=20/24</formula>
    </cfRule>
    <cfRule type="expression" dxfId="10267" priority="345">
      <formula>AND(W$9&gt;=14/24,W$9&lt;20/24)</formula>
    </cfRule>
    <cfRule type="expression" dxfId="10266" priority="346">
      <formula>AND(W$9&gt;=8/24,W$9&lt;14/24)</formula>
    </cfRule>
    <cfRule type="expression" dxfId="10265" priority="347">
      <formula>W$9&lt;8/24</formula>
    </cfRule>
  </conditionalFormatting>
  <conditionalFormatting sqref="AE59:AF65 W58:AD65">
    <cfRule type="expression" dxfId="10264" priority="340">
      <formula>W$9&gt;=20/24</formula>
    </cfRule>
    <cfRule type="expression" dxfId="10263" priority="341">
      <formula>AND(W$9&gt;=14/24,W$9&lt;20/24)</formula>
    </cfRule>
    <cfRule type="expression" dxfId="10262" priority="342">
      <formula>AND(W$9&gt;=8/24,W$9&lt;14/24)</formula>
    </cfRule>
    <cfRule type="expression" dxfId="10261" priority="343">
      <formula>W$9&lt;8/24</formula>
    </cfRule>
  </conditionalFormatting>
  <conditionalFormatting sqref="AA92:AF95">
    <cfRule type="expression" dxfId="10260" priority="336">
      <formula>AA$9&gt;=20/24</formula>
    </cfRule>
    <cfRule type="expression" dxfId="10259" priority="337">
      <formula>AND(AA$9&gt;=14/24,AA$9&lt;20/24)</formula>
    </cfRule>
    <cfRule type="expression" dxfId="10258" priority="338">
      <formula>AND(AA$9&gt;=8/24,AA$9&lt;14/24)</formula>
    </cfRule>
    <cfRule type="expression" dxfId="10257" priority="339">
      <formula>AA$9&lt;8/24</formula>
    </cfRule>
  </conditionalFormatting>
  <conditionalFormatting sqref="B60:K60">
    <cfRule type="expression" dxfId="10256" priority="332">
      <formula>B$9&gt;=20/24</formula>
    </cfRule>
    <cfRule type="expression" dxfId="10255" priority="333">
      <formula>AND(B$9&gt;=14/24,B$9&lt;20/24)</formula>
    </cfRule>
    <cfRule type="expression" dxfId="10254" priority="334">
      <formula>AND(B$9&gt;=8/24,B$9&lt;14/24)</formula>
    </cfRule>
    <cfRule type="expression" dxfId="10253" priority="335">
      <formula>B$9&lt;8/24</formula>
    </cfRule>
  </conditionalFormatting>
  <conditionalFormatting sqref="T92:Z95">
    <cfRule type="expression" dxfId="10252" priority="328">
      <formula>T$9&gt;=20/24</formula>
    </cfRule>
    <cfRule type="expression" dxfId="10251" priority="329">
      <formula>AND(T$9&gt;=14/24,T$9&lt;20/24)</formula>
    </cfRule>
    <cfRule type="expression" dxfId="10250" priority="330">
      <formula>AND(T$9&gt;=8/24,T$9&lt;14/24)</formula>
    </cfRule>
    <cfRule type="expression" dxfId="10249" priority="331">
      <formula>T$9&lt;8/24</formula>
    </cfRule>
  </conditionalFormatting>
  <conditionalFormatting sqref="AG49 B11:K13 B15:K18 N12:O13 B33:K35 L11:O11 B36:AF36 N16:N17 B20:K31 B43:P48 S37:Y39 P11:Q13 N15:Q15 B37:Q41 V34:X34 W41:X41 V17:X24 S17:U18 W25:X31 W33:X33 S40:X40 Y40:Y41 S11:Z11 Y17:Z28 Y33:AB34 S35:AB35 AA15:AF28 AA11:AF13 AC33:AF35 W43:AF48 Z37:AF41 B49:AF54 Y29:AF31">
    <cfRule type="expression" dxfId="10248" priority="327">
      <formula>B11&gt;$AG11</formula>
    </cfRule>
  </conditionalFormatting>
  <conditionalFormatting sqref="A98:A154 A82:A95 A11:A13 A15:A31 A43:A70 A78:A80 A72:A76 A33:A41 A167:A198">
    <cfRule type="expression" dxfId="10247" priority="326">
      <formula>$AH11=0</formula>
    </cfRule>
  </conditionalFormatting>
  <conditionalFormatting sqref="AA96:AF96">
    <cfRule type="expression" dxfId="10246" priority="322">
      <formula>AA$9&gt;=20/24</formula>
    </cfRule>
    <cfRule type="expression" dxfId="10245" priority="323">
      <formula>AND(AA$9&gt;=14/24,AA$9&lt;20/24)</formula>
    </cfRule>
    <cfRule type="expression" dxfId="10244" priority="324">
      <formula>AND(AA$9&gt;=8/24,AA$9&lt;14/24)</formula>
    </cfRule>
    <cfRule type="expression" dxfId="10243" priority="325">
      <formula>AA$9&lt;8/24</formula>
    </cfRule>
  </conditionalFormatting>
  <conditionalFormatting sqref="T96:Z96">
    <cfRule type="expression" dxfId="10242" priority="318">
      <formula>T$9&gt;=20/24</formula>
    </cfRule>
    <cfRule type="expression" dxfId="10241" priority="319">
      <formula>AND(T$9&gt;=14/24,T$9&lt;20/24)</formula>
    </cfRule>
    <cfRule type="expression" dxfId="10240" priority="320">
      <formula>AND(T$9&gt;=8/24,T$9&lt;14/24)</formula>
    </cfRule>
    <cfRule type="expression" dxfId="10239" priority="321">
      <formula>T$9&lt;8/24</formula>
    </cfRule>
  </conditionalFormatting>
  <conditionalFormatting sqref="A96">
    <cfRule type="expression" dxfId="10238" priority="317">
      <formula>$AH96=0</formula>
    </cfRule>
  </conditionalFormatting>
  <conditionalFormatting sqref="H34:K34 V34:AF34">
    <cfRule type="expression" dxfId="10237" priority="313">
      <formula>H$9&gt;=20/24</formula>
    </cfRule>
    <cfRule type="expression" dxfId="10236" priority="314">
      <formula>AND(H$9&gt;=14/24,H$9&lt;20/24)</formula>
    </cfRule>
    <cfRule type="expression" dxfId="10235" priority="315">
      <formula>AND(H$9&gt;=8/24,H$9&lt;14/24)</formula>
    </cfRule>
    <cfRule type="expression" dxfId="10234" priority="316">
      <formula>H$9&lt;8/24</formula>
    </cfRule>
  </conditionalFormatting>
  <conditionalFormatting sqref="V34:AF34">
    <cfRule type="expression" dxfId="10233" priority="309">
      <formula>V$9&gt;=20/24</formula>
    </cfRule>
    <cfRule type="expression" dxfId="10232" priority="310">
      <formula>AND(V$9&gt;=14/24,V$9&lt;20/24)</formula>
    </cfRule>
    <cfRule type="expression" dxfId="10231" priority="311">
      <formula>AND(V$9&gt;=8/24,V$9&lt;14/24)</formula>
    </cfRule>
    <cfRule type="expression" dxfId="10230" priority="312">
      <formula>V$9&lt;8/24</formula>
    </cfRule>
  </conditionalFormatting>
  <conditionalFormatting sqref="B34:G34">
    <cfRule type="expression" dxfId="10229" priority="305">
      <formula>B$9&gt;=20/24</formula>
    </cfRule>
    <cfRule type="expression" dxfId="10228" priority="306">
      <formula>AND(B$9&gt;=14/24,B$9&lt;20/24)</formula>
    </cfRule>
    <cfRule type="expression" dxfId="10227" priority="307">
      <formula>AND(B$9&gt;=8/24,B$9&lt;14/24)</formula>
    </cfRule>
    <cfRule type="expression" dxfId="10226" priority="308">
      <formula>B$9&lt;8/24</formula>
    </cfRule>
  </conditionalFormatting>
  <conditionalFormatting sqref="L60:M65">
    <cfRule type="expression" dxfId="10225" priority="297">
      <formula>L$9&gt;=20/24</formula>
    </cfRule>
    <cfRule type="expression" dxfId="10224" priority="298">
      <formula>AND(L$9&gt;=14/24,L$9&lt;20/24)</formula>
    </cfRule>
    <cfRule type="expression" dxfId="10223" priority="299">
      <formula>AND(L$9&gt;=8/24,L$9&lt;14/24)</formula>
    </cfRule>
    <cfRule type="expression" dxfId="10222" priority="300">
      <formula>L$9&lt;8/24</formula>
    </cfRule>
  </conditionalFormatting>
  <conditionalFormatting sqref="AL31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A32:AD32">
    <cfRule type="expression" dxfId="10221" priority="292">
      <formula>AA$9&gt;=20/24</formula>
    </cfRule>
    <cfRule type="expression" dxfId="10220" priority="293">
      <formula>AND(AA$9&gt;=14/24,AA$9&lt;20/24)</formula>
    </cfRule>
    <cfRule type="expression" dxfId="10219" priority="294">
      <formula>AND(AA$9&gt;=8/24,AA$9&lt;14/24)</formula>
    </cfRule>
    <cfRule type="expression" dxfId="10218" priority="295">
      <formula>AA$9&lt;8/24</formula>
    </cfRule>
  </conditionalFormatting>
  <conditionalFormatting sqref="W32:Z32">
    <cfRule type="expression" dxfId="10217" priority="284">
      <formula>W$9&gt;=20/24</formula>
    </cfRule>
    <cfRule type="expression" dxfId="10216" priority="285">
      <formula>AND(W$9&gt;=14/24,W$9&lt;20/24)</formula>
    </cfRule>
    <cfRule type="expression" dxfId="10215" priority="286">
      <formula>AND(W$9&gt;=8/24,W$9&lt;14/24)</formula>
    </cfRule>
    <cfRule type="expression" dxfId="10214" priority="287">
      <formula>W$9&lt;8/24</formula>
    </cfRule>
  </conditionalFormatting>
  <conditionalFormatting sqref="B32:K32 W32:AF32">
    <cfRule type="expression" dxfId="10213" priority="283">
      <formula>B32&gt;$AG32</formula>
    </cfRule>
  </conditionalFormatting>
  <conditionalFormatting sqref="A32">
    <cfRule type="expression" dxfId="10212" priority="282">
      <formula>$AH32=0</formula>
    </cfRule>
  </conditionalFormatting>
  <conditionalFormatting sqref="B81:AF81">
    <cfRule type="expression" dxfId="10211" priority="278">
      <formula>B$9&gt;=20/24</formula>
    </cfRule>
    <cfRule type="expression" dxfId="10210" priority="279">
      <formula>AND(B$9&gt;=14/24,B$9&lt;20/24)</formula>
    </cfRule>
    <cfRule type="expression" dxfId="10209" priority="280">
      <formula>AND(B$9&gt;=8/24,B$9&lt;14/24)</formula>
    </cfRule>
    <cfRule type="expression" dxfId="10208" priority="281">
      <formula>B$9&lt;8/24</formula>
    </cfRule>
  </conditionalFormatting>
  <conditionalFormatting sqref="A81">
    <cfRule type="expression" dxfId="10207" priority="277">
      <formula>$AH81=0</formula>
    </cfRule>
  </conditionalFormatting>
  <conditionalFormatting sqref="AA14:AD14">
    <cfRule type="expression" dxfId="10206" priority="273">
      <formula>AA$9&gt;=20/24</formula>
    </cfRule>
    <cfRule type="expression" dxfId="10205" priority="274">
      <formula>AND(AA$9&gt;=14/24,AA$9&lt;20/24)</formula>
    </cfRule>
    <cfRule type="expression" dxfId="10204" priority="275">
      <formula>AND(AA$9&gt;=8/24,AA$9&lt;14/24)</formula>
    </cfRule>
    <cfRule type="expression" dxfId="10203" priority="276">
      <formula>AA$9&lt;8/24</formula>
    </cfRule>
  </conditionalFormatting>
  <conditionalFormatting sqref="N14:Q14">
    <cfRule type="expression" dxfId="10202" priority="269">
      <formula>N$9&gt;=20/24</formula>
    </cfRule>
    <cfRule type="expression" dxfId="10201" priority="270">
      <formula>AND(N$9&gt;=14/24,N$9&lt;20/24)</formula>
    </cfRule>
    <cfRule type="expression" dxfId="10200" priority="271">
      <formula>AND(N$9&gt;=8/24,N$9&lt;14/24)</formula>
    </cfRule>
    <cfRule type="expression" dxfId="10199" priority="272">
      <formula>N$9&lt;8/24</formula>
    </cfRule>
  </conditionalFormatting>
  <conditionalFormatting sqref="B14:K14 N14:Q14 AA14:AF14">
    <cfRule type="expression" dxfId="10198" priority="268">
      <formula>B14&gt;$AG14</formula>
    </cfRule>
  </conditionalFormatting>
  <conditionalFormatting sqref="A14">
    <cfRule type="expression" dxfId="10197" priority="267">
      <formula>$AH14=0</formula>
    </cfRule>
  </conditionalFormatting>
  <conditionalFormatting sqref="A161:A166">
    <cfRule type="expression" dxfId="10196" priority="266">
      <formula>$AH161=0</formula>
    </cfRule>
  </conditionalFormatting>
  <conditionalFormatting sqref="A155:A160">
    <cfRule type="expression" dxfId="10195" priority="265">
      <formula>$AH155=0</formula>
    </cfRule>
  </conditionalFormatting>
  <conditionalFormatting sqref="AA42:AD42">
    <cfRule type="expression" dxfId="10194" priority="261">
      <formula>AA$9&gt;=20/24</formula>
    </cfRule>
    <cfRule type="expression" dxfId="10193" priority="262">
      <formula>AND(AA$9&gt;=14/24,AA$9&lt;20/24)</formula>
    </cfRule>
    <cfRule type="expression" dxfId="10192" priority="263">
      <formula>AND(AA$9&gt;=8/24,AA$9&lt;14/24)</formula>
    </cfRule>
    <cfRule type="expression" dxfId="10191" priority="264">
      <formula>AA$9&lt;8/24</formula>
    </cfRule>
  </conditionalFormatting>
  <conditionalFormatting sqref="L42:Q42">
    <cfRule type="expression" dxfId="10190" priority="257">
      <formula>L$9&gt;=20/24</formula>
    </cfRule>
    <cfRule type="expression" dxfId="10189" priority="258">
      <formula>AND(L$9&gt;=14/24,L$9&lt;20/24)</formula>
    </cfRule>
    <cfRule type="expression" dxfId="10188" priority="259">
      <formula>AND(L$9&gt;=8/24,L$9&lt;14/24)</formula>
    </cfRule>
    <cfRule type="expression" dxfId="10187" priority="260">
      <formula>L$9&lt;8/24</formula>
    </cfRule>
  </conditionalFormatting>
  <conditionalFormatting sqref="W42:Z42">
    <cfRule type="expression" dxfId="10186" priority="253">
      <formula>W$9&gt;=20/24</formula>
    </cfRule>
    <cfRule type="expression" dxfId="10185" priority="254">
      <formula>AND(W$9&gt;=14/24,W$9&lt;20/24)</formula>
    </cfRule>
    <cfRule type="expression" dxfId="10184" priority="255">
      <formula>AND(W$9&gt;=8/24,W$9&lt;14/24)</formula>
    </cfRule>
    <cfRule type="expression" dxfId="10183" priority="256">
      <formula>W$9&lt;8/24</formula>
    </cfRule>
  </conditionalFormatting>
  <conditionalFormatting sqref="B42:Q42 W42:AF42">
    <cfRule type="expression" dxfId="10182" priority="252">
      <formula>B42&gt;$AG42</formula>
    </cfRule>
  </conditionalFormatting>
  <conditionalFormatting sqref="A42">
    <cfRule type="expression" dxfId="10181" priority="251">
      <formula>$AH42=0</formula>
    </cfRule>
  </conditionalFormatting>
  <conditionalFormatting sqref="B77:AF77">
    <cfRule type="expression" dxfId="10180" priority="247">
      <formula>B$9&gt;=20/24</formula>
    </cfRule>
    <cfRule type="expression" dxfId="10179" priority="248">
      <formula>AND(B$9&gt;=14/24,B$9&lt;20/24)</formula>
    </cfRule>
    <cfRule type="expression" dxfId="10178" priority="249">
      <formula>AND(B$9&gt;=8/24,B$9&lt;14/24)</formula>
    </cfRule>
    <cfRule type="expression" dxfId="10177" priority="250">
      <formula>B$9&lt;8/24</formula>
    </cfRule>
  </conditionalFormatting>
  <conditionalFormatting sqref="A77">
    <cfRule type="expression" dxfId="10176" priority="246">
      <formula>$AH77=0</formula>
    </cfRule>
  </conditionalFormatting>
  <conditionalFormatting sqref="B71:AG71">
    <cfRule type="expression" dxfId="10175" priority="242">
      <formula>B$9&gt;=20/24</formula>
    </cfRule>
    <cfRule type="expression" dxfId="10174" priority="243">
      <formula>AND(B$9&gt;=14/24,B$9&lt;20/24)</formula>
    </cfRule>
    <cfRule type="expression" dxfId="10173" priority="244">
      <formula>AND(B$9&gt;=8/24,B$9&lt;14/24)</formula>
    </cfRule>
    <cfRule type="expression" dxfId="10172" priority="245">
      <formula>B$9&lt;8/24</formula>
    </cfRule>
  </conditionalFormatting>
  <conditionalFormatting sqref="A71">
    <cfRule type="expression" dxfId="10171" priority="241">
      <formula>$AH71=0</formula>
    </cfRule>
  </conditionalFormatting>
  <conditionalFormatting sqref="AL32:AL33 AL7:AL30">
    <cfRule type="iconSet" priority="423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10170" priority="233">
      <formula>T$9&gt;=20/24</formula>
    </cfRule>
    <cfRule type="expression" dxfId="10169" priority="234">
      <formula>AND(T$9&gt;=14/24,T$9&lt;20/24)</formula>
    </cfRule>
    <cfRule type="expression" dxfId="10168" priority="235">
      <formula>AND(T$9&gt;=8/24,T$9&lt;14/24)</formula>
    </cfRule>
    <cfRule type="expression" dxfId="10167" priority="236">
      <formula>T$9&lt;8/24</formula>
    </cfRule>
  </conditionalFormatting>
  <conditionalFormatting sqref="R83:S89 B82:Q89">
    <cfRule type="expression" dxfId="10166" priority="229">
      <formula>B$9&gt;=20/24</formula>
    </cfRule>
    <cfRule type="expression" dxfId="10165" priority="230">
      <formula>AND(B$9&gt;=14/24,B$9&lt;20/24)</formula>
    </cfRule>
    <cfRule type="expression" dxfId="10164" priority="231">
      <formula>AND(B$9&gt;=8/24,B$9&lt;14/24)</formula>
    </cfRule>
    <cfRule type="expression" dxfId="10163" priority="232">
      <formula>B$9&lt;8/24</formula>
    </cfRule>
  </conditionalFormatting>
  <conditionalFormatting sqref="R82:S82">
    <cfRule type="expression" dxfId="10162" priority="225">
      <formula>R$9&gt;=20/24</formula>
    </cfRule>
    <cfRule type="expression" dxfId="10161" priority="226">
      <formula>AND(R$9&gt;=14/24,R$9&lt;20/24)</formula>
    </cfRule>
    <cfRule type="expression" dxfId="10160" priority="227">
      <formula>AND(R$9&gt;=8/24,R$9&lt;14/24)</formula>
    </cfRule>
    <cfRule type="expression" dxfId="10159" priority="228">
      <formula>R$9&lt;8/24</formula>
    </cfRule>
  </conditionalFormatting>
  <conditionalFormatting sqref="K93:L95 B92:J95">
    <cfRule type="expression" dxfId="10158" priority="221">
      <formula>B$9&gt;=20/24</formula>
    </cfRule>
    <cfRule type="expression" dxfId="10157" priority="222">
      <formula>AND(B$9&gt;=14/24,B$9&lt;20/24)</formula>
    </cfRule>
    <cfRule type="expression" dxfId="10156" priority="223">
      <formula>AND(B$9&gt;=8/24,B$9&lt;14/24)</formula>
    </cfRule>
    <cfRule type="expression" dxfId="10155" priority="224">
      <formula>B$9&lt;8/24</formula>
    </cfRule>
  </conditionalFormatting>
  <conditionalFormatting sqref="M93:P95 N92:P92">
    <cfRule type="expression" dxfId="10154" priority="217">
      <formula>M$9&gt;=20/24</formula>
    </cfRule>
    <cfRule type="expression" dxfId="10153" priority="218">
      <formula>AND(M$9&gt;=14/24,M$9&lt;20/24)</formula>
    </cfRule>
    <cfRule type="expression" dxfId="10152" priority="219">
      <formula>AND(M$9&gt;=8/24,M$9&lt;14/24)</formula>
    </cfRule>
    <cfRule type="expression" dxfId="10151" priority="220">
      <formula>M$9&lt;8/24</formula>
    </cfRule>
  </conditionalFormatting>
  <conditionalFormatting sqref="R92:S95">
    <cfRule type="expression" dxfId="10150" priority="213">
      <formula>R$9&gt;=20/24</formula>
    </cfRule>
    <cfRule type="expression" dxfId="10149" priority="214">
      <formula>AND(R$9&gt;=14/24,R$9&lt;20/24)</formula>
    </cfRule>
    <cfRule type="expression" dxfId="10148" priority="215">
      <formula>AND(R$9&gt;=8/24,R$9&lt;14/24)</formula>
    </cfRule>
    <cfRule type="expression" dxfId="10147" priority="216">
      <formula>R$9&lt;8/24</formula>
    </cfRule>
  </conditionalFormatting>
  <conditionalFormatting sqref="B96:L96">
    <cfRule type="expression" dxfId="10146" priority="209">
      <formula>B$9&gt;=20/24</formula>
    </cfRule>
    <cfRule type="expression" dxfId="10145" priority="210">
      <formula>AND(B$9&gt;=14/24,B$9&lt;20/24)</formula>
    </cfRule>
    <cfRule type="expression" dxfId="10144" priority="211">
      <formula>AND(B$9&gt;=8/24,B$9&lt;14/24)</formula>
    </cfRule>
    <cfRule type="expression" dxfId="10143" priority="212">
      <formula>B$9&lt;8/24</formula>
    </cfRule>
  </conditionalFormatting>
  <conditionalFormatting sqref="M96:P96">
    <cfRule type="expression" dxfId="10142" priority="205">
      <formula>M$9&gt;=20/24</formula>
    </cfRule>
    <cfRule type="expression" dxfId="10141" priority="206">
      <formula>AND(M$9&gt;=14/24,M$9&lt;20/24)</formula>
    </cfRule>
    <cfRule type="expression" dxfId="10140" priority="207">
      <formula>AND(M$9&gt;=8/24,M$9&lt;14/24)</formula>
    </cfRule>
    <cfRule type="expression" dxfId="10139" priority="208">
      <formula>M$9&lt;8/24</formula>
    </cfRule>
  </conditionalFormatting>
  <conditionalFormatting sqref="R96:S96">
    <cfRule type="expression" dxfId="10138" priority="201">
      <formula>R$9&gt;=20/24</formula>
    </cfRule>
    <cfRule type="expression" dxfId="10137" priority="202">
      <formula>AND(R$9&gt;=14/24,R$9&lt;20/24)</formula>
    </cfRule>
    <cfRule type="expression" dxfId="10136" priority="203">
      <formula>AND(R$9&gt;=8/24,R$9&lt;14/24)</formula>
    </cfRule>
    <cfRule type="expression" dxfId="10135" priority="204">
      <formula>R$9&lt;8/24</formula>
    </cfRule>
  </conditionalFormatting>
  <conditionalFormatting sqref="L92:M92">
    <cfRule type="expression" dxfId="10134" priority="197">
      <formula>L$9&gt;=20/24</formula>
    </cfRule>
    <cfRule type="expression" dxfId="10133" priority="198">
      <formula>AND(L$9&gt;=14/24,L$9&lt;20/24)</formula>
    </cfRule>
    <cfRule type="expression" dxfId="10132" priority="199">
      <formula>AND(L$9&gt;=8/24,L$9&lt;14/24)</formula>
    </cfRule>
    <cfRule type="expression" dxfId="10131" priority="200">
      <formula>L$9&lt;8/24</formula>
    </cfRule>
  </conditionalFormatting>
  <conditionalFormatting sqref="K92">
    <cfRule type="expression" dxfId="10130" priority="193">
      <formula>K$9&gt;=20/24</formula>
    </cfRule>
    <cfRule type="expression" dxfId="10129" priority="194">
      <formula>AND(K$9&gt;=14/24,K$9&lt;20/24)</formula>
    </cfRule>
    <cfRule type="expression" dxfId="10128" priority="195">
      <formula>AND(K$9&gt;=8/24,K$9&lt;14/24)</formula>
    </cfRule>
    <cfRule type="expression" dxfId="10127" priority="196">
      <formula>K$9&lt;8/24</formula>
    </cfRule>
  </conditionalFormatting>
  <conditionalFormatting sqref="T92:V92">
    <cfRule type="expression" dxfId="10126" priority="189">
      <formula>T$9&gt;=20/24</formula>
    </cfRule>
    <cfRule type="expression" dxfId="10125" priority="190">
      <formula>AND(T$9&gt;=14/24,T$9&lt;20/24)</formula>
    </cfRule>
    <cfRule type="expression" dxfId="10124" priority="191">
      <formula>AND(T$9&gt;=8/24,T$9&lt;14/24)</formula>
    </cfRule>
    <cfRule type="expression" dxfId="10123" priority="192">
      <formula>T$9&lt;8/24</formula>
    </cfRule>
  </conditionalFormatting>
  <conditionalFormatting sqref="M92:P92 R92:S92">
    <cfRule type="expression" dxfId="10122" priority="185">
      <formula>M$9&gt;=20/24</formula>
    </cfRule>
    <cfRule type="expression" dxfId="10121" priority="186">
      <formula>AND(M$9&gt;=14/24,M$9&lt;20/24)</formula>
    </cfRule>
    <cfRule type="expression" dxfId="10120" priority="187">
      <formula>AND(M$9&gt;=8/24,M$9&lt;14/24)</formula>
    </cfRule>
    <cfRule type="expression" dxfId="10119" priority="188">
      <formula>M$9&lt;8/24</formula>
    </cfRule>
  </conditionalFormatting>
  <conditionalFormatting sqref="AA97:AF97">
    <cfRule type="expression" dxfId="10118" priority="181">
      <formula>AA$9&gt;=20/24</formula>
    </cfRule>
    <cfRule type="expression" dxfId="10117" priority="182">
      <formula>AND(AA$9&gt;=14/24,AA$9&lt;20/24)</formula>
    </cfRule>
    <cfRule type="expression" dxfId="10116" priority="183">
      <formula>AND(AA$9&gt;=8/24,AA$9&lt;14/24)</formula>
    </cfRule>
    <cfRule type="expression" dxfId="10115" priority="184">
      <formula>AA$9&lt;8/24</formula>
    </cfRule>
  </conditionalFormatting>
  <conditionalFormatting sqref="T97:Z97">
    <cfRule type="expression" dxfId="10114" priority="177">
      <formula>T$9&gt;=20/24</formula>
    </cfRule>
    <cfRule type="expression" dxfId="10113" priority="178">
      <formula>AND(T$9&gt;=14/24,T$9&lt;20/24)</formula>
    </cfRule>
    <cfRule type="expression" dxfId="10112" priority="179">
      <formula>AND(T$9&gt;=8/24,T$9&lt;14/24)</formula>
    </cfRule>
    <cfRule type="expression" dxfId="10111" priority="180">
      <formula>T$9&lt;8/24</formula>
    </cfRule>
  </conditionalFormatting>
  <conditionalFormatting sqref="A97">
    <cfRule type="expression" dxfId="10110" priority="176">
      <formula>$AH97=0</formula>
    </cfRule>
  </conditionalFormatting>
  <conditionalFormatting sqref="B97:L97">
    <cfRule type="expression" dxfId="10109" priority="172">
      <formula>B$9&gt;=20/24</formula>
    </cfRule>
    <cfRule type="expression" dxfId="10108" priority="173">
      <formula>AND(B$9&gt;=14/24,B$9&lt;20/24)</formula>
    </cfRule>
    <cfRule type="expression" dxfId="10107" priority="174">
      <formula>AND(B$9&gt;=8/24,B$9&lt;14/24)</formula>
    </cfRule>
    <cfRule type="expression" dxfId="10106" priority="175">
      <formula>B$9&lt;8/24</formula>
    </cfRule>
  </conditionalFormatting>
  <conditionalFormatting sqref="M97:P97">
    <cfRule type="expression" dxfId="10105" priority="168">
      <formula>M$9&gt;=20/24</formula>
    </cfRule>
    <cfRule type="expression" dxfId="10104" priority="169">
      <formula>AND(M$9&gt;=14/24,M$9&lt;20/24)</formula>
    </cfRule>
    <cfRule type="expression" dxfId="10103" priority="170">
      <formula>AND(M$9&gt;=8/24,M$9&lt;14/24)</formula>
    </cfRule>
    <cfRule type="expression" dxfId="10102" priority="171">
      <formula>M$9&lt;8/24</formula>
    </cfRule>
  </conditionalFormatting>
  <conditionalFormatting sqref="R97:S97">
    <cfRule type="expression" dxfId="10101" priority="164">
      <formula>R$9&gt;=20/24</formula>
    </cfRule>
    <cfRule type="expression" dxfId="10100" priority="165">
      <formula>AND(R$9&gt;=14/24,R$9&lt;20/24)</formula>
    </cfRule>
    <cfRule type="expression" dxfId="10099" priority="166">
      <formula>AND(R$9&gt;=8/24,R$9&lt;14/24)</formula>
    </cfRule>
    <cfRule type="expression" dxfId="10098" priority="167">
      <formula>R$9&lt;8/24</formula>
    </cfRule>
  </conditionalFormatting>
  <conditionalFormatting sqref="S12:X14 W15:X15 Y12:Z15">
    <cfRule type="expression" dxfId="10097" priority="160">
      <formula>S$9&gt;=20/24</formula>
    </cfRule>
    <cfRule type="expression" dxfId="10096" priority="161">
      <formula>AND(S$9&gt;=14/24,S$9&lt;20/24)</formula>
    </cfRule>
    <cfRule type="expression" dxfId="10095" priority="162">
      <formula>AND(S$9&gt;=8/24,S$9&lt;14/24)</formula>
    </cfRule>
    <cfRule type="expression" dxfId="10094" priority="163">
      <formula>S$9&lt;8/24</formula>
    </cfRule>
  </conditionalFormatting>
  <conditionalFormatting sqref="S16:Z16">
    <cfRule type="expression" dxfId="10093" priority="156">
      <formula>S$9&gt;=20/24</formula>
    </cfRule>
    <cfRule type="expression" dxfId="10092" priority="157">
      <formula>AND(S$9&gt;=14/24,S$9&lt;20/24)</formula>
    </cfRule>
    <cfRule type="expression" dxfId="10091" priority="158">
      <formula>AND(S$9&gt;=8/24,S$9&lt;14/24)</formula>
    </cfRule>
    <cfRule type="expression" dxfId="10090" priority="159">
      <formula>S$9&lt;8/24</formula>
    </cfRule>
  </conditionalFormatting>
  <conditionalFormatting sqref="S12:Z12">
    <cfRule type="expression" dxfId="10089" priority="152">
      <formula>S$9&gt;=20/24</formula>
    </cfRule>
    <cfRule type="expression" dxfId="10088" priority="153">
      <formula>AND(S$9&gt;=14/24,S$9&lt;20/24)</formula>
    </cfRule>
    <cfRule type="expression" dxfId="10087" priority="154">
      <formula>AND(S$9&gt;=8/24,S$9&lt;14/24)</formula>
    </cfRule>
    <cfRule type="expression" dxfId="10086" priority="155">
      <formula>S$9&lt;8/24</formula>
    </cfRule>
  </conditionalFormatting>
  <conditionalFormatting sqref="AA56:AD57">
    <cfRule type="expression" dxfId="10085" priority="148">
      <formula>AA$9&gt;=20/24</formula>
    </cfRule>
    <cfRule type="expression" dxfId="10084" priority="149">
      <formula>AND(AA$9&gt;=14/24,AA$9&lt;20/24)</formula>
    </cfRule>
    <cfRule type="expression" dxfId="10083" priority="150">
      <formula>AND(AA$9&gt;=8/24,AA$9&lt;14/24)</formula>
    </cfRule>
    <cfRule type="expression" dxfId="10082" priority="151">
      <formula>AA$9&lt;8/24</formula>
    </cfRule>
  </conditionalFormatting>
  <conditionalFormatting sqref="L35:M35 L12:M13 L15:M18 L20:M31">
    <cfRule type="expression" dxfId="10081" priority="144">
      <formula>L$9&gt;=20/24</formula>
    </cfRule>
    <cfRule type="expression" dxfId="10080" priority="145">
      <formula>AND(L$9&gt;=14/24,L$9&lt;20/24)</formula>
    </cfRule>
    <cfRule type="expression" dxfId="10079" priority="146">
      <formula>AND(L$9&gt;=8/24,L$9&lt;14/24)</formula>
    </cfRule>
    <cfRule type="expression" dxfId="10078" priority="147">
      <formula>L$9&lt;8/24</formula>
    </cfRule>
  </conditionalFormatting>
  <conditionalFormatting sqref="L33:M33">
    <cfRule type="expression" dxfId="10077" priority="140">
      <formula>L$9&gt;=20/24</formula>
    </cfRule>
    <cfRule type="expression" dxfId="10076" priority="141">
      <formula>AND(L$9&gt;=14/24,L$9&lt;20/24)</formula>
    </cfRule>
    <cfRule type="expression" dxfId="10075" priority="142">
      <formula>AND(L$9&gt;=8/24,L$9&lt;14/24)</formula>
    </cfRule>
    <cfRule type="expression" dxfId="10074" priority="143">
      <formula>L$9&lt;8/24</formula>
    </cfRule>
  </conditionalFormatting>
  <conditionalFormatting sqref="L15:M18 L12:M13 L33:M35 L20:M31">
    <cfRule type="expression" dxfId="10073" priority="139">
      <formula>L12&gt;$AG12</formula>
    </cfRule>
  </conditionalFormatting>
  <conditionalFormatting sqref="L34:M34">
    <cfRule type="expression" dxfId="10072" priority="135">
      <formula>L$9&gt;=20/24</formula>
    </cfRule>
    <cfRule type="expression" dxfId="10071" priority="136">
      <formula>AND(L$9&gt;=14/24,L$9&lt;20/24)</formula>
    </cfRule>
    <cfRule type="expression" dxfId="10070" priority="137">
      <formula>AND(L$9&gt;=8/24,L$9&lt;14/24)</formula>
    </cfRule>
    <cfRule type="expression" dxfId="10069" priority="138">
      <formula>L$9&lt;8/24</formula>
    </cfRule>
  </conditionalFormatting>
  <conditionalFormatting sqref="L32:M32">
    <cfRule type="expression" dxfId="10068" priority="131">
      <formula>L$9&gt;=20/24</formula>
    </cfRule>
    <cfRule type="expression" dxfId="10067" priority="132">
      <formula>AND(L$9&gt;=14/24,L$9&lt;20/24)</formula>
    </cfRule>
    <cfRule type="expression" dxfId="10066" priority="133">
      <formula>AND(L$9&gt;=8/24,L$9&lt;14/24)</formula>
    </cfRule>
    <cfRule type="expression" dxfId="10065" priority="134">
      <formula>L$9&lt;8/24</formula>
    </cfRule>
  </conditionalFormatting>
  <conditionalFormatting sqref="L32:M32">
    <cfRule type="expression" dxfId="10064" priority="130">
      <formula>L32&gt;$AG32</formula>
    </cfRule>
  </conditionalFormatting>
  <conditionalFormatting sqref="L14:M14">
    <cfRule type="expression" dxfId="10063" priority="126">
      <formula>L$9&gt;=20/24</formula>
    </cfRule>
    <cfRule type="expression" dxfId="10062" priority="127">
      <formula>AND(L$9&gt;=14/24,L$9&lt;20/24)</formula>
    </cfRule>
    <cfRule type="expression" dxfId="10061" priority="128">
      <formula>AND(L$9&gt;=8/24,L$9&lt;14/24)</formula>
    </cfRule>
    <cfRule type="expression" dxfId="10060" priority="129">
      <formula>L$9&lt;8/24</formula>
    </cfRule>
  </conditionalFormatting>
  <conditionalFormatting sqref="L14:M14">
    <cfRule type="expression" dxfId="10059" priority="125">
      <formula>L14&gt;$AG14</formula>
    </cfRule>
  </conditionalFormatting>
  <conditionalFormatting sqref="N35 N18:N31 B19:M19">
    <cfRule type="expression" dxfId="10058" priority="121">
      <formula>B$9&gt;=20/24</formula>
    </cfRule>
    <cfRule type="expression" dxfId="10057" priority="122">
      <formula>AND(B$9&gt;=14/24,B$9&lt;20/24)</formula>
    </cfRule>
    <cfRule type="expression" dxfId="10056" priority="123">
      <formula>AND(B$9&gt;=8/24,B$9&lt;14/24)</formula>
    </cfRule>
    <cfRule type="expression" dxfId="10055" priority="124">
      <formula>B$9&lt;8/24</formula>
    </cfRule>
  </conditionalFormatting>
  <conditionalFormatting sqref="N33">
    <cfRule type="expression" dxfId="10054" priority="117">
      <formula>N$9&gt;=20/24</formula>
    </cfRule>
    <cfRule type="expression" dxfId="10053" priority="118">
      <formula>AND(N$9&gt;=14/24,N$9&lt;20/24)</formula>
    </cfRule>
    <cfRule type="expression" dxfId="10052" priority="119">
      <formula>AND(N$9&gt;=8/24,N$9&lt;14/24)</formula>
    </cfRule>
    <cfRule type="expression" dxfId="10051" priority="120">
      <formula>N$9&lt;8/24</formula>
    </cfRule>
  </conditionalFormatting>
  <conditionalFormatting sqref="N18:N31 N33:N35 B19:M19">
    <cfRule type="expression" dxfId="10050" priority="116">
      <formula>B18&gt;$AG18</formula>
    </cfRule>
  </conditionalFormatting>
  <conditionalFormatting sqref="N34">
    <cfRule type="expression" dxfId="10049" priority="112">
      <formula>N$9&gt;=20/24</formula>
    </cfRule>
    <cfRule type="expression" dxfId="10048" priority="113">
      <formula>AND(N$9&gt;=14/24,N$9&lt;20/24)</formula>
    </cfRule>
    <cfRule type="expression" dxfId="10047" priority="114">
      <formula>AND(N$9&gt;=8/24,N$9&lt;14/24)</formula>
    </cfRule>
    <cfRule type="expression" dxfId="10046" priority="115">
      <formula>N$9&lt;8/24</formula>
    </cfRule>
  </conditionalFormatting>
  <conditionalFormatting sqref="N32">
    <cfRule type="expression" dxfId="10045" priority="108">
      <formula>N$9&gt;=20/24</formula>
    </cfRule>
    <cfRule type="expression" dxfId="10044" priority="109">
      <formula>AND(N$9&gt;=14/24,N$9&lt;20/24)</formula>
    </cfRule>
    <cfRule type="expression" dxfId="10043" priority="110">
      <formula>AND(N$9&gt;=8/24,N$9&lt;14/24)</formula>
    </cfRule>
    <cfRule type="expression" dxfId="10042" priority="111">
      <formula>N$9&lt;8/24</formula>
    </cfRule>
  </conditionalFormatting>
  <conditionalFormatting sqref="N32">
    <cfRule type="expression" dxfId="10041" priority="107">
      <formula>N32&gt;$AG32</formula>
    </cfRule>
  </conditionalFormatting>
  <conditionalFormatting sqref="O16:Q17">
    <cfRule type="expression" dxfId="10040" priority="103">
      <formula>O$9&gt;=20/24</formula>
    </cfRule>
    <cfRule type="expression" dxfId="10039" priority="104">
      <formula>AND(O$9&gt;=14/24,O$9&lt;20/24)</formula>
    </cfRule>
    <cfRule type="expression" dxfId="10038" priority="105">
      <formula>AND(O$9&gt;=8/24,O$9&lt;14/24)</formula>
    </cfRule>
    <cfRule type="expression" dxfId="10037" priority="106">
      <formula>O$9&lt;8/24</formula>
    </cfRule>
  </conditionalFormatting>
  <conditionalFormatting sqref="O16:Q17">
    <cfRule type="expression" dxfId="10036" priority="102">
      <formula>O16&gt;$AG16</formula>
    </cfRule>
  </conditionalFormatting>
  <conditionalFormatting sqref="O35:P35 O18:P31 Q18:Q23">
    <cfRule type="expression" dxfId="10035" priority="98">
      <formula>O$9&gt;=20/24</formula>
    </cfRule>
    <cfRule type="expression" dxfId="10034" priority="99">
      <formula>AND(O$9&gt;=14/24,O$9&lt;20/24)</formula>
    </cfRule>
    <cfRule type="expression" dxfId="10033" priority="100">
      <formula>AND(O$9&gt;=8/24,O$9&lt;14/24)</formula>
    </cfRule>
    <cfRule type="expression" dxfId="10032" priority="101">
      <formula>O$9&lt;8/24</formula>
    </cfRule>
  </conditionalFormatting>
  <conditionalFormatting sqref="O33:P33">
    <cfRule type="expression" dxfId="10031" priority="94">
      <formula>O$9&gt;=20/24</formula>
    </cfRule>
    <cfRule type="expression" dxfId="10030" priority="95">
      <formula>AND(O$9&gt;=14/24,O$9&lt;20/24)</formula>
    </cfRule>
    <cfRule type="expression" dxfId="10029" priority="96">
      <formula>AND(O$9&gt;=8/24,O$9&lt;14/24)</formula>
    </cfRule>
    <cfRule type="expression" dxfId="10028" priority="97">
      <formula>O$9&lt;8/24</formula>
    </cfRule>
  </conditionalFormatting>
  <conditionalFormatting sqref="O18:P31 O33:P35 Q18:Q23">
    <cfRule type="expression" dxfId="10027" priority="93">
      <formula>O18&gt;$AG18</formula>
    </cfRule>
  </conditionalFormatting>
  <conditionalFormatting sqref="O34:P34">
    <cfRule type="expression" dxfId="10026" priority="89">
      <formula>O$9&gt;=20/24</formula>
    </cfRule>
    <cfRule type="expression" dxfId="10025" priority="90">
      <formula>AND(O$9&gt;=14/24,O$9&lt;20/24)</formula>
    </cfRule>
    <cfRule type="expression" dxfId="10024" priority="91">
      <formula>AND(O$9&gt;=8/24,O$9&lt;14/24)</formula>
    </cfRule>
    <cfRule type="expression" dxfId="10023" priority="92">
      <formula>O$9&lt;8/24</formula>
    </cfRule>
  </conditionalFormatting>
  <conditionalFormatting sqref="O32:P32">
    <cfRule type="expression" dxfId="10022" priority="85">
      <formula>O$9&gt;=20/24</formula>
    </cfRule>
    <cfRule type="expression" dxfId="10021" priority="86">
      <formula>AND(O$9&gt;=14/24,O$9&lt;20/24)</formula>
    </cfRule>
    <cfRule type="expression" dxfId="10020" priority="87">
      <formula>AND(O$9&gt;=8/24,O$9&lt;14/24)</formula>
    </cfRule>
    <cfRule type="expression" dxfId="10019" priority="88">
      <formula>O$9&lt;8/24</formula>
    </cfRule>
  </conditionalFormatting>
  <conditionalFormatting sqref="O32:P32">
    <cfRule type="expression" dxfId="10018" priority="84">
      <formula>O32&gt;$AG32</formula>
    </cfRule>
  </conditionalFormatting>
  <conditionalFormatting sqref="R11:R13 R15:V15">
    <cfRule type="expression" dxfId="10017" priority="80">
      <formula>R$9&gt;=20/24</formula>
    </cfRule>
    <cfRule type="expression" dxfId="10016" priority="81">
      <formula>AND(R$9&gt;=14/24,R$9&lt;20/24)</formula>
    </cfRule>
    <cfRule type="expression" dxfId="10015" priority="82">
      <formula>AND(R$9&gt;=8/24,R$9&lt;14/24)</formula>
    </cfRule>
    <cfRule type="expression" dxfId="10014" priority="83">
      <formula>R$9&lt;8/24</formula>
    </cfRule>
  </conditionalFormatting>
  <conditionalFormatting sqref="R11:R13 R15:V15">
    <cfRule type="expression" dxfId="10013" priority="79">
      <formula>R11&gt;$AG11</formula>
    </cfRule>
  </conditionalFormatting>
  <conditionalFormatting sqref="R14">
    <cfRule type="expression" dxfId="10012" priority="75">
      <formula>R$9&gt;=20/24</formula>
    </cfRule>
    <cfRule type="expression" dxfId="10011" priority="76">
      <formula>AND(R$9&gt;=14/24,R$9&lt;20/24)</formula>
    </cfRule>
    <cfRule type="expression" dxfId="10010" priority="77">
      <formula>AND(R$9&gt;=8/24,R$9&lt;14/24)</formula>
    </cfRule>
    <cfRule type="expression" dxfId="10009" priority="78">
      <formula>R$9&lt;8/24</formula>
    </cfRule>
  </conditionalFormatting>
  <conditionalFormatting sqref="R14">
    <cfRule type="expression" dxfId="10008" priority="74">
      <formula>R14&gt;$AG14</formula>
    </cfRule>
  </conditionalFormatting>
  <conditionalFormatting sqref="R16:R17">
    <cfRule type="expression" dxfId="10007" priority="70">
      <formula>R$9&gt;=20/24</formula>
    </cfRule>
    <cfRule type="expression" dxfId="10006" priority="71">
      <formula>AND(R$9&gt;=14/24,R$9&lt;20/24)</formula>
    </cfRule>
    <cfRule type="expression" dxfId="10005" priority="72">
      <formula>AND(R$9&gt;=8/24,R$9&lt;14/24)</formula>
    </cfRule>
    <cfRule type="expression" dxfId="10004" priority="73">
      <formula>R$9&lt;8/24</formula>
    </cfRule>
  </conditionalFormatting>
  <conditionalFormatting sqref="R16:R17">
    <cfRule type="expression" dxfId="10003" priority="69">
      <formula>R16&gt;$AG16</formula>
    </cfRule>
  </conditionalFormatting>
  <conditionalFormatting sqref="R18:R31 Q35:R35 Q24:Q31 S19:U24 S25:V31">
    <cfRule type="expression" dxfId="10002" priority="65">
      <formula>Q$9&gt;=20/24</formula>
    </cfRule>
    <cfRule type="expression" dxfId="10001" priority="66">
      <formula>AND(Q$9&gt;=14/24,Q$9&lt;20/24)</formula>
    </cfRule>
    <cfRule type="expression" dxfId="10000" priority="67">
      <formula>AND(Q$9&gt;=8/24,Q$9&lt;14/24)</formula>
    </cfRule>
    <cfRule type="expression" dxfId="9999" priority="68">
      <formula>Q$9&lt;8/24</formula>
    </cfRule>
  </conditionalFormatting>
  <conditionalFormatting sqref="Q33:V33">
    <cfRule type="expression" dxfId="9998" priority="61">
      <formula>Q$9&gt;=20/24</formula>
    </cfRule>
    <cfRule type="expression" dxfId="9997" priority="62">
      <formula>AND(Q$9&gt;=14/24,Q$9&lt;20/24)</formula>
    </cfRule>
    <cfRule type="expression" dxfId="9996" priority="63">
      <formula>AND(Q$9&gt;=8/24,Q$9&lt;14/24)</formula>
    </cfRule>
    <cfRule type="expression" dxfId="9995" priority="64">
      <formula>Q$9&lt;8/24</formula>
    </cfRule>
  </conditionalFormatting>
  <conditionalFormatting sqref="R18:R31 Q24:Q31 Q33:R35 S33:U34 S19:U24 V33 S25:V31">
    <cfRule type="expression" dxfId="9994" priority="60">
      <formula>Q18&gt;$AG18</formula>
    </cfRule>
  </conditionalFormatting>
  <conditionalFormatting sqref="Q34:U34">
    <cfRule type="expression" dxfId="9993" priority="56">
      <formula>Q$9&gt;=20/24</formula>
    </cfRule>
    <cfRule type="expression" dxfId="9992" priority="57">
      <formula>AND(Q$9&gt;=14/24,Q$9&lt;20/24)</formula>
    </cfRule>
    <cfRule type="expression" dxfId="9991" priority="58">
      <formula>AND(Q$9&gt;=8/24,Q$9&lt;14/24)</formula>
    </cfRule>
    <cfRule type="expression" dxfId="9990" priority="59">
      <formula>Q$9&lt;8/24</formula>
    </cfRule>
  </conditionalFormatting>
  <conditionalFormatting sqref="Q32:V32">
    <cfRule type="expression" dxfId="9989" priority="52">
      <formula>Q$9&gt;=20/24</formula>
    </cfRule>
    <cfRule type="expression" dxfId="9988" priority="53">
      <formula>AND(Q$9&gt;=14/24,Q$9&lt;20/24)</formula>
    </cfRule>
    <cfRule type="expression" dxfId="9987" priority="54">
      <formula>AND(Q$9&gt;=8/24,Q$9&lt;14/24)</formula>
    </cfRule>
    <cfRule type="expression" dxfId="9986" priority="55">
      <formula>Q$9&lt;8/24</formula>
    </cfRule>
  </conditionalFormatting>
  <conditionalFormatting sqref="Q32:V32">
    <cfRule type="expression" dxfId="9985" priority="51">
      <formula>Q32&gt;$AG32</formula>
    </cfRule>
  </conditionalFormatting>
  <conditionalFormatting sqref="R37:R40 Q43:V46">
    <cfRule type="expression" dxfId="9984" priority="47">
      <formula>Q$9&gt;=20/24</formula>
    </cfRule>
    <cfRule type="expression" dxfId="9983" priority="48">
      <formula>AND(Q$9&gt;=14/24,Q$9&lt;20/24)</formula>
    </cfRule>
    <cfRule type="expression" dxfId="9982" priority="49">
      <formula>AND(Q$9&gt;=8/24,Q$9&lt;14/24)</formula>
    </cfRule>
    <cfRule type="expression" dxfId="9981" priority="50">
      <formula>Q$9&lt;8/24</formula>
    </cfRule>
  </conditionalFormatting>
  <conditionalFormatting sqref="R41:V41">
    <cfRule type="expression" dxfId="9980" priority="43">
      <formula>R$9&gt;=20/24</formula>
    </cfRule>
    <cfRule type="expression" dxfId="9979" priority="44">
      <formula>AND(R$9&gt;=14/24,R$9&lt;20/24)</formula>
    </cfRule>
    <cfRule type="expression" dxfId="9978" priority="45">
      <formula>AND(R$9&gt;=8/24,R$9&lt;14/24)</formula>
    </cfRule>
    <cfRule type="expression" dxfId="9977" priority="46">
      <formula>R$9&lt;8/24</formula>
    </cfRule>
  </conditionalFormatting>
  <conditionalFormatting sqref="Q47:V47">
    <cfRule type="expression" dxfId="9976" priority="39">
      <formula>Q$9&gt;=20/24</formula>
    </cfRule>
    <cfRule type="expression" dxfId="9975" priority="40">
      <formula>AND(Q$9&gt;=14/24,Q$9&lt;20/24)</formula>
    </cfRule>
    <cfRule type="expression" dxfId="9974" priority="41">
      <formula>AND(Q$9&gt;=8/24,Q$9&lt;14/24)</formula>
    </cfRule>
    <cfRule type="expression" dxfId="9973" priority="42">
      <formula>Q$9&lt;8/24</formula>
    </cfRule>
  </conditionalFormatting>
  <conditionalFormatting sqref="Q48:V48">
    <cfRule type="expression" dxfId="9972" priority="35">
      <formula>Q$9&gt;=20/24</formula>
    </cfRule>
    <cfRule type="expression" dxfId="9971" priority="36">
      <formula>AND(Q$9&gt;=14/24,Q$9&lt;20/24)</formula>
    </cfRule>
    <cfRule type="expression" dxfId="9970" priority="37">
      <formula>AND(Q$9&gt;=8/24,Q$9&lt;14/24)</formula>
    </cfRule>
    <cfRule type="expression" dxfId="9969" priority="38">
      <formula>Q$9&lt;8/24</formula>
    </cfRule>
  </conditionalFormatting>
  <conditionalFormatting sqref="Q43:V46">
    <cfRule type="expression" dxfId="9968" priority="31">
      <formula>Q$9&gt;=20/24</formula>
    </cfRule>
    <cfRule type="expression" dxfId="9967" priority="32">
      <formula>AND(Q$9&gt;=14/24,Q$9&lt;20/24)</formula>
    </cfRule>
    <cfRule type="expression" dxfId="9966" priority="33">
      <formula>AND(Q$9&gt;=8/24,Q$9&lt;14/24)</formula>
    </cfRule>
    <cfRule type="expression" dxfId="9965" priority="34">
      <formula>Q$9&lt;8/24</formula>
    </cfRule>
  </conditionalFormatting>
  <conditionalFormatting sqref="R37:R41 S41:V41 Q43:V48">
    <cfRule type="expression" dxfId="9964" priority="30">
      <formula>Q37&gt;$AG37</formula>
    </cfRule>
  </conditionalFormatting>
  <conditionalFormatting sqref="R42:V42">
    <cfRule type="expression" dxfId="9963" priority="26">
      <formula>R$9&gt;=20/24</formula>
    </cfRule>
    <cfRule type="expression" dxfId="9962" priority="27">
      <formula>AND(R$9&gt;=14/24,R$9&lt;20/24)</formula>
    </cfRule>
    <cfRule type="expression" dxfId="9961" priority="28">
      <formula>AND(R$9&gt;=8/24,R$9&lt;14/24)</formula>
    </cfRule>
    <cfRule type="expression" dxfId="9960" priority="29">
      <formula>R$9&lt;8/24</formula>
    </cfRule>
  </conditionalFormatting>
  <conditionalFormatting sqref="R42:V42">
    <cfRule type="expression" dxfId="9959" priority="25">
      <formula>R42&gt;$AG42</formula>
    </cfRule>
  </conditionalFormatting>
  <conditionalFormatting sqref="R58:V65">
    <cfRule type="expression" dxfId="9958" priority="21">
      <formula>R$9&gt;=20/24</formula>
    </cfRule>
    <cfRule type="expression" dxfId="9957" priority="22">
      <formula>AND(R$9&gt;=14/24,R$9&lt;20/24)</formula>
    </cfRule>
    <cfRule type="expression" dxfId="9956" priority="23">
      <formula>AND(R$9&gt;=8/24,R$9&lt;14/24)</formula>
    </cfRule>
    <cfRule type="expression" dxfId="9955" priority="24">
      <formula>R$9&lt;8/24</formula>
    </cfRule>
  </conditionalFormatting>
  <conditionalFormatting sqref="Q92:Q95">
    <cfRule type="expression" dxfId="9954" priority="17">
      <formula>Q$9&gt;=20/24</formula>
    </cfRule>
    <cfRule type="expression" dxfId="9953" priority="18">
      <formula>AND(Q$9&gt;=14/24,Q$9&lt;20/24)</formula>
    </cfRule>
    <cfRule type="expression" dxfId="9952" priority="19">
      <formula>AND(Q$9&gt;=8/24,Q$9&lt;14/24)</formula>
    </cfRule>
    <cfRule type="expression" dxfId="9951" priority="20">
      <formula>Q$9&lt;8/24</formula>
    </cfRule>
  </conditionalFormatting>
  <conditionalFormatting sqref="Q96">
    <cfRule type="expression" dxfId="9950" priority="13">
      <formula>Q$9&gt;=20/24</formula>
    </cfRule>
    <cfRule type="expression" dxfId="9949" priority="14">
      <formula>AND(Q$9&gt;=14/24,Q$9&lt;20/24)</formula>
    </cfRule>
    <cfRule type="expression" dxfId="9948" priority="15">
      <formula>AND(Q$9&gt;=8/24,Q$9&lt;14/24)</formula>
    </cfRule>
    <cfRule type="expression" dxfId="9947" priority="16">
      <formula>Q$9&lt;8/24</formula>
    </cfRule>
  </conditionalFormatting>
  <conditionalFormatting sqref="Q92">
    <cfRule type="expression" dxfId="9946" priority="9">
      <formula>Q$9&gt;=20/24</formula>
    </cfRule>
    <cfRule type="expression" dxfId="9945" priority="10">
      <formula>AND(Q$9&gt;=14/24,Q$9&lt;20/24)</formula>
    </cfRule>
    <cfRule type="expression" dxfId="9944" priority="11">
      <formula>AND(Q$9&gt;=8/24,Q$9&lt;14/24)</formula>
    </cfRule>
    <cfRule type="expression" dxfId="9943" priority="12">
      <formula>Q$9&lt;8/24</formula>
    </cfRule>
  </conditionalFormatting>
  <conditionalFormatting sqref="Q97">
    <cfRule type="expression" dxfId="9942" priority="5">
      <formula>Q$9&gt;=20/24</formula>
    </cfRule>
    <cfRule type="expression" dxfId="9941" priority="6">
      <formula>AND(Q$9&gt;=14/24,Q$9&lt;20/24)</formula>
    </cfRule>
    <cfRule type="expression" dxfId="9940" priority="7">
      <formula>AND(Q$9&gt;=8/24,Q$9&lt;14/24)</formula>
    </cfRule>
    <cfRule type="expression" dxfId="9939" priority="8">
      <formula>Q$9&lt;8/24</formula>
    </cfRule>
  </conditionalFormatting>
  <conditionalFormatting sqref="X83:X89">
    <cfRule type="expression" dxfId="9938" priority="1">
      <formula>X$9&gt;=20/24</formula>
    </cfRule>
    <cfRule type="expression" dxfId="9937" priority="2">
      <formula>AND(X$9&gt;=14/24,X$9&lt;20/24)</formula>
    </cfRule>
    <cfRule type="expression" dxfId="9936" priority="3">
      <formula>AND(X$9&gt;=8/24,X$9&lt;14/24)</formula>
    </cfRule>
    <cfRule type="expression" dxfId="9935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1" sqref="AJ1:AL29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218</v>
      </c>
      <c r="AL2" s="3">
        <f>AK11</f>
        <v>6568.2580645161288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219</v>
      </c>
      <c r="AL3" s="3">
        <f>AK12+AK14</f>
        <v>289.31612903225823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2078/07/4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220</v>
      </c>
      <c r="AL4" s="30">
        <f>AK50</f>
        <v>2010.7819354838689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-91.6</v>
      </c>
      <c r="C5" s="32">
        <f t="shared" ref="C5:AF5" si="0">C66</f>
        <v>-80.099999999999994</v>
      </c>
      <c r="D5" s="32">
        <f t="shared" si="0"/>
        <v>-79</v>
      </c>
      <c r="E5" s="32">
        <f t="shared" si="0"/>
        <v>-80</v>
      </c>
      <c r="F5" s="32">
        <f t="shared" si="0"/>
        <v>-63</v>
      </c>
      <c r="G5" s="32">
        <f t="shared" si="0"/>
        <v>-43</v>
      </c>
      <c r="H5" s="32">
        <f t="shared" si="0"/>
        <v>-45</v>
      </c>
      <c r="I5" s="32">
        <f t="shared" si="0"/>
        <v>-57.8</v>
      </c>
      <c r="J5" s="32">
        <f t="shared" si="0"/>
        <v>-29.5</v>
      </c>
      <c r="K5" s="32">
        <f t="shared" si="0"/>
        <v>-29.5</v>
      </c>
      <c r="L5" s="32">
        <f t="shared" si="0"/>
        <v>-35</v>
      </c>
      <c r="M5" s="32">
        <f t="shared" si="0"/>
        <v>-35</v>
      </c>
      <c r="N5" s="32">
        <f t="shared" si="0"/>
        <v>-26.2</v>
      </c>
      <c r="O5" s="32">
        <f t="shared" si="0"/>
        <v>-29.2</v>
      </c>
      <c r="P5" s="32">
        <f t="shared" si="0"/>
        <v>-55</v>
      </c>
      <c r="Q5" s="32">
        <f t="shared" si="0"/>
        <v>-36.200000000000003</v>
      </c>
      <c r="R5" s="32">
        <f t="shared" si="0"/>
        <v>-23.7</v>
      </c>
      <c r="S5" s="32">
        <f t="shared" si="0"/>
        <v>-26.4</v>
      </c>
      <c r="T5" s="32">
        <f t="shared" si="0"/>
        <v>-37.700000000000003</v>
      </c>
      <c r="U5" s="32">
        <f t="shared" si="0"/>
        <v>-15</v>
      </c>
      <c r="V5" s="32">
        <f t="shared" si="0"/>
        <v>-31.3</v>
      </c>
      <c r="W5" s="32">
        <f t="shared" si="0"/>
        <v>-47.6</v>
      </c>
      <c r="X5" s="32">
        <f t="shared" si="0"/>
        <v>-19</v>
      </c>
      <c r="Y5" s="32">
        <f t="shared" si="0"/>
        <v>-36.700000000000003</v>
      </c>
      <c r="Z5" s="32">
        <f t="shared" si="0"/>
        <v>-35</v>
      </c>
      <c r="AA5" s="32">
        <f t="shared" si="0"/>
        <v>-75</v>
      </c>
      <c r="AB5" s="32">
        <f t="shared" si="0"/>
        <v>-60</v>
      </c>
      <c r="AC5" s="32">
        <f t="shared" si="0"/>
        <v>-70</v>
      </c>
      <c r="AD5" s="32">
        <f t="shared" si="0"/>
        <v>-60</v>
      </c>
      <c r="AE5" s="32">
        <f t="shared" si="0"/>
        <v>-76</v>
      </c>
      <c r="AF5" s="32">
        <f t="shared" si="0"/>
        <v>-30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960MW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>
        <f>SUM(AL2:AL4)</f>
        <v>8868.3561290322559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Load=689</v>
      </c>
      <c r="B7" s="37">
        <f t="shared" ref="B7:AF7" si="1">B73</f>
        <v>708.6400000000001</v>
      </c>
      <c r="C7" s="37">
        <f t="shared" si="1"/>
        <v>708.14</v>
      </c>
      <c r="D7" s="37">
        <f t="shared" si="1"/>
        <v>689.04</v>
      </c>
      <c r="E7" s="37">
        <f t="shared" si="1"/>
        <v>691.04</v>
      </c>
      <c r="F7" s="37">
        <f t="shared" si="1"/>
        <v>707.94</v>
      </c>
      <c r="G7" s="37">
        <f t="shared" si="1"/>
        <v>727.6400000000001</v>
      </c>
      <c r="H7" s="37">
        <f t="shared" si="1"/>
        <v>775.44</v>
      </c>
      <c r="I7" s="37">
        <f t="shared" si="1"/>
        <v>795.04</v>
      </c>
      <c r="J7" s="37">
        <f t="shared" si="1"/>
        <v>857.6400000000001</v>
      </c>
      <c r="K7" s="37">
        <f t="shared" si="1"/>
        <v>920.54</v>
      </c>
      <c r="L7" s="37">
        <f>L73</f>
        <v>960.1400000000001</v>
      </c>
      <c r="M7" s="37">
        <f t="shared" si="1"/>
        <v>940.54000000000008</v>
      </c>
      <c r="N7" s="37">
        <f t="shared" si="1"/>
        <v>920.74</v>
      </c>
      <c r="O7" s="37">
        <f t="shared" si="1"/>
        <v>931.94</v>
      </c>
      <c r="P7" s="37">
        <f t="shared" si="1"/>
        <v>920.54000000000008</v>
      </c>
      <c r="Q7" s="37">
        <f t="shared" si="1"/>
        <v>919.84000000000015</v>
      </c>
      <c r="R7" s="37">
        <f t="shared" si="1"/>
        <v>915.74</v>
      </c>
      <c r="S7" s="37">
        <f t="shared" si="1"/>
        <v>935.14</v>
      </c>
      <c r="T7" s="37">
        <f t="shared" si="1"/>
        <v>954.54</v>
      </c>
      <c r="U7" s="37">
        <f t="shared" si="1"/>
        <v>981.94</v>
      </c>
      <c r="V7" s="37">
        <f t="shared" si="1"/>
        <v>1090.7400000000002</v>
      </c>
      <c r="W7" s="37">
        <f t="shared" si="1"/>
        <v>1202.1400000000001</v>
      </c>
      <c r="X7" s="37">
        <f t="shared" si="1"/>
        <v>1245.6400000000001</v>
      </c>
      <c r="Y7" s="37">
        <f t="shared" si="1"/>
        <v>1207.94</v>
      </c>
      <c r="Z7" s="37">
        <f t="shared" si="1"/>
        <v>1158.1400000000001</v>
      </c>
      <c r="AA7" s="37">
        <f t="shared" si="1"/>
        <v>1001.84</v>
      </c>
      <c r="AB7" s="37">
        <f t="shared" si="1"/>
        <v>1016.84</v>
      </c>
      <c r="AC7" s="37">
        <f t="shared" si="1"/>
        <v>989.74</v>
      </c>
      <c r="AD7" s="37">
        <f t="shared" si="1"/>
        <v>932.94</v>
      </c>
      <c r="AE7" s="37">
        <f t="shared" si="1"/>
        <v>834.24</v>
      </c>
      <c r="AF7" s="37">
        <f t="shared" si="1"/>
        <v>842.24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100</v>
      </c>
      <c r="C11" s="49">
        <v>100</v>
      </c>
      <c r="D11" s="49">
        <v>80</v>
      </c>
      <c r="E11" s="49">
        <v>80</v>
      </c>
      <c r="F11" s="49">
        <v>80</v>
      </c>
      <c r="G11" s="49">
        <v>80</v>
      </c>
      <c r="H11" s="49">
        <v>80</v>
      </c>
      <c r="I11" s="49">
        <v>80</v>
      </c>
      <c r="J11" s="49">
        <v>80</v>
      </c>
      <c r="K11" s="49">
        <v>115</v>
      </c>
      <c r="L11" s="49">
        <v>110</v>
      </c>
      <c r="M11" s="49">
        <v>100</v>
      </c>
      <c r="N11" s="50">
        <v>90</v>
      </c>
      <c r="O11" s="50">
        <v>90</v>
      </c>
      <c r="P11" s="50">
        <v>110</v>
      </c>
      <c r="Q11" s="50">
        <v>100</v>
      </c>
      <c r="R11" s="52">
        <v>80</v>
      </c>
      <c r="S11" s="52">
        <v>76</v>
      </c>
      <c r="T11" s="52">
        <v>80</v>
      </c>
      <c r="U11" s="52">
        <v>95</v>
      </c>
      <c r="V11" s="52">
        <v>210</v>
      </c>
      <c r="W11" s="52">
        <v>300</v>
      </c>
      <c r="X11" s="52">
        <v>310</v>
      </c>
      <c r="Y11" s="53">
        <v>290</v>
      </c>
      <c r="Z11" s="54">
        <v>240</v>
      </c>
      <c r="AA11" s="54">
        <v>140</v>
      </c>
      <c r="AB11" s="54">
        <v>140</v>
      </c>
      <c r="AC11" s="54">
        <v>140</v>
      </c>
      <c r="AD11" s="54">
        <v>140</v>
      </c>
      <c r="AE11" s="49">
        <v>100</v>
      </c>
      <c r="AF11" s="49">
        <v>100</v>
      </c>
      <c r="AG11" s="55">
        <v>456</v>
      </c>
      <c r="AH11" s="56">
        <f>MAX(B11:AF11)</f>
        <v>310</v>
      </c>
      <c r="AI11" s="57">
        <f>MIN(B11:AF11)</f>
        <v>76</v>
      </c>
      <c r="AJ11" s="1">
        <f>AVERAGE(B11:AF11)</f>
        <v>126.3225806451613</v>
      </c>
      <c r="AK11" s="3">
        <f>(400-AJ11)*24</f>
        <v>6568.2580645161288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40</v>
      </c>
      <c r="AE12" s="49">
        <v>40</v>
      </c>
      <c r="AF12" s="49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1">
        <f>AVERAGE(B12:AF12)</f>
        <v>52.903225806451616</v>
      </c>
      <c r="AK12" s="3">
        <f>(60-AJ12)*24</f>
        <v>170.32258064516122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25.1</v>
      </c>
      <c r="C13" s="49">
        <v>25.1</v>
      </c>
      <c r="D13" s="49">
        <v>25.1</v>
      </c>
      <c r="E13" s="49">
        <v>25.1</v>
      </c>
      <c r="F13" s="49">
        <v>25.1</v>
      </c>
      <c r="G13" s="49">
        <v>25.1</v>
      </c>
      <c r="H13" s="49">
        <v>25.1</v>
      </c>
      <c r="I13" s="49">
        <v>25.1</v>
      </c>
      <c r="J13" s="49">
        <v>25.1</v>
      </c>
      <c r="K13" s="49">
        <v>25.1</v>
      </c>
      <c r="L13" s="49">
        <v>25.1</v>
      </c>
      <c r="M13" s="49">
        <v>25.1</v>
      </c>
      <c r="N13" s="50">
        <v>25.1</v>
      </c>
      <c r="O13" s="50">
        <v>25.1</v>
      </c>
      <c r="P13" s="50">
        <v>25.1</v>
      </c>
      <c r="Q13" s="50">
        <v>25.1</v>
      </c>
      <c r="R13" s="62">
        <v>25.1</v>
      </c>
      <c r="S13" s="62">
        <v>25.1</v>
      </c>
      <c r="T13" s="62">
        <v>25.1</v>
      </c>
      <c r="U13" s="62">
        <v>25.1</v>
      </c>
      <c r="V13" s="62">
        <v>25.1</v>
      </c>
      <c r="W13" s="62">
        <v>25.1</v>
      </c>
      <c r="X13" s="62">
        <v>25.1</v>
      </c>
      <c r="Y13" s="62">
        <v>25.1</v>
      </c>
      <c r="Z13" s="62">
        <v>25.1</v>
      </c>
      <c r="AA13" s="62">
        <v>25.1</v>
      </c>
      <c r="AB13" s="62">
        <v>25.1</v>
      </c>
      <c r="AC13" s="62">
        <v>25.1</v>
      </c>
      <c r="AD13" s="62">
        <v>25.1</v>
      </c>
      <c r="AE13" s="62">
        <v>25.1</v>
      </c>
      <c r="AF13" s="62">
        <v>25.1</v>
      </c>
      <c r="AG13" s="61">
        <v>52.4</v>
      </c>
      <c r="AH13" s="56">
        <f t="shared" si="2"/>
        <v>25.1</v>
      </c>
      <c r="AI13" s="57">
        <f t="shared" si="3"/>
        <v>25.1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37.1</v>
      </c>
      <c r="C14" s="63">
        <v>37.1</v>
      </c>
      <c r="D14" s="63">
        <v>37.1</v>
      </c>
      <c r="E14" s="63">
        <v>37.1</v>
      </c>
      <c r="F14" s="63">
        <v>37.1</v>
      </c>
      <c r="G14" s="63">
        <v>37.1</v>
      </c>
      <c r="H14" s="63">
        <v>37.1</v>
      </c>
      <c r="I14" s="63">
        <v>37.1</v>
      </c>
      <c r="J14" s="63">
        <v>37.1</v>
      </c>
      <c r="K14" s="63">
        <v>41.8</v>
      </c>
      <c r="L14" s="49">
        <v>41.8</v>
      </c>
      <c r="M14" s="49">
        <v>41.8</v>
      </c>
      <c r="N14" s="50">
        <v>41.6</v>
      </c>
      <c r="O14" s="50">
        <v>41.6</v>
      </c>
      <c r="P14" s="50">
        <v>41.6</v>
      </c>
      <c r="Q14" s="50">
        <v>41.6</v>
      </c>
      <c r="R14" s="62">
        <v>41.8</v>
      </c>
      <c r="S14" s="62">
        <v>41.8</v>
      </c>
      <c r="T14" s="62">
        <v>41.8</v>
      </c>
      <c r="U14" s="62">
        <v>41.8</v>
      </c>
      <c r="V14" s="62">
        <v>41.8</v>
      </c>
      <c r="W14" s="62">
        <v>41.8</v>
      </c>
      <c r="X14" s="62">
        <v>41.8</v>
      </c>
      <c r="Y14" s="62">
        <v>41.8</v>
      </c>
      <c r="Z14" s="62">
        <v>41.8</v>
      </c>
      <c r="AA14" s="62">
        <v>41.8</v>
      </c>
      <c r="AB14" s="62">
        <v>41.8</v>
      </c>
      <c r="AC14" s="62">
        <v>41.8</v>
      </c>
      <c r="AD14" s="62">
        <v>38</v>
      </c>
      <c r="AE14" s="62">
        <v>38</v>
      </c>
      <c r="AF14" s="62">
        <v>38</v>
      </c>
      <c r="AG14" s="64">
        <v>45</v>
      </c>
      <c r="AH14" s="56">
        <f t="shared" si="2"/>
        <v>41.8</v>
      </c>
      <c r="AI14" s="57">
        <f t="shared" si="3"/>
        <v>37.1</v>
      </c>
      <c r="AJ14" s="1">
        <f>AVERAGE(B14:AF14)</f>
        <v>40.041935483870958</v>
      </c>
      <c r="AK14" s="3">
        <f>(45-AJ14)*24</f>
        <v>118.99354838709701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26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49">
        <v>26</v>
      </c>
      <c r="M15" s="49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65">
        <v>28</v>
      </c>
      <c r="X15" s="65">
        <v>32</v>
      </c>
      <c r="Y15" s="65">
        <v>32</v>
      </c>
      <c r="Z15" s="65">
        <v>28</v>
      </c>
      <c r="AA15" s="65">
        <v>28</v>
      </c>
      <c r="AB15" s="65">
        <v>28</v>
      </c>
      <c r="AC15" s="65">
        <v>28</v>
      </c>
      <c r="AD15" s="65">
        <v>26</v>
      </c>
      <c r="AE15" s="65">
        <v>26</v>
      </c>
      <c r="AF15" s="65">
        <v>26</v>
      </c>
      <c r="AG15" s="61">
        <v>45</v>
      </c>
      <c r="AH15" s="56">
        <f t="shared" si="2"/>
        <v>32</v>
      </c>
      <c r="AI15" s="57">
        <f t="shared" si="3"/>
        <v>26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15</v>
      </c>
      <c r="C16" s="49">
        <v>15</v>
      </c>
      <c r="D16" s="49">
        <v>15</v>
      </c>
      <c r="E16" s="49">
        <v>15</v>
      </c>
      <c r="F16" s="49">
        <v>15</v>
      </c>
      <c r="G16" s="49">
        <v>15</v>
      </c>
      <c r="H16" s="49">
        <v>15</v>
      </c>
      <c r="I16" s="49">
        <v>15</v>
      </c>
      <c r="J16" s="49">
        <v>15</v>
      </c>
      <c r="K16" s="49">
        <v>15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62">
        <v>25</v>
      </c>
      <c r="AD16" s="62">
        <v>25</v>
      </c>
      <c r="AE16" s="62">
        <v>25</v>
      </c>
      <c r="AF16" s="62">
        <v>15</v>
      </c>
      <c r="AG16" s="61">
        <v>42</v>
      </c>
      <c r="AH16" s="56">
        <f t="shared" si="2"/>
        <v>25</v>
      </c>
      <c r="AI16" s="57">
        <f t="shared" si="3"/>
        <v>15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20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20.6</v>
      </c>
      <c r="C18" s="49">
        <v>20.6</v>
      </c>
      <c r="D18" s="49">
        <v>20.6</v>
      </c>
      <c r="E18" s="49">
        <v>20.6</v>
      </c>
      <c r="F18" s="49">
        <v>20.6</v>
      </c>
      <c r="G18" s="49">
        <v>20.6</v>
      </c>
      <c r="H18" s="49">
        <v>20.6</v>
      </c>
      <c r="I18" s="49">
        <v>20.6</v>
      </c>
      <c r="J18" s="49">
        <v>20.6</v>
      </c>
      <c r="K18" s="49">
        <v>25.3</v>
      </c>
      <c r="L18" s="49">
        <v>25.3</v>
      </c>
      <c r="M18" s="49">
        <v>25.3</v>
      </c>
      <c r="N18" s="49">
        <v>25.3</v>
      </c>
      <c r="O18" s="49">
        <v>25.3</v>
      </c>
      <c r="P18" s="49">
        <v>25.3</v>
      </c>
      <c r="Q18" s="49">
        <v>25.3</v>
      </c>
      <c r="R18" s="49">
        <v>25.3</v>
      </c>
      <c r="S18" s="49">
        <v>25.3</v>
      </c>
      <c r="T18" s="49">
        <v>25.3</v>
      </c>
      <c r="U18" s="49">
        <v>25.3</v>
      </c>
      <c r="V18" s="49">
        <v>25.3</v>
      </c>
      <c r="W18" s="50">
        <v>25.3</v>
      </c>
      <c r="X18" s="50">
        <v>25.3</v>
      </c>
      <c r="Y18" s="50">
        <v>25.3</v>
      </c>
      <c r="Z18" s="50">
        <v>25.3</v>
      </c>
      <c r="AA18" s="50">
        <v>25.3</v>
      </c>
      <c r="AB18" s="50">
        <v>25.3</v>
      </c>
      <c r="AC18" s="50">
        <v>25.3</v>
      </c>
      <c r="AD18" s="50">
        <v>20</v>
      </c>
      <c r="AE18" s="50">
        <v>20</v>
      </c>
      <c r="AF18" s="50">
        <v>20</v>
      </c>
      <c r="AG18" s="61">
        <v>30</v>
      </c>
      <c r="AH18" s="56">
        <f t="shared" si="2"/>
        <v>25.3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49">
        <v>6.2</v>
      </c>
      <c r="S19" s="49">
        <v>6.2</v>
      </c>
      <c r="T19" s="49">
        <v>6.2</v>
      </c>
      <c r="U19" s="49">
        <v>6.2</v>
      </c>
      <c r="V19" s="49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49">
        <v>11</v>
      </c>
      <c r="M20" s="49">
        <v>11</v>
      </c>
      <c r="N20" s="49">
        <v>11</v>
      </c>
      <c r="O20" s="49">
        <v>11</v>
      </c>
      <c r="P20" s="49">
        <v>11</v>
      </c>
      <c r="Q20" s="49">
        <v>11</v>
      </c>
      <c r="R20" s="49">
        <v>11</v>
      </c>
      <c r="S20" s="49">
        <v>11</v>
      </c>
      <c r="T20" s="49">
        <v>11</v>
      </c>
      <c r="U20" s="49">
        <v>11</v>
      </c>
      <c r="V20" s="49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17</v>
      </c>
      <c r="C21" s="49">
        <v>17</v>
      </c>
      <c r="D21" s="49">
        <v>17</v>
      </c>
      <c r="E21" s="49">
        <v>17</v>
      </c>
      <c r="F21" s="49">
        <v>17</v>
      </c>
      <c r="G21" s="49">
        <v>17</v>
      </c>
      <c r="H21" s="49">
        <v>17</v>
      </c>
      <c r="I21" s="49">
        <v>17</v>
      </c>
      <c r="J21" s="49">
        <v>17</v>
      </c>
      <c r="K21" s="49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49">
        <v>22</v>
      </c>
      <c r="S21" s="49">
        <v>22</v>
      </c>
      <c r="T21" s="49">
        <v>22</v>
      </c>
      <c r="U21" s="49">
        <v>22</v>
      </c>
      <c r="V21" s="49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17</v>
      </c>
      <c r="AF21" s="50">
        <v>17</v>
      </c>
      <c r="AG21" s="61">
        <v>25</v>
      </c>
      <c r="AH21" s="56">
        <f t="shared" si="2"/>
        <v>22</v>
      </c>
      <c r="AI21" s="57">
        <f t="shared" si="3"/>
        <v>17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0</v>
      </c>
      <c r="C22" s="49">
        <v>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50">
        <v>0</v>
      </c>
      <c r="X22" s="50">
        <v>0</v>
      </c>
      <c r="Y22" s="50">
        <v>0</v>
      </c>
      <c r="Z22" s="50">
        <v>0</v>
      </c>
      <c r="AA22" s="50"/>
      <c r="AB22" s="50"/>
      <c r="AC22" s="50"/>
      <c r="AD22" s="50"/>
      <c r="AE22" s="50"/>
      <c r="AF22" s="50"/>
      <c r="AG22" s="61">
        <v>25</v>
      </c>
      <c r="AH22" s="56">
        <f t="shared" si="2"/>
        <v>0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18</v>
      </c>
      <c r="C23" s="49">
        <v>15</v>
      </c>
      <c r="D23" s="49">
        <v>15</v>
      </c>
      <c r="E23" s="49">
        <v>15</v>
      </c>
      <c r="F23" s="49">
        <v>15</v>
      </c>
      <c r="G23" s="49">
        <v>15</v>
      </c>
      <c r="H23" s="49">
        <v>15</v>
      </c>
      <c r="I23" s="49">
        <v>15</v>
      </c>
      <c r="J23" s="49">
        <v>15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49">
        <v>22</v>
      </c>
      <c r="S23" s="49">
        <v>22</v>
      </c>
      <c r="T23" s="49">
        <v>22</v>
      </c>
      <c r="U23" s="49">
        <v>22</v>
      </c>
      <c r="V23" s="49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</v>
      </c>
      <c r="AI23" s="57">
        <f t="shared" si="3"/>
        <v>15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15</v>
      </c>
      <c r="C24" s="49">
        <v>15</v>
      </c>
      <c r="D24" s="49">
        <v>15</v>
      </c>
      <c r="E24" s="49">
        <v>15</v>
      </c>
      <c r="F24" s="49">
        <v>15</v>
      </c>
      <c r="G24" s="49">
        <v>15</v>
      </c>
      <c r="H24" s="49">
        <v>15</v>
      </c>
      <c r="I24" s="49">
        <v>15</v>
      </c>
      <c r="J24" s="49">
        <v>15</v>
      </c>
      <c r="K24" s="49">
        <v>20</v>
      </c>
      <c r="L24" s="49">
        <v>20</v>
      </c>
      <c r="M24" s="49">
        <v>20</v>
      </c>
      <c r="N24" s="49">
        <v>20</v>
      </c>
      <c r="O24" s="49">
        <v>20</v>
      </c>
      <c r="P24" s="49">
        <v>20</v>
      </c>
      <c r="Q24" s="49">
        <v>20</v>
      </c>
      <c r="R24" s="49">
        <v>20</v>
      </c>
      <c r="S24" s="49">
        <v>20</v>
      </c>
      <c r="T24" s="49">
        <v>20</v>
      </c>
      <c r="U24" s="49">
        <v>20</v>
      </c>
      <c r="V24" s="49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20</v>
      </c>
      <c r="AE24" s="50">
        <v>20</v>
      </c>
      <c r="AF24" s="50">
        <v>15</v>
      </c>
      <c r="AG24" s="61">
        <v>24.2</v>
      </c>
      <c r="AH24" s="56">
        <f t="shared" si="2"/>
        <v>20</v>
      </c>
      <c r="AI24" s="57">
        <f t="shared" si="3"/>
        <v>15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49">
        <v>10</v>
      </c>
      <c r="M25" s="49">
        <v>10</v>
      </c>
      <c r="N25" s="49">
        <v>10</v>
      </c>
      <c r="O25" s="49">
        <v>10</v>
      </c>
      <c r="P25" s="49">
        <v>10</v>
      </c>
      <c r="Q25" s="49">
        <v>10</v>
      </c>
      <c r="R25" s="49">
        <v>10</v>
      </c>
      <c r="S25" s="49">
        <v>10</v>
      </c>
      <c r="T25" s="49">
        <v>10</v>
      </c>
      <c r="U25" s="49">
        <v>10</v>
      </c>
      <c r="V25" s="49">
        <v>10</v>
      </c>
      <c r="W25" s="50">
        <v>14</v>
      </c>
      <c r="X25" s="50">
        <v>14</v>
      </c>
      <c r="Y25" s="50">
        <v>14</v>
      </c>
      <c r="Z25" s="50">
        <v>14</v>
      </c>
      <c r="AA25" s="50">
        <v>14</v>
      </c>
      <c r="AB25" s="50">
        <v>14</v>
      </c>
      <c r="AC25" s="50">
        <v>14</v>
      </c>
      <c r="AD25" s="50">
        <v>10</v>
      </c>
      <c r="AE25" s="50">
        <v>10</v>
      </c>
      <c r="AF25" s="50">
        <v>10</v>
      </c>
      <c r="AG25" s="61">
        <v>20</v>
      </c>
      <c r="AH25" s="56">
        <f>MAX(B25:AF25)</f>
        <v>14</v>
      </c>
      <c r="AI25" s="57">
        <f>MIN(B25:AF25)</f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0">
        <v>15</v>
      </c>
      <c r="Z26" s="50">
        <v>15</v>
      </c>
      <c r="AA26" s="50">
        <v>15</v>
      </c>
      <c r="AB26" s="50">
        <v>15</v>
      </c>
      <c r="AC26" s="50">
        <v>15</v>
      </c>
      <c r="AD26" s="50">
        <v>15</v>
      </c>
      <c r="AE26" s="50">
        <v>15</v>
      </c>
      <c r="AF26" s="50">
        <v>10</v>
      </c>
      <c r="AG26" s="61">
        <v>23.5</v>
      </c>
      <c r="AH26" s="56">
        <f t="shared" si="2"/>
        <v>15</v>
      </c>
      <c r="AI26" s="57">
        <f t="shared" si="3"/>
        <v>10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1">
        <v>22.2</v>
      </c>
      <c r="AH27" s="56">
        <f t="shared" si="2"/>
        <v>0</v>
      </c>
      <c r="AI27" s="57">
        <f t="shared" si="3"/>
        <v>0</v>
      </c>
      <c r="AK27" s="58"/>
      <c r="AL27" s="3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8</v>
      </c>
      <c r="C29" s="49">
        <v>8</v>
      </c>
      <c r="D29" s="49">
        <v>8</v>
      </c>
      <c r="E29" s="49">
        <v>8</v>
      </c>
      <c r="F29" s="49">
        <v>8</v>
      </c>
      <c r="G29" s="49">
        <v>8</v>
      </c>
      <c r="H29" s="49">
        <v>8</v>
      </c>
      <c r="I29" s="49">
        <v>8</v>
      </c>
      <c r="J29" s="49">
        <v>8</v>
      </c>
      <c r="K29" s="49">
        <v>8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8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150</v>
      </c>
      <c r="C34" s="63">
        <v>150</v>
      </c>
      <c r="D34" s="63">
        <v>150</v>
      </c>
      <c r="E34" s="63">
        <v>150</v>
      </c>
      <c r="F34" s="63">
        <v>150</v>
      </c>
      <c r="G34" s="63">
        <v>150</v>
      </c>
      <c r="H34" s="63">
        <v>150</v>
      </c>
      <c r="I34" s="63">
        <v>150</v>
      </c>
      <c r="J34" s="63">
        <v>150</v>
      </c>
      <c r="K34" s="63">
        <v>150</v>
      </c>
      <c r="L34" s="63">
        <v>150</v>
      </c>
      <c r="M34" s="63">
        <v>150</v>
      </c>
      <c r="N34" s="63">
        <v>150</v>
      </c>
      <c r="O34" s="63">
        <v>150</v>
      </c>
      <c r="P34" s="63">
        <v>150</v>
      </c>
      <c r="Q34" s="63">
        <v>150</v>
      </c>
      <c r="R34" s="63">
        <v>150</v>
      </c>
      <c r="S34" s="63">
        <v>150</v>
      </c>
      <c r="T34" s="63">
        <v>150</v>
      </c>
      <c r="U34" s="63">
        <v>150</v>
      </c>
      <c r="V34" s="63">
        <v>150</v>
      </c>
      <c r="W34" s="63">
        <v>150</v>
      </c>
      <c r="X34" s="63">
        <v>150</v>
      </c>
      <c r="Y34" s="63">
        <v>150</v>
      </c>
      <c r="Z34" s="63">
        <v>170</v>
      </c>
      <c r="AA34" s="63">
        <v>170</v>
      </c>
      <c r="AB34" s="63">
        <v>170</v>
      </c>
      <c r="AC34" s="63">
        <v>170</v>
      </c>
      <c r="AD34" s="63">
        <v>170</v>
      </c>
      <c r="AE34" s="63">
        <v>170</v>
      </c>
      <c r="AF34" s="63">
        <v>170</v>
      </c>
      <c r="AG34" s="69">
        <v>85</v>
      </c>
      <c r="AH34" s="56">
        <f t="shared" si="2"/>
        <v>170</v>
      </c>
      <c r="AI34" s="57">
        <f t="shared" si="3"/>
        <v>150</v>
      </c>
      <c r="AK34" s="58"/>
    </row>
    <row r="35" spans="1:88" ht="15.75" thickBot="1" x14ac:dyDescent="0.3">
      <c r="A35" s="71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72">
        <f>47+56</f>
        <v>103</v>
      </c>
      <c r="M35" s="72">
        <f>47+56</f>
        <v>103</v>
      </c>
      <c r="N35" s="72">
        <v>110</v>
      </c>
      <c r="O35" s="72">
        <v>110</v>
      </c>
      <c r="P35" s="72">
        <v>110</v>
      </c>
      <c r="Q35" s="72">
        <v>110</v>
      </c>
      <c r="R35" s="72">
        <v>110</v>
      </c>
      <c r="S35" s="72">
        <v>110</v>
      </c>
      <c r="T35" s="72">
        <v>110</v>
      </c>
      <c r="U35" s="72">
        <v>131</v>
      </c>
      <c r="V35" s="72">
        <v>131</v>
      </c>
      <c r="W35" s="72">
        <v>131</v>
      </c>
      <c r="X35" s="72">
        <v>131</v>
      </c>
      <c r="Y35" s="72">
        <v>131</v>
      </c>
      <c r="Z35" s="72">
        <v>131</v>
      </c>
      <c r="AA35" s="72">
        <v>131</v>
      </c>
      <c r="AB35" s="72">
        <v>131</v>
      </c>
      <c r="AC35" s="72">
        <v>131</v>
      </c>
      <c r="AD35" s="72">
        <v>131</v>
      </c>
      <c r="AE35" s="72">
        <v>120</v>
      </c>
      <c r="AF35" s="63">
        <v>110</v>
      </c>
      <c r="AG35" s="69">
        <v>240</v>
      </c>
      <c r="AH35" s="56">
        <f t="shared" si="2"/>
        <v>131</v>
      </c>
      <c r="AI35" s="57">
        <f t="shared" si="3"/>
        <v>103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529</v>
      </c>
      <c r="C36" s="74">
        <f t="shared" si="4"/>
        <v>526</v>
      </c>
      <c r="D36" s="74">
        <f t="shared" si="4"/>
        <v>506</v>
      </c>
      <c r="E36" s="74">
        <f t="shared" si="4"/>
        <v>506</v>
      </c>
      <c r="F36" s="74">
        <f t="shared" si="4"/>
        <v>506</v>
      </c>
      <c r="G36" s="74">
        <f t="shared" si="4"/>
        <v>506</v>
      </c>
      <c r="H36" s="74">
        <f t="shared" si="4"/>
        <v>506</v>
      </c>
      <c r="I36" s="74">
        <f t="shared" si="4"/>
        <v>506</v>
      </c>
      <c r="J36" s="74">
        <f t="shared" si="4"/>
        <v>526</v>
      </c>
      <c r="K36" s="74">
        <f t="shared" si="4"/>
        <v>587.4</v>
      </c>
      <c r="L36" s="74">
        <f t="shared" si="4"/>
        <v>606.4</v>
      </c>
      <c r="M36" s="74">
        <f t="shared" si="4"/>
        <v>596.4</v>
      </c>
      <c r="N36" s="74">
        <f t="shared" si="4"/>
        <v>586.20000000000005</v>
      </c>
      <c r="O36" s="74">
        <f t="shared" si="4"/>
        <v>586.20000000000005</v>
      </c>
      <c r="P36" s="74">
        <f t="shared" si="4"/>
        <v>606.20000000000005</v>
      </c>
      <c r="Q36" s="74">
        <f t="shared" si="4"/>
        <v>596.20000000000005</v>
      </c>
      <c r="R36" s="74">
        <f t="shared" si="4"/>
        <v>576.4</v>
      </c>
      <c r="S36" s="74">
        <f t="shared" si="4"/>
        <v>572.4</v>
      </c>
      <c r="T36" s="74">
        <f t="shared" si="4"/>
        <v>576.4</v>
      </c>
      <c r="U36" s="74">
        <f t="shared" si="4"/>
        <v>591.4</v>
      </c>
      <c r="V36" s="74">
        <f t="shared" si="4"/>
        <v>706.40000000000009</v>
      </c>
      <c r="W36" s="74">
        <f t="shared" si="4"/>
        <v>802.40000000000009</v>
      </c>
      <c r="X36" s="74">
        <f t="shared" si="4"/>
        <v>816.40000000000009</v>
      </c>
      <c r="Y36" s="74">
        <f t="shared" si="4"/>
        <v>796.40000000000009</v>
      </c>
      <c r="Z36" s="74">
        <f t="shared" si="4"/>
        <v>762.40000000000009</v>
      </c>
      <c r="AA36" s="74">
        <f t="shared" si="4"/>
        <v>662.4</v>
      </c>
      <c r="AB36" s="74">
        <f t="shared" si="4"/>
        <v>662.4</v>
      </c>
      <c r="AC36" s="74">
        <f t="shared" si="4"/>
        <v>662.4</v>
      </c>
      <c r="AD36" s="74">
        <f t="shared" si="4"/>
        <v>627.29999999999995</v>
      </c>
      <c r="AE36" s="74">
        <f t="shared" si="4"/>
        <v>582.29999999999995</v>
      </c>
      <c r="AF36" s="74">
        <f t="shared" si="4"/>
        <v>562.29999999999995</v>
      </c>
      <c r="AG36" s="69">
        <f>SUM(AG11:AG35)</f>
        <v>1431.83</v>
      </c>
      <c r="AH36" s="56">
        <f t="shared" si="2"/>
        <v>816.40000000000009</v>
      </c>
      <c r="AI36" s="57">
        <f t="shared" si="3"/>
        <v>506</v>
      </c>
      <c r="AK36" s="58"/>
    </row>
    <row r="37" spans="1:88" x14ac:dyDescent="0.25">
      <c r="A37" s="59" t="s">
        <v>45</v>
      </c>
      <c r="B37" s="63">
        <v>111.3</v>
      </c>
      <c r="C37" s="63">
        <v>111.3</v>
      </c>
      <c r="D37" s="63">
        <v>111.3</v>
      </c>
      <c r="E37" s="63">
        <v>111.5</v>
      </c>
      <c r="F37" s="63">
        <v>111.4</v>
      </c>
      <c r="G37" s="63">
        <v>111.1</v>
      </c>
      <c r="H37" s="63">
        <v>125</v>
      </c>
      <c r="I37" s="63">
        <v>126.5</v>
      </c>
      <c r="J37" s="63">
        <v>137.9</v>
      </c>
      <c r="K37" s="63">
        <v>138.80000000000001</v>
      </c>
      <c r="L37" s="52">
        <v>139</v>
      </c>
      <c r="M37" s="52">
        <v>139.80000000000001</v>
      </c>
      <c r="N37" s="50">
        <v>130.69999999999999</v>
      </c>
      <c r="O37" s="50">
        <v>131.30000000000001</v>
      </c>
      <c r="P37" s="50">
        <v>131.19999999999999</v>
      </c>
      <c r="Q37" s="50">
        <v>131.19999999999999</v>
      </c>
      <c r="R37" s="50">
        <v>131.5</v>
      </c>
      <c r="S37" s="50">
        <v>131.4</v>
      </c>
      <c r="T37" s="50">
        <v>139.5</v>
      </c>
      <c r="U37" s="50">
        <v>141.5</v>
      </c>
      <c r="V37" s="50">
        <v>142.1</v>
      </c>
      <c r="W37" s="50">
        <v>142.1</v>
      </c>
      <c r="X37" s="50">
        <v>143</v>
      </c>
      <c r="Y37" s="50">
        <v>143</v>
      </c>
      <c r="Z37" s="50">
        <v>143</v>
      </c>
      <c r="AA37" s="50">
        <v>143.9</v>
      </c>
      <c r="AB37" s="50">
        <v>143.9</v>
      </c>
      <c r="AC37" s="50">
        <v>143.9</v>
      </c>
      <c r="AD37" s="50">
        <v>120</v>
      </c>
      <c r="AE37" s="49">
        <v>110</v>
      </c>
      <c r="AF37" s="49">
        <v>100</v>
      </c>
      <c r="AG37" s="64">
        <v>144</v>
      </c>
      <c r="AH37" s="56">
        <f t="shared" si="2"/>
        <v>143.9</v>
      </c>
      <c r="AI37" s="57">
        <f t="shared" si="3"/>
        <v>100</v>
      </c>
      <c r="AK37" s="58"/>
    </row>
    <row r="38" spans="1:88" x14ac:dyDescent="0.25">
      <c r="A38" s="68" t="s">
        <v>46</v>
      </c>
      <c r="B38" s="63">
        <v>35.200000000000003</v>
      </c>
      <c r="C38" s="63">
        <v>24.8</v>
      </c>
      <c r="D38" s="63">
        <v>24.8</v>
      </c>
      <c r="E38" s="63">
        <v>24.8</v>
      </c>
      <c r="F38" s="63">
        <v>24.8</v>
      </c>
      <c r="G38" s="63">
        <v>24.8</v>
      </c>
      <c r="H38" s="63">
        <v>34.799999999999997</v>
      </c>
      <c r="I38" s="63">
        <v>34.700000000000003</v>
      </c>
      <c r="J38" s="63">
        <v>34.9</v>
      </c>
      <c r="K38" s="63">
        <v>35.299999999999997</v>
      </c>
      <c r="L38" s="52">
        <v>35.299999999999997</v>
      </c>
      <c r="M38" s="52">
        <v>35.299999999999997</v>
      </c>
      <c r="N38" s="52">
        <v>29.8</v>
      </c>
      <c r="O38" s="52">
        <v>30.6</v>
      </c>
      <c r="P38" s="52">
        <v>24.7</v>
      </c>
      <c r="Q38" s="52">
        <v>24.7</v>
      </c>
      <c r="R38" s="52">
        <v>24.8</v>
      </c>
      <c r="S38" s="52">
        <v>34.799999999999997</v>
      </c>
      <c r="T38" s="52">
        <v>34.799999999999997</v>
      </c>
      <c r="U38" s="52">
        <v>34.700000000000003</v>
      </c>
      <c r="V38" s="52">
        <v>34.799999999999997</v>
      </c>
      <c r="W38" s="52">
        <v>34.799999999999997</v>
      </c>
      <c r="X38" s="52">
        <v>34.799999999999997</v>
      </c>
      <c r="Y38" s="52">
        <v>34.799999999999997</v>
      </c>
      <c r="Z38" s="52">
        <v>34.799999999999997</v>
      </c>
      <c r="AA38" s="52">
        <v>34.799999999999997</v>
      </c>
      <c r="AB38" s="52">
        <v>34.799999999999997</v>
      </c>
      <c r="AC38" s="52">
        <v>34.799999999999997</v>
      </c>
      <c r="AD38" s="52">
        <v>35</v>
      </c>
      <c r="AE38" s="63">
        <v>35</v>
      </c>
      <c r="AF38" s="63">
        <v>26</v>
      </c>
      <c r="AG38" s="69">
        <v>70</v>
      </c>
      <c r="AH38" s="56">
        <f t="shared" si="2"/>
        <v>35.299999999999997</v>
      </c>
      <c r="AI38" s="57">
        <f t="shared" si="3"/>
        <v>24.7</v>
      </c>
      <c r="AK38" s="58"/>
    </row>
    <row r="39" spans="1:88" x14ac:dyDescent="0.25">
      <c r="A39" s="68" t="s">
        <v>47</v>
      </c>
      <c r="B39" s="63">
        <v>32.5</v>
      </c>
      <c r="C39" s="63">
        <v>34.5</v>
      </c>
      <c r="D39" s="63">
        <v>34.299999999999997</v>
      </c>
      <c r="E39" s="63">
        <v>34.200000000000003</v>
      </c>
      <c r="F39" s="63">
        <v>34.200000000000003</v>
      </c>
      <c r="G39" s="63">
        <v>34.1</v>
      </c>
      <c r="H39" s="63">
        <v>60</v>
      </c>
      <c r="I39" s="63">
        <v>64.900000000000006</v>
      </c>
      <c r="J39" s="63">
        <v>68</v>
      </c>
      <c r="K39" s="63">
        <v>68</v>
      </c>
      <c r="L39" s="52">
        <v>67.8</v>
      </c>
      <c r="M39" s="52">
        <v>67.8</v>
      </c>
      <c r="N39" s="52">
        <v>67.400000000000006</v>
      </c>
      <c r="O39" s="52">
        <v>67.900000000000006</v>
      </c>
      <c r="P39" s="52">
        <v>57.9</v>
      </c>
      <c r="Q39" s="52">
        <v>58</v>
      </c>
      <c r="R39" s="52">
        <v>57.9</v>
      </c>
      <c r="S39" s="52">
        <v>61.8</v>
      </c>
      <c r="T39" s="52">
        <v>69.2</v>
      </c>
      <c r="U39" s="52">
        <v>69</v>
      </c>
      <c r="V39" s="52">
        <v>68.599999999999994</v>
      </c>
      <c r="W39" s="52">
        <v>68.599999999999994</v>
      </c>
      <c r="X39" s="52">
        <v>68.599999999999994</v>
      </c>
      <c r="Y39" s="52">
        <v>68.599999999999994</v>
      </c>
      <c r="Z39" s="52">
        <v>68.599999999999994</v>
      </c>
      <c r="AA39" s="52">
        <v>68.5</v>
      </c>
      <c r="AB39" s="52">
        <v>68.5</v>
      </c>
      <c r="AC39" s="52">
        <v>68.5</v>
      </c>
      <c r="AD39" s="52">
        <v>60</v>
      </c>
      <c r="AE39" s="63">
        <v>53</v>
      </c>
      <c r="AF39" s="63">
        <v>54</v>
      </c>
      <c r="AG39" s="69">
        <v>69</v>
      </c>
      <c r="AH39" s="56">
        <f t="shared" si="2"/>
        <v>69.2</v>
      </c>
      <c r="AI39" s="57">
        <f t="shared" si="3"/>
        <v>32.5</v>
      </c>
      <c r="AK39" s="58"/>
    </row>
    <row r="40" spans="1:88" x14ac:dyDescent="0.25">
      <c r="A40" s="68" t="s">
        <v>48</v>
      </c>
      <c r="B40" s="63">
        <v>35.5</v>
      </c>
      <c r="C40" s="63">
        <v>35</v>
      </c>
      <c r="D40" s="63">
        <v>35</v>
      </c>
      <c r="E40" s="63">
        <v>35</v>
      </c>
      <c r="F40" s="63">
        <v>35</v>
      </c>
      <c r="G40" s="63">
        <v>35</v>
      </c>
      <c r="H40" s="63">
        <v>35</v>
      </c>
      <c r="I40" s="63">
        <v>61.2</v>
      </c>
      <c r="J40" s="63">
        <v>61.2</v>
      </c>
      <c r="K40" s="63">
        <v>61.2</v>
      </c>
      <c r="L40" s="52">
        <v>61.2</v>
      </c>
      <c r="M40" s="52">
        <v>50.8</v>
      </c>
      <c r="N40" s="52">
        <v>39.6</v>
      </c>
      <c r="O40" s="52">
        <v>50.6</v>
      </c>
      <c r="P40" s="52">
        <v>49.6</v>
      </c>
      <c r="Q40" s="52">
        <v>40.299999999999997</v>
      </c>
      <c r="R40" s="52">
        <v>40.299999999999997</v>
      </c>
      <c r="S40" s="52">
        <v>50.4</v>
      </c>
      <c r="T40" s="52">
        <v>61.4</v>
      </c>
      <c r="U40" s="52">
        <v>51.4</v>
      </c>
      <c r="V40" s="52">
        <v>60.9</v>
      </c>
      <c r="W40" s="52">
        <v>60.9</v>
      </c>
      <c r="X40" s="52">
        <v>60.9</v>
      </c>
      <c r="Y40" s="52">
        <v>60.9</v>
      </c>
      <c r="Z40" s="52">
        <v>60.9</v>
      </c>
      <c r="AA40" s="52">
        <v>60.9</v>
      </c>
      <c r="AB40" s="52">
        <v>60.9</v>
      </c>
      <c r="AC40" s="52">
        <v>60.9</v>
      </c>
      <c r="AD40" s="52">
        <v>61.4</v>
      </c>
      <c r="AE40" s="63">
        <v>45</v>
      </c>
      <c r="AF40" s="63">
        <v>45</v>
      </c>
      <c r="AG40" s="69">
        <v>60</v>
      </c>
      <c r="AH40" s="56">
        <f t="shared" si="2"/>
        <v>61.4</v>
      </c>
      <c r="AI40" s="57">
        <f t="shared" si="3"/>
        <v>35</v>
      </c>
      <c r="AK40" s="58"/>
    </row>
    <row r="41" spans="1:88" x14ac:dyDescent="0.25">
      <c r="A41" s="68" t="s">
        <v>49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52">
        <v>0</v>
      </c>
      <c r="M41" s="52">
        <v>0</v>
      </c>
      <c r="N41" s="50">
        <v>0</v>
      </c>
      <c r="O41" s="50">
        <v>0</v>
      </c>
      <c r="P41" s="50">
        <v>29.3</v>
      </c>
      <c r="Q41" s="50">
        <v>29</v>
      </c>
      <c r="R41" s="50">
        <v>29</v>
      </c>
      <c r="S41" s="50">
        <v>29.3</v>
      </c>
      <c r="T41" s="50">
        <v>29.3</v>
      </c>
      <c r="U41" s="50">
        <v>29.3</v>
      </c>
      <c r="V41" s="50">
        <v>29.3</v>
      </c>
      <c r="W41" s="50">
        <v>29.3</v>
      </c>
      <c r="X41" s="50">
        <v>29.3</v>
      </c>
      <c r="Y41" s="50">
        <v>29.3</v>
      </c>
      <c r="Z41" s="50">
        <v>29.3</v>
      </c>
      <c r="AA41" s="50">
        <v>29.3</v>
      </c>
      <c r="AB41" s="50">
        <v>29.3</v>
      </c>
      <c r="AC41" s="50">
        <v>29.3</v>
      </c>
      <c r="AD41" s="50">
        <v>29.3</v>
      </c>
      <c r="AE41" s="63">
        <v>25</v>
      </c>
      <c r="AF41" s="63">
        <v>25</v>
      </c>
      <c r="AG41" s="69">
        <v>30</v>
      </c>
      <c r="AH41" s="56">
        <f t="shared" si="2"/>
        <v>29.3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2">
        <v>0</v>
      </c>
      <c r="M42" s="52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16.600000000000001</v>
      </c>
      <c r="C43" s="75">
        <v>16.5</v>
      </c>
      <c r="D43" s="75">
        <v>16.5</v>
      </c>
      <c r="E43" s="75">
        <v>16.5</v>
      </c>
      <c r="F43" s="75">
        <v>16.5</v>
      </c>
      <c r="G43" s="75">
        <v>16.600000000000001</v>
      </c>
      <c r="H43" s="75">
        <v>16.600000000000001</v>
      </c>
      <c r="I43" s="75">
        <v>16.5</v>
      </c>
      <c r="J43" s="75">
        <v>16.5</v>
      </c>
      <c r="K43" s="75">
        <v>16.7</v>
      </c>
      <c r="L43" s="52">
        <v>17</v>
      </c>
      <c r="M43" s="50">
        <v>17</v>
      </c>
      <c r="N43" s="50">
        <v>16.5</v>
      </c>
      <c r="O43" s="50">
        <v>16.5</v>
      </c>
      <c r="P43" s="50">
        <v>16.5</v>
      </c>
      <c r="Q43" s="50">
        <v>16.5</v>
      </c>
      <c r="R43" s="50">
        <v>16.5</v>
      </c>
      <c r="S43" s="50">
        <v>16.5</v>
      </c>
      <c r="T43" s="50">
        <v>17.3</v>
      </c>
      <c r="U43" s="50">
        <v>17.3</v>
      </c>
      <c r="V43" s="50">
        <v>17.3</v>
      </c>
      <c r="W43" s="50">
        <v>17.3</v>
      </c>
      <c r="X43" s="50">
        <v>17.3</v>
      </c>
      <c r="Y43" s="50">
        <v>17.3</v>
      </c>
      <c r="Z43" s="50">
        <v>17.3</v>
      </c>
      <c r="AA43" s="50">
        <v>17.3</v>
      </c>
      <c r="AB43" s="50">
        <v>17.3</v>
      </c>
      <c r="AC43" s="50">
        <v>17.3</v>
      </c>
      <c r="AD43" s="50">
        <v>17.3</v>
      </c>
      <c r="AE43" s="50">
        <v>17.3</v>
      </c>
      <c r="AF43" s="50">
        <v>17.3</v>
      </c>
      <c r="AG43" s="69">
        <v>24</v>
      </c>
      <c r="AH43" s="56">
        <f t="shared" si="2"/>
        <v>17.3</v>
      </c>
      <c r="AI43" s="57">
        <f t="shared" si="3"/>
        <v>16.5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2.9</v>
      </c>
      <c r="F44" s="63">
        <v>2.9</v>
      </c>
      <c r="G44" s="63">
        <v>2.9</v>
      </c>
      <c r="H44" s="63">
        <v>2.9</v>
      </c>
      <c r="I44" s="63">
        <v>2.9</v>
      </c>
      <c r="J44" s="63">
        <v>2.5</v>
      </c>
      <c r="K44" s="63">
        <v>2.5</v>
      </c>
      <c r="L44" s="52">
        <v>2.5</v>
      </c>
      <c r="M44" s="52">
        <v>2.5</v>
      </c>
      <c r="N44" s="50">
        <v>2.5</v>
      </c>
      <c r="O44" s="50">
        <v>2.5</v>
      </c>
      <c r="P44" s="50">
        <v>2.5</v>
      </c>
      <c r="Q44" s="50">
        <v>2.5</v>
      </c>
      <c r="R44" s="50">
        <v>2.5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>
        <v>2.5</v>
      </c>
      <c r="Z44" s="50">
        <v>2.5</v>
      </c>
      <c r="AA44" s="50">
        <v>2.5</v>
      </c>
      <c r="AB44" s="50">
        <v>2.5</v>
      </c>
      <c r="AC44" s="50">
        <v>2.5</v>
      </c>
      <c r="AD44" s="50">
        <v>2.5</v>
      </c>
      <c r="AE44" s="50">
        <v>2.5</v>
      </c>
      <c r="AF44" s="50">
        <v>2.5</v>
      </c>
      <c r="AG44" s="69">
        <v>15</v>
      </c>
      <c r="AH44" s="56">
        <f t="shared" si="2"/>
        <v>2.9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13</v>
      </c>
      <c r="D45" s="63">
        <v>13</v>
      </c>
      <c r="E45" s="63">
        <v>13</v>
      </c>
      <c r="F45" s="63">
        <v>13</v>
      </c>
      <c r="G45" s="63">
        <v>13</v>
      </c>
      <c r="H45" s="63">
        <v>13</v>
      </c>
      <c r="I45" s="63">
        <v>13</v>
      </c>
      <c r="J45" s="63">
        <v>13</v>
      </c>
      <c r="K45" s="63">
        <v>13</v>
      </c>
      <c r="L45" s="52">
        <v>13</v>
      </c>
      <c r="M45" s="52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9">
        <v>14.1</v>
      </c>
      <c r="AH45" s="56">
        <f t="shared" si="2"/>
        <v>13</v>
      </c>
      <c r="AI45" s="57">
        <f t="shared" si="3"/>
        <v>13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14</v>
      </c>
      <c r="C46" s="75">
        <v>14</v>
      </c>
      <c r="D46" s="75">
        <v>14</v>
      </c>
      <c r="E46" s="75">
        <v>14</v>
      </c>
      <c r="F46" s="75">
        <v>14</v>
      </c>
      <c r="G46" s="75">
        <v>14</v>
      </c>
      <c r="H46" s="75">
        <v>14</v>
      </c>
      <c r="I46" s="75">
        <v>14</v>
      </c>
      <c r="J46" s="75">
        <v>14</v>
      </c>
      <c r="K46" s="75">
        <v>14</v>
      </c>
      <c r="L46" s="52">
        <v>14</v>
      </c>
      <c r="M46" s="52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9">
        <v>14</v>
      </c>
      <c r="AH46" s="56">
        <f t="shared" si="2"/>
        <v>14</v>
      </c>
      <c r="AI46" s="57">
        <f t="shared" si="3"/>
        <v>14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2">
        <v>9.6</v>
      </c>
      <c r="M47" s="52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52">
        <v>0</v>
      </c>
      <c r="M48" s="52">
        <v>0</v>
      </c>
      <c r="N48" s="50">
        <v>0</v>
      </c>
      <c r="O48" s="50">
        <v>0</v>
      </c>
      <c r="P48" s="50">
        <v>0</v>
      </c>
      <c r="Q48" s="50">
        <v>0</v>
      </c>
      <c r="R48" s="50">
        <v>3</v>
      </c>
      <c r="S48" s="50">
        <v>3</v>
      </c>
      <c r="T48" s="50">
        <v>3</v>
      </c>
      <c r="U48" s="50">
        <v>1</v>
      </c>
      <c r="V48" s="50">
        <v>1</v>
      </c>
      <c r="W48" s="50">
        <v>1</v>
      </c>
      <c r="X48" s="50">
        <v>1</v>
      </c>
      <c r="Y48" s="50">
        <v>1</v>
      </c>
      <c r="Z48" s="50">
        <v>1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9">
        <v>6.2</v>
      </c>
      <c r="AH48" s="56">
        <f t="shared" si="2"/>
        <v>3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271.24000000000007</v>
      </c>
      <c r="C50" s="74">
        <f t="shared" si="6"/>
        <v>262.24</v>
      </c>
      <c r="D50" s="74">
        <f t="shared" si="6"/>
        <v>262.04000000000002</v>
      </c>
      <c r="E50" s="74">
        <f t="shared" si="6"/>
        <v>265.04000000000002</v>
      </c>
      <c r="F50" s="74">
        <f t="shared" si="6"/>
        <v>264.94000000000005</v>
      </c>
      <c r="G50" s="74">
        <f t="shared" si="6"/>
        <v>264.64000000000004</v>
      </c>
      <c r="H50" s="74">
        <f t="shared" si="6"/>
        <v>314.44000000000005</v>
      </c>
      <c r="I50" s="74">
        <f t="shared" si="6"/>
        <v>346.84000000000003</v>
      </c>
      <c r="J50" s="74">
        <f t="shared" si="6"/>
        <v>361.14000000000004</v>
      </c>
      <c r="K50" s="74">
        <f t="shared" si="6"/>
        <v>362.64000000000004</v>
      </c>
      <c r="L50" s="74">
        <f t="shared" si="6"/>
        <v>362.94000000000005</v>
      </c>
      <c r="M50" s="74">
        <f t="shared" si="6"/>
        <v>353.34000000000009</v>
      </c>
      <c r="N50" s="74">
        <f t="shared" si="6"/>
        <v>326.64000000000004</v>
      </c>
      <c r="O50" s="74">
        <f t="shared" si="6"/>
        <v>339.54000000000008</v>
      </c>
      <c r="P50" s="74">
        <f t="shared" si="6"/>
        <v>351.84000000000003</v>
      </c>
      <c r="Q50" s="74">
        <f t="shared" si="6"/>
        <v>342.34000000000003</v>
      </c>
      <c r="R50" s="74">
        <f t="shared" si="6"/>
        <v>345.64000000000004</v>
      </c>
      <c r="S50" s="74">
        <f t="shared" si="6"/>
        <v>369.84000000000003</v>
      </c>
      <c r="T50" s="74">
        <f t="shared" si="6"/>
        <v>397.14000000000004</v>
      </c>
      <c r="U50" s="74">
        <f t="shared" si="6"/>
        <v>386.84000000000003</v>
      </c>
      <c r="V50" s="74">
        <f t="shared" si="6"/>
        <v>396.64000000000004</v>
      </c>
      <c r="W50" s="74">
        <f t="shared" si="6"/>
        <v>396.64000000000004</v>
      </c>
      <c r="X50" s="74">
        <f t="shared" si="6"/>
        <v>397.54000000000008</v>
      </c>
      <c r="Y50" s="74">
        <f t="shared" si="6"/>
        <v>397.54000000000008</v>
      </c>
      <c r="Z50" s="74">
        <f>SUM(Z37:Z49)</f>
        <v>397.54000000000008</v>
      </c>
      <c r="AA50" s="74">
        <f t="shared" si="6"/>
        <v>397.34000000000003</v>
      </c>
      <c r="AB50" s="74">
        <f t="shared" si="6"/>
        <v>397.34000000000003</v>
      </c>
      <c r="AC50" s="74">
        <f t="shared" si="6"/>
        <v>397.34000000000003</v>
      </c>
      <c r="AD50" s="74">
        <f t="shared" si="6"/>
        <v>365.64000000000004</v>
      </c>
      <c r="AE50" s="74">
        <f t="shared" si="6"/>
        <v>327.94000000000005</v>
      </c>
      <c r="AF50" s="74">
        <f t="shared" si="6"/>
        <v>309.94000000000005</v>
      </c>
      <c r="AG50" s="79">
        <f>SUM(AG37:AG49)</f>
        <v>489.91</v>
      </c>
      <c r="AH50" s="56">
        <f t="shared" si="2"/>
        <v>397.54000000000008</v>
      </c>
      <c r="AI50" s="57">
        <f t="shared" si="3"/>
        <v>262.04000000000002</v>
      </c>
      <c r="AJ50" s="1">
        <f>AVERAGE(B50:AF50)</f>
        <v>346.2174193548388</v>
      </c>
      <c r="AK50" s="3">
        <f>(430-AJ50)*24</f>
        <v>2010.7819354838689</v>
      </c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14.7</v>
      </c>
      <c r="M51" s="80">
        <v>14.7</v>
      </c>
      <c r="N51" s="80">
        <v>20.3</v>
      </c>
      <c r="O51" s="80">
        <v>19.899999999999999</v>
      </c>
      <c r="P51" s="50">
        <v>10.9</v>
      </c>
      <c r="Q51" s="50">
        <v>10.9</v>
      </c>
      <c r="R51" s="50">
        <v>11</v>
      </c>
      <c r="S51" s="50">
        <v>11.9</v>
      </c>
      <c r="T51" s="50">
        <v>11.9</v>
      </c>
      <c r="U51" s="50">
        <v>11.9</v>
      </c>
      <c r="V51" s="50">
        <v>12.3</v>
      </c>
      <c r="W51" s="50">
        <v>29.8</v>
      </c>
      <c r="X51" s="50">
        <v>29.8</v>
      </c>
      <c r="Y51" s="50">
        <v>29.8</v>
      </c>
      <c r="Z51" s="50">
        <v>19.8</v>
      </c>
      <c r="AA51" s="50">
        <v>11.9</v>
      </c>
      <c r="AB51" s="50">
        <v>11.9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29.8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8.1</v>
      </c>
      <c r="M52" s="80">
        <v>8.1</v>
      </c>
      <c r="N52" s="80">
        <v>10.1</v>
      </c>
      <c r="O52" s="80">
        <v>11.3</v>
      </c>
      <c r="P52" s="52">
        <v>4.8</v>
      </c>
      <c r="Q52" s="52">
        <v>4.8</v>
      </c>
      <c r="R52" s="50">
        <v>4.7</v>
      </c>
      <c r="S52" s="50">
        <v>5.4</v>
      </c>
      <c r="T52" s="50">
        <v>5</v>
      </c>
      <c r="U52" s="50">
        <v>5</v>
      </c>
      <c r="V52" s="52">
        <v>4.9000000000000004</v>
      </c>
      <c r="W52" s="52">
        <v>15.3</v>
      </c>
      <c r="X52" s="52">
        <v>15.3</v>
      </c>
      <c r="Y52" s="52">
        <v>15.3</v>
      </c>
      <c r="Z52" s="52">
        <v>9.8000000000000007</v>
      </c>
      <c r="AA52" s="52">
        <v>3.8</v>
      </c>
      <c r="AB52" s="52">
        <v>3.8</v>
      </c>
      <c r="AC52" s="50">
        <v>0</v>
      </c>
      <c r="AD52" s="50">
        <v>0</v>
      </c>
      <c r="AE52" s="50">
        <v>0</v>
      </c>
      <c r="AF52" s="50">
        <v>0</v>
      </c>
      <c r="AG52" s="69">
        <v>32</v>
      </c>
      <c r="AH52" s="56">
        <f t="shared" si="2"/>
        <v>15.3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3</v>
      </c>
      <c r="M53" s="81">
        <v>3</v>
      </c>
      <c r="N53" s="81">
        <v>3.7</v>
      </c>
      <c r="O53" s="81">
        <v>4.2</v>
      </c>
      <c r="P53" s="82">
        <v>1.8</v>
      </c>
      <c r="Q53" s="82">
        <v>1.8</v>
      </c>
      <c r="R53" s="50">
        <v>1.7</v>
      </c>
      <c r="S53" s="50">
        <v>2</v>
      </c>
      <c r="T53" s="50">
        <v>1.8</v>
      </c>
      <c r="U53" s="50">
        <v>1.8</v>
      </c>
      <c r="V53" s="82">
        <v>1.8</v>
      </c>
      <c r="W53" s="82">
        <v>5.6</v>
      </c>
      <c r="X53" s="82">
        <v>5.6</v>
      </c>
      <c r="Y53" s="82">
        <v>5.6</v>
      </c>
      <c r="Z53" s="82">
        <v>3.6</v>
      </c>
      <c r="AA53" s="82">
        <v>1.4</v>
      </c>
      <c r="AB53" s="82">
        <v>1.4</v>
      </c>
      <c r="AC53" s="50">
        <v>0</v>
      </c>
      <c r="AD53" s="50">
        <v>0</v>
      </c>
      <c r="AE53" s="50">
        <v>0</v>
      </c>
      <c r="AF53" s="50">
        <v>0</v>
      </c>
      <c r="AG53" s="83">
        <v>14</v>
      </c>
      <c r="AH53" s="56">
        <f t="shared" si="2"/>
        <v>5.6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25.799999999999997</v>
      </c>
      <c r="M54" s="74">
        <f t="shared" si="7"/>
        <v>25.799999999999997</v>
      </c>
      <c r="N54" s="74">
        <f t="shared" si="7"/>
        <v>34.1</v>
      </c>
      <c r="O54" s="74">
        <f t="shared" si="7"/>
        <v>35.4</v>
      </c>
      <c r="P54" s="74">
        <f t="shared" si="7"/>
        <v>17.5</v>
      </c>
      <c r="Q54" s="74">
        <f t="shared" si="7"/>
        <v>17.5</v>
      </c>
      <c r="R54" s="74">
        <f t="shared" si="7"/>
        <v>17.399999999999999</v>
      </c>
      <c r="S54" s="74">
        <f t="shared" si="7"/>
        <v>19.3</v>
      </c>
      <c r="T54" s="74">
        <f t="shared" si="7"/>
        <v>18.7</v>
      </c>
      <c r="U54" s="74">
        <f t="shared" si="7"/>
        <v>18.7</v>
      </c>
      <c r="V54" s="74">
        <f t="shared" si="7"/>
        <v>19.000000000000004</v>
      </c>
      <c r="W54" s="74">
        <f t="shared" si="7"/>
        <v>50.7</v>
      </c>
      <c r="X54" s="74">
        <f t="shared" si="7"/>
        <v>50.7</v>
      </c>
      <c r="Y54" s="74">
        <f t="shared" si="7"/>
        <v>50.7</v>
      </c>
      <c r="Z54" s="74">
        <f t="shared" si="7"/>
        <v>33.200000000000003</v>
      </c>
      <c r="AA54" s="74">
        <f t="shared" si="7"/>
        <v>17.099999999999998</v>
      </c>
      <c r="AB54" s="74">
        <f t="shared" si="7"/>
        <v>17.099999999999998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50.7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-91.6</v>
      </c>
      <c r="C57" s="52">
        <v>-80.099999999999994</v>
      </c>
      <c r="D57" s="52">
        <v>-79</v>
      </c>
      <c r="E57" s="52">
        <v>-80</v>
      </c>
      <c r="F57" s="52">
        <v>-63</v>
      </c>
      <c r="G57" s="52">
        <v>-43</v>
      </c>
      <c r="H57" s="52">
        <v>-45</v>
      </c>
      <c r="I57" s="50">
        <v>-57.8</v>
      </c>
      <c r="J57" s="50">
        <v>-29.5</v>
      </c>
      <c r="K57" s="50">
        <v>-29.5</v>
      </c>
      <c r="L57" s="52">
        <v>-35</v>
      </c>
      <c r="M57" s="52">
        <v>-35</v>
      </c>
      <c r="N57" s="52">
        <v>-26.2</v>
      </c>
      <c r="O57" s="52">
        <v>-29.2</v>
      </c>
      <c r="P57" s="52">
        <v>-55</v>
      </c>
      <c r="Q57" s="52">
        <v>-36.200000000000003</v>
      </c>
      <c r="R57" s="52">
        <v>-23.7</v>
      </c>
      <c r="S57" s="52">
        <v>-26.4</v>
      </c>
      <c r="T57" s="52">
        <v>-37.700000000000003</v>
      </c>
      <c r="U57" s="52">
        <v>-15</v>
      </c>
      <c r="V57" s="52">
        <v>-31.3</v>
      </c>
      <c r="W57" s="85">
        <v>-47.6</v>
      </c>
      <c r="X57" s="85">
        <v>-19</v>
      </c>
      <c r="Y57" s="85">
        <v>-36.700000000000003</v>
      </c>
      <c r="Z57" s="85">
        <v>-35</v>
      </c>
      <c r="AA57" s="52">
        <v>-75</v>
      </c>
      <c r="AB57" s="52">
        <v>-60</v>
      </c>
      <c r="AC57" s="52">
        <v>-70</v>
      </c>
      <c r="AD57" s="52">
        <v>-60</v>
      </c>
      <c r="AE57" s="52">
        <v>-76</v>
      </c>
      <c r="AF57" s="52">
        <v>-30</v>
      </c>
      <c r="AG57" s="86"/>
      <c r="AH57" s="56">
        <f t="shared" si="2"/>
        <v>-15</v>
      </c>
      <c r="AI57" s="57">
        <f t="shared" si="3"/>
        <v>-91.6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-91.6</v>
      </c>
      <c r="C66" s="74">
        <f t="shared" ref="C66:AF66" si="8">SUM(C55:C65)</f>
        <v>-80.099999999999994</v>
      </c>
      <c r="D66" s="74">
        <f t="shared" si="8"/>
        <v>-79</v>
      </c>
      <c r="E66" s="74">
        <f t="shared" si="8"/>
        <v>-80</v>
      </c>
      <c r="F66" s="74">
        <f t="shared" si="8"/>
        <v>-63</v>
      </c>
      <c r="G66" s="74">
        <f t="shared" si="8"/>
        <v>-43</v>
      </c>
      <c r="H66" s="74">
        <f t="shared" si="8"/>
        <v>-45</v>
      </c>
      <c r="I66" s="74">
        <f t="shared" si="8"/>
        <v>-57.8</v>
      </c>
      <c r="J66" s="74">
        <f t="shared" si="8"/>
        <v>-29.5</v>
      </c>
      <c r="K66" s="74">
        <f t="shared" si="8"/>
        <v>-29.5</v>
      </c>
      <c r="L66" s="74">
        <f t="shared" si="8"/>
        <v>-35</v>
      </c>
      <c r="M66" s="74">
        <f t="shared" si="8"/>
        <v>-35</v>
      </c>
      <c r="N66" s="74">
        <f t="shared" si="8"/>
        <v>-26.2</v>
      </c>
      <c r="O66" s="74">
        <f t="shared" si="8"/>
        <v>-29.2</v>
      </c>
      <c r="P66" s="74">
        <f t="shared" si="8"/>
        <v>-55</v>
      </c>
      <c r="Q66" s="74">
        <f t="shared" si="8"/>
        <v>-36.200000000000003</v>
      </c>
      <c r="R66" s="74">
        <f t="shared" si="8"/>
        <v>-23.7</v>
      </c>
      <c r="S66" s="74">
        <f t="shared" si="8"/>
        <v>-26.4</v>
      </c>
      <c r="T66" s="74">
        <f t="shared" si="8"/>
        <v>-37.700000000000003</v>
      </c>
      <c r="U66" s="74">
        <f t="shared" si="8"/>
        <v>-15</v>
      </c>
      <c r="V66" s="74">
        <f t="shared" si="8"/>
        <v>-31.3</v>
      </c>
      <c r="W66" s="74">
        <f t="shared" si="8"/>
        <v>-47.6</v>
      </c>
      <c r="X66" s="74">
        <f t="shared" si="8"/>
        <v>-19</v>
      </c>
      <c r="Y66" s="74">
        <f t="shared" si="8"/>
        <v>-36.700000000000003</v>
      </c>
      <c r="Z66" s="74">
        <f t="shared" si="8"/>
        <v>-35</v>
      </c>
      <c r="AA66" s="74">
        <f t="shared" si="8"/>
        <v>-75</v>
      </c>
      <c r="AB66" s="74">
        <f t="shared" si="8"/>
        <v>-60</v>
      </c>
      <c r="AC66" s="74">
        <f t="shared" si="8"/>
        <v>-70</v>
      </c>
      <c r="AD66" s="74">
        <f t="shared" si="8"/>
        <v>-60</v>
      </c>
      <c r="AE66" s="74">
        <f t="shared" si="8"/>
        <v>-76</v>
      </c>
      <c r="AF66" s="74">
        <f t="shared" si="8"/>
        <v>-30</v>
      </c>
      <c r="AG66" s="79">
        <f>SUM(AG55:AG65)</f>
        <v>0</v>
      </c>
      <c r="AH66" s="56">
        <f t="shared" si="2"/>
        <v>-15</v>
      </c>
      <c r="AI66" s="57">
        <f t="shared" si="3"/>
        <v>-91.6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708.6400000000001</v>
      </c>
      <c r="C71" s="90">
        <f t="shared" ref="C71:AG71" si="10">C66+C54+C50+C36+C70</f>
        <v>708.14</v>
      </c>
      <c r="D71" s="90">
        <f t="shared" si="10"/>
        <v>689.04</v>
      </c>
      <c r="E71" s="90">
        <f t="shared" si="10"/>
        <v>691.04</v>
      </c>
      <c r="F71" s="90">
        <f t="shared" si="10"/>
        <v>707.94</v>
      </c>
      <c r="G71" s="90">
        <f t="shared" si="10"/>
        <v>727.6400000000001</v>
      </c>
      <c r="H71" s="90">
        <f t="shared" si="10"/>
        <v>775.44</v>
      </c>
      <c r="I71" s="90">
        <f t="shared" si="10"/>
        <v>795.04</v>
      </c>
      <c r="J71" s="90">
        <f t="shared" si="10"/>
        <v>857.6400000000001</v>
      </c>
      <c r="K71" s="90">
        <f t="shared" si="10"/>
        <v>920.54</v>
      </c>
      <c r="L71" s="90">
        <f t="shared" si="10"/>
        <v>960.1400000000001</v>
      </c>
      <c r="M71" s="90">
        <f t="shared" si="10"/>
        <v>940.54000000000008</v>
      </c>
      <c r="N71" s="90">
        <f t="shared" si="10"/>
        <v>920.74</v>
      </c>
      <c r="O71" s="90">
        <f t="shared" si="10"/>
        <v>931.94</v>
      </c>
      <c r="P71" s="90">
        <f t="shared" si="10"/>
        <v>920.54000000000008</v>
      </c>
      <c r="Q71" s="90">
        <f t="shared" si="10"/>
        <v>919.84000000000015</v>
      </c>
      <c r="R71" s="90">
        <f t="shared" si="10"/>
        <v>915.74</v>
      </c>
      <c r="S71" s="90">
        <f t="shared" si="10"/>
        <v>935.14</v>
      </c>
      <c r="T71" s="90">
        <f t="shared" si="10"/>
        <v>954.54</v>
      </c>
      <c r="U71" s="90">
        <f t="shared" si="10"/>
        <v>981.94</v>
      </c>
      <c r="V71" s="90">
        <f t="shared" si="10"/>
        <v>1090.7400000000002</v>
      </c>
      <c r="W71" s="90">
        <f t="shared" si="10"/>
        <v>1202.1400000000001</v>
      </c>
      <c r="X71" s="90">
        <f t="shared" si="10"/>
        <v>1245.6400000000001</v>
      </c>
      <c r="Y71" s="90">
        <f t="shared" si="10"/>
        <v>1207.94</v>
      </c>
      <c r="Z71" s="90">
        <f t="shared" si="10"/>
        <v>1158.1400000000001</v>
      </c>
      <c r="AA71" s="90">
        <f t="shared" si="10"/>
        <v>1001.84</v>
      </c>
      <c r="AB71" s="90">
        <f t="shared" si="10"/>
        <v>1016.84</v>
      </c>
      <c r="AC71" s="90">
        <f t="shared" si="10"/>
        <v>989.74</v>
      </c>
      <c r="AD71" s="90">
        <f t="shared" si="10"/>
        <v>932.94</v>
      </c>
      <c r="AE71" s="90">
        <f t="shared" si="10"/>
        <v>834.24</v>
      </c>
      <c r="AF71" s="90">
        <f t="shared" si="10"/>
        <v>842.24</v>
      </c>
      <c r="AG71" s="90">
        <f t="shared" si="10"/>
        <v>2083.14</v>
      </c>
      <c r="AH71" s="56">
        <f t="shared" si="2"/>
        <v>1245.6400000000001</v>
      </c>
      <c r="AI71" s="57">
        <f t="shared" si="3"/>
        <v>689.04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708.6400000000001</v>
      </c>
      <c r="C73" s="90">
        <f t="shared" ref="C73:AF73" si="11">C70+C66+C54+C50+C36+C72</f>
        <v>708.14</v>
      </c>
      <c r="D73" s="90">
        <f t="shared" si="11"/>
        <v>689.04</v>
      </c>
      <c r="E73" s="90">
        <f t="shared" si="11"/>
        <v>691.04</v>
      </c>
      <c r="F73" s="90">
        <f t="shared" si="11"/>
        <v>707.94</v>
      </c>
      <c r="G73" s="90">
        <f t="shared" si="11"/>
        <v>727.6400000000001</v>
      </c>
      <c r="H73" s="90">
        <f t="shared" si="11"/>
        <v>775.44</v>
      </c>
      <c r="I73" s="90">
        <f t="shared" si="11"/>
        <v>795.04</v>
      </c>
      <c r="J73" s="90">
        <f t="shared" si="11"/>
        <v>857.6400000000001</v>
      </c>
      <c r="K73" s="90">
        <f t="shared" si="11"/>
        <v>920.54</v>
      </c>
      <c r="L73" s="90">
        <f t="shared" si="11"/>
        <v>960.1400000000001</v>
      </c>
      <c r="M73" s="90">
        <f t="shared" si="11"/>
        <v>940.54000000000008</v>
      </c>
      <c r="N73" s="90">
        <f t="shared" si="11"/>
        <v>920.74</v>
      </c>
      <c r="O73" s="90">
        <f t="shared" si="11"/>
        <v>931.94</v>
      </c>
      <c r="P73" s="90">
        <f t="shared" si="11"/>
        <v>920.54000000000008</v>
      </c>
      <c r="Q73" s="90">
        <f t="shared" si="11"/>
        <v>919.84000000000015</v>
      </c>
      <c r="R73" s="90">
        <f t="shared" si="11"/>
        <v>915.74</v>
      </c>
      <c r="S73" s="90">
        <f t="shared" si="11"/>
        <v>935.14</v>
      </c>
      <c r="T73" s="90">
        <f t="shared" si="11"/>
        <v>954.54</v>
      </c>
      <c r="U73" s="90">
        <f t="shared" si="11"/>
        <v>981.94</v>
      </c>
      <c r="V73" s="90">
        <f t="shared" si="11"/>
        <v>1090.7400000000002</v>
      </c>
      <c r="W73" s="90">
        <f t="shared" si="11"/>
        <v>1202.1400000000001</v>
      </c>
      <c r="X73" s="90">
        <f t="shared" si="11"/>
        <v>1245.6400000000001</v>
      </c>
      <c r="Y73" s="90">
        <f t="shared" si="11"/>
        <v>1207.94</v>
      </c>
      <c r="Z73" s="90">
        <f t="shared" si="11"/>
        <v>1158.1400000000001</v>
      </c>
      <c r="AA73" s="90">
        <f t="shared" si="11"/>
        <v>1001.84</v>
      </c>
      <c r="AB73" s="90">
        <f t="shared" si="11"/>
        <v>1016.84</v>
      </c>
      <c r="AC73" s="90">
        <f t="shared" si="11"/>
        <v>989.74</v>
      </c>
      <c r="AD73" s="90">
        <f t="shared" si="11"/>
        <v>932.94</v>
      </c>
      <c r="AE73" s="90">
        <f t="shared" si="11"/>
        <v>834.24</v>
      </c>
      <c r="AF73" s="90">
        <f t="shared" si="11"/>
        <v>842.24</v>
      </c>
      <c r="AG73" s="79">
        <f>AG70+AG66+AG54+AG50+AG36+AG72</f>
        <v>2083.14</v>
      </c>
      <c r="AH73" s="56">
        <f t="shared" si="2"/>
        <v>1245.6400000000001</v>
      </c>
      <c r="AI73" s="57">
        <f t="shared" si="3"/>
        <v>689.04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91.6</v>
      </c>
      <c r="C77" s="60">
        <f t="shared" ref="C77:AF77" si="15">IF(C57&lt;0,C57*-1,0)</f>
        <v>80.099999999999994</v>
      </c>
      <c r="D77" s="60">
        <f t="shared" si="15"/>
        <v>79</v>
      </c>
      <c r="E77" s="60">
        <f t="shared" si="15"/>
        <v>80</v>
      </c>
      <c r="F77" s="60">
        <f t="shared" si="15"/>
        <v>63</v>
      </c>
      <c r="G77" s="60">
        <f t="shared" si="15"/>
        <v>43</v>
      </c>
      <c r="H77" s="60">
        <f t="shared" si="15"/>
        <v>45</v>
      </c>
      <c r="I77" s="60">
        <f t="shared" si="15"/>
        <v>57.8</v>
      </c>
      <c r="J77" s="60">
        <f t="shared" si="15"/>
        <v>29.5</v>
      </c>
      <c r="K77" s="60">
        <f t="shared" si="15"/>
        <v>29.5</v>
      </c>
      <c r="L77" s="60">
        <f t="shared" si="15"/>
        <v>35</v>
      </c>
      <c r="M77" s="60">
        <f t="shared" si="15"/>
        <v>35</v>
      </c>
      <c r="N77" s="60">
        <f t="shared" si="15"/>
        <v>26.2</v>
      </c>
      <c r="O77" s="60">
        <f t="shared" si="15"/>
        <v>29.2</v>
      </c>
      <c r="P77" s="60">
        <f t="shared" si="15"/>
        <v>55</v>
      </c>
      <c r="Q77" s="60">
        <f t="shared" si="15"/>
        <v>36.200000000000003</v>
      </c>
      <c r="R77" s="60">
        <f t="shared" si="15"/>
        <v>23.7</v>
      </c>
      <c r="S77" s="60">
        <f t="shared" si="15"/>
        <v>26.4</v>
      </c>
      <c r="T77" s="60">
        <f t="shared" si="15"/>
        <v>37.700000000000003</v>
      </c>
      <c r="U77" s="60">
        <f t="shared" si="15"/>
        <v>15</v>
      </c>
      <c r="V77" s="60">
        <f t="shared" si="15"/>
        <v>31.3</v>
      </c>
      <c r="W77" s="60">
        <f t="shared" si="15"/>
        <v>47.6</v>
      </c>
      <c r="X77" s="60">
        <f t="shared" si="15"/>
        <v>19</v>
      </c>
      <c r="Y77" s="60">
        <f t="shared" si="15"/>
        <v>36.700000000000003</v>
      </c>
      <c r="Z77" s="60">
        <f t="shared" si="15"/>
        <v>35</v>
      </c>
      <c r="AA77" s="60">
        <f t="shared" si="15"/>
        <v>75</v>
      </c>
      <c r="AB77" s="60">
        <f t="shared" si="15"/>
        <v>60</v>
      </c>
      <c r="AC77" s="60">
        <f t="shared" si="15"/>
        <v>70</v>
      </c>
      <c r="AD77" s="60">
        <f t="shared" si="15"/>
        <v>60</v>
      </c>
      <c r="AE77" s="60">
        <f t="shared" si="15"/>
        <v>76</v>
      </c>
      <c r="AF77" s="60">
        <f t="shared" si="15"/>
        <v>30</v>
      </c>
      <c r="AG77" s="93"/>
      <c r="AH77" s="56">
        <f t="shared" ref="AH77:AH89" si="16">MAX(B77:AF77)</f>
        <v>91.6</v>
      </c>
      <c r="AI77" s="57">
        <f t="shared" ref="AI77:AI89" si="17">MIN(B77:AF77)</f>
        <v>15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91.6</v>
      </c>
      <c r="C80" s="74">
        <f t="shared" si="19"/>
        <v>80.099999999999994</v>
      </c>
      <c r="D80" s="74">
        <f t="shared" si="19"/>
        <v>79</v>
      </c>
      <c r="E80" s="74">
        <f t="shared" si="19"/>
        <v>80</v>
      </c>
      <c r="F80" s="74">
        <f t="shared" si="19"/>
        <v>63</v>
      </c>
      <c r="G80" s="74">
        <f t="shared" si="19"/>
        <v>43</v>
      </c>
      <c r="H80" s="74">
        <f t="shared" si="19"/>
        <v>45</v>
      </c>
      <c r="I80" s="74">
        <f t="shared" si="19"/>
        <v>57.8</v>
      </c>
      <c r="J80" s="74">
        <f t="shared" si="19"/>
        <v>29.5</v>
      </c>
      <c r="K80" s="74">
        <f t="shared" si="19"/>
        <v>29.5</v>
      </c>
      <c r="L80" s="74">
        <f t="shared" si="19"/>
        <v>35</v>
      </c>
      <c r="M80" s="74">
        <f t="shared" si="19"/>
        <v>35</v>
      </c>
      <c r="N80" s="74">
        <f t="shared" si="19"/>
        <v>26.2</v>
      </c>
      <c r="O80" s="74">
        <f t="shared" si="19"/>
        <v>29.2</v>
      </c>
      <c r="P80" s="74">
        <f t="shared" si="19"/>
        <v>55</v>
      </c>
      <c r="Q80" s="74">
        <f t="shared" si="19"/>
        <v>36.200000000000003</v>
      </c>
      <c r="R80" s="74">
        <f t="shared" si="19"/>
        <v>23.7</v>
      </c>
      <c r="S80" s="74">
        <f t="shared" si="19"/>
        <v>26.4</v>
      </c>
      <c r="T80" s="74">
        <f t="shared" si="19"/>
        <v>37.700000000000003</v>
      </c>
      <c r="U80" s="74">
        <f t="shared" si="19"/>
        <v>15</v>
      </c>
      <c r="V80" s="74">
        <f t="shared" si="19"/>
        <v>31.3</v>
      </c>
      <c r="W80" s="74">
        <f t="shared" si="19"/>
        <v>47.6</v>
      </c>
      <c r="X80" s="74">
        <f t="shared" si="19"/>
        <v>19</v>
      </c>
      <c r="Y80" s="74">
        <f t="shared" si="19"/>
        <v>36.700000000000003</v>
      </c>
      <c r="Z80" s="74">
        <f t="shared" si="19"/>
        <v>35</v>
      </c>
      <c r="AA80" s="74">
        <f t="shared" si="19"/>
        <v>75</v>
      </c>
      <c r="AB80" s="74">
        <f t="shared" si="19"/>
        <v>60</v>
      </c>
      <c r="AC80" s="74">
        <f t="shared" si="19"/>
        <v>70</v>
      </c>
      <c r="AD80" s="74">
        <f t="shared" si="19"/>
        <v>60</v>
      </c>
      <c r="AE80" s="74">
        <f t="shared" si="19"/>
        <v>76</v>
      </c>
      <c r="AF80" s="74">
        <f t="shared" si="19"/>
        <v>30</v>
      </c>
      <c r="AG80" s="79">
        <f t="shared" si="19"/>
        <v>0</v>
      </c>
      <c r="AH80" s="56">
        <f t="shared" si="16"/>
        <v>91.6</v>
      </c>
      <c r="AI80" s="57">
        <f t="shared" si="17"/>
        <v>15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1600.48</v>
      </c>
      <c r="C81" s="74">
        <f t="shared" si="20"/>
        <v>1576.4799999999998</v>
      </c>
      <c r="D81" s="74">
        <f t="shared" si="20"/>
        <v>1536.08</v>
      </c>
      <c r="E81" s="74">
        <f t="shared" si="20"/>
        <v>1542.08</v>
      </c>
      <c r="F81" s="74">
        <f t="shared" si="20"/>
        <v>1541.88</v>
      </c>
      <c r="G81" s="74">
        <f t="shared" si="20"/>
        <v>1541.2800000000002</v>
      </c>
      <c r="H81" s="74">
        <f t="shared" si="20"/>
        <v>1640.88</v>
      </c>
      <c r="I81" s="74">
        <f t="shared" si="20"/>
        <v>1705.6799999999998</v>
      </c>
      <c r="J81" s="74">
        <f t="shared" si="20"/>
        <v>1774.2800000000002</v>
      </c>
      <c r="K81" s="74">
        <f t="shared" si="20"/>
        <v>1900.08</v>
      </c>
      <c r="L81" s="74">
        <f t="shared" si="20"/>
        <v>1990.2800000000002</v>
      </c>
      <c r="M81" s="74">
        <f t="shared" si="20"/>
        <v>1951.0800000000002</v>
      </c>
      <c r="N81" s="74">
        <f t="shared" si="20"/>
        <v>1893.88</v>
      </c>
      <c r="O81" s="74">
        <f t="shared" si="20"/>
        <v>1922.2800000000002</v>
      </c>
      <c r="P81" s="74">
        <f t="shared" si="20"/>
        <v>1951.0800000000002</v>
      </c>
      <c r="Q81" s="74">
        <f t="shared" si="20"/>
        <v>1912.0800000000004</v>
      </c>
      <c r="R81" s="74">
        <f t="shared" si="20"/>
        <v>1878.88</v>
      </c>
      <c r="S81" s="74">
        <f t="shared" si="20"/>
        <v>1923.0800000000002</v>
      </c>
      <c r="T81" s="74">
        <f t="shared" si="20"/>
        <v>1984.48</v>
      </c>
      <c r="U81" s="74">
        <f t="shared" si="20"/>
        <v>1993.88</v>
      </c>
      <c r="V81" s="74">
        <f t="shared" si="20"/>
        <v>2244.0800000000008</v>
      </c>
      <c r="W81" s="74">
        <f t="shared" si="20"/>
        <v>2499.48</v>
      </c>
      <c r="X81" s="74">
        <f t="shared" si="20"/>
        <v>2529.2800000000002</v>
      </c>
      <c r="Y81" s="74">
        <f t="shared" si="20"/>
        <v>2489.2799999999997</v>
      </c>
      <c r="Z81" s="74">
        <f t="shared" si="20"/>
        <v>2386.2800000000002</v>
      </c>
      <c r="AA81" s="74">
        <f t="shared" si="20"/>
        <v>2153.6800000000003</v>
      </c>
      <c r="AB81" s="74">
        <f t="shared" si="20"/>
        <v>2153.6800000000003</v>
      </c>
      <c r="AC81" s="74">
        <f t="shared" si="20"/>
        <v>2119.48</v>
      </c>
      <c r="AD81" s="74">
        <f t="shared" si="20"/>
        <v>1985.88</v>
      </c>
      <c r="AE81" s="74">
        <f t="shared" si="20"/>
        <v>1820.48</v>
      </c>
      <c r="AF81" s="74">
        <f t="shared" si="20"/>
        <v>1744.48</v>
      </c>
      <c r="AG81" s="79">
        <f t="shared" si="20"/>
        <v>4238.08</v>
      </c>
      <c r="AH81" s="56">
        <f t="shared" si="16"/>
        <v>2529.2800000000002</v>
      </c>
      <c r="AI81" s="57">
        <f t="shared" si="17"/>
        <v>1536.08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50.052999999999997</v>
      </c>
      <c r="C82" s="96">
        <v>50.029000000000003</v>
      </c>
      <c r="D82" s="96">
        <v>49.968000000000004</v>
      </c>
      <c r="E82" s="96">
        <v>50.097999999999999</v>
      </c>
      <c r="F82" s="96">
        <v>50.005000000000003</v>
      </c>
      <c r="G82" s="96">
        <v>49.962000000000003</v>
      </c>
      <c r="H82" s="96">
        <v>49.953000000000003</v>
      </c>
      <c r="I82" s="96">
        <v>50.034999999999997</v>
      </c>
      <c r="J82" s="96">
        <v>49.951000000000001</v>
      </c>
      <c r="K82" s="96">
        <v>50.042000000000002</v>
      </c>
      <c r="L82" s="96">
        <v>50.1</v>
      </c>
      <c r="M82" s="96">
        <v>50.1</v>
      </c>
      <c r="N82" s="96">
        <v>50.075000000000003</v>
      </c>
      <c r="O82" s="96">
        <v>50.076999999999998</v>
      </c>
      <c r="P82" s="96">
        <v>50.003999999999998</v>
      </c>
      <c r="Q82" s="96">
        <v>50.03</v>
      </c>
      <c r="R82" s="96">
        <v>49.911000000000001</v>
      </c>
      <c r="S82" s="96">
        <v>49.779000000000003</v>
      </c>
      <c r="T82" s="96">
        <v>49.98</v>
      </c>
      <c r="U82" s="96">
        <v>50.015999999999998</v>
      </c>
      <c r="V82" s="96">
        <v>50.023000000000003</v>
      </c>
      <c r="W82" s="96">
        <v>49.988</v>
      </c>
      <c r="X82" s="96">
        <v>49.963999999999999</v>
      </c>
      <c r="Y82" s="96">
        <v>50.043999999999997</v>
      </c>
      <c r="Z82" s="96">
        <v>50.06</v>
      </c>
      <c r="AA82" s="96">
        <v>50.09</v>
      </c>
      <c r="AB82" s="96">
        <v>50</v>
      </c>
      <c r="AC82" s="96">
        <v>49.92</v>
      </c>
      <c r="AD82" s="96">
        <v>50</v>
      </c>
      <c r="AE82" s="96">
        <v>50.03</v>
      </c>
      <c r="AF82" s="97">
        <v>49.97</v>
      </c>
      <c r="AG82" s="98"/>
      <c r="AH82" s="56">
        <f t="shared" si="16"/>
        <v>50.1</v>
      </c>
      <c r="AI82" s="57">
        <f t="shared" si="17"/>
        <v>49.779000000000003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126.5</v>
      </c>
      <c r="C83" s="52">
        <v>125.7</v>
      </c>
      <c r="D83" s="52">
        <v>125.1</v>
      </c>
      <c r="E83" s="52">
        <v>125.1</v>
      </c>
      <c r="F83" s="52">
        <v>124.6</v>
      </c>
      <c r="G83" s="52">
        <v>124.4</v>
      </c>
      <c r="H83" s="52">
        <v>124.9</v>
      </c>
      <c r="I83" s="52">
        <v>124.1</v>
      </c>
      <c r="J83" s="52">
        <v>123.5</v>
      </c>
      <c r="K83" s="52">
        <v>124</v>
      </c>
      <c r="L83" s="52">
        <v>123.8</v>
      </c>
      <c r="M83" s="52">
        <v>123.8</v>
      </c>
      <c r="N83" s="52">
        <v>124.6</v>
      </c>
      <c r="O83" s="52">
        <v>124.6</v>
      </c>
      <c r="P83" s="52">
        <v>124.7</v>
      </c>
      <c r="Q83" s="52">
        <v>125.2</v>
      </c>
      <c r="R83" s="52">
        <v>124.7</v>
      </c>
      <c r="S83" s="52">
        <v>124.7</v>
      </c>
      <c r="T83" s="100">
        <v>124.4</v>
      </c>
      <c r="U83" s="100">
        <v>125</v>
      </c>
      <c r="V83" s="100">
        <v>125.1</v>
      </c>
      <c r="W83" s="100">
        <v>124.3</v>
      </c>
      <c r="X83" s="100">
        <v>124.8</v>
      </c>
      <c r="Y83" s="100">
        <v>126.4</v>
      </c>
      <c r="Z83" s="100">
        <v>127</v>
      </c>
      <c r="AA83" s="52">
        <v>126.2</v>
      </c>
      <c r="AB83" s="52">
        <v>126.2</v>
      </c>
      <c r="AC83" s="52">
        <v>125</v>
      </c>
      <c r="AD83" s="52">
        <v>125.7</v>
      </c>
      <c r="AE83" s="52">
        <v>125.7</v>
      </c>
      <c r="AF83" s="101">
        <v>126</v>
      </c>
      <c r="AG83" s="102"/>
      <c r="AH83" s="56">
        <f t="shared" si="16"/>
        <v>127</v>
      </c>
      <c r="AI83" s="57">
        <f t="shared" si="17"/>
        <v>123.5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130.69999999999999</v>
      </c>
      <c r="C84" s="52">
        <v>130</v>
      </c>
      <c r="D84" s="52">
        <v>129.80000000000001</v>
      </c>
      <c r="E84" s="52">
        <v>130</v>
      </c>
      <c r="F84" s="52">
        <v>129.1</v>
      </c>
      <c r="G84" s="52">
        <v>128.80000000000001</v>
      </c>
      <c r="H84" s="52">
        <v>129</v>
      </c>
      <c r="I84" s="52">
        <v>127.9</v>
      </c>
      <c r="J84" s="52">
        <v>127.8</v>
      </c>
      <c r="K84" s="52">
        <v>127.8</v>
      </c>
      <c r="L84" s="52">
        <v>127.7</v>
      </c>
      <c r="M84" s="52">
        <v>127.7</v>
      </c>
      <c r="N84" s="52">
        <v>128</v>
      </c>
      <c r="O84" s="52">
        <v>128.30000000000001</v>
      </c>
      <c r="P84" s="52">
        <v>128.69999999999999</v>
      </c>
      <c r="Q84" s="52">
        <v>129.1</v>
      </c>
      <c r="R84" s="52">
        <v>128.5</v>
      </c>
      <c r="S84" s="52">
        <v>128.5</v>
      </c>
      <c r="T84" s="100">
        <v>128.80000000000001</v>
      </c>
      <c r="U84" s="100">
        <v>129</v>
      </c>
      <c r="V84" s="100">
        <v>128.9</v>
      </c>
      <c r="W84" s="100">
        <v>127.8</v>
      </c>
      <c r="X84" s="100">
        <v>128</v>
      </c>
      <c r="Y84" s="100">
        <v>129.6</v>
      </c>
      <c r="Z84" s="100">
        <v>130.5</v>
      </c>
      <c r="AA84" s="52">
        <v>129.9</v>
      </c>
      <c r="AB84" s="52">
        <v>129.9</v>
      </c>
      <c r="AC84" s="52">
        <v>129</v>
      </c>
      <c r="AD84" s="52">
        <v>130</v>
      </c>
      <c r="AE84" s="52">
        <v>130</v>
      </c>
      <c r="AF84" s="101">
        <v>131</v>
      </c>
      <c r="AG84" s="102"/>
      <c r="AH84" s="56">
        <f t="shared" si="16"/>
        <v>131</v>
      </c>
      <c r="AI84" s="57">
        <f t="shared" si="17"/>
        <v>127.7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100"/>
      <c r="Y86" s="100"/>
      <c r="Z86" s="100"/>
      <c r="AA86" s="52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134.69999999999999</v>
      </c>
      <c r="C87" s="104">
        <v>134.6</v>
      </c>
      <c r="D87" s="104">
        <v>135</v>
      </c>
      <c r="E87" s="104">
        <v>136</v>
      </c>
      <c r="F87" s="104">
        <v>133.19999999999999</v>
      </c>
      <c r="G87" s="104">
        <v>132.9</v>
      </c>
      <c r="H87" s="104">
        <v>132.6</v>
      </c>
      <c r="I87" s="104">
        <v>132.1</v>
      </c>
      <c r="J87" s="104">
        <v>134.69999999999999</v>
      </c>
      <c r="K87" s="104">
        <v>134.69999999999999</v>
      </c>
      <c r="L87" s="104">
        <v>131.69999999999999</v>
      </c>
      <c r="M87" s="104">
        <v>131.69999999999999</v>
      </c>
      <c r="N87" s="104">
        <v>133.4</v>
      </c>
      <c r="O87" s="104">
        <v>131.4</v>
      </c>
      <c r="P87" s="104">
        <v>131.30000000000001</v>
      </c>
      <c r="Q87" s="104">
        <v>134.69999999999999</v>
      </c>
      <c r="R87" s="104">
        <v>133.1</v>
      </c>
      <c r="S87" s="104">
        <v>133.1</v>
      </c>
      <c r="T87" s="104">
        <v>134</v>
      </c>
      <c r="U87" s="104">
        <v>134.5</v>
      </c>
      <c r="V87" s="104">
        <v>135.1</v>
      </c>
      <c r="W87" s="100">
        <v>132.4</v>
      </c>
      <c r="X87" s="100">
        <v>132.69999999999999</v>
      </c>
      <c r="Y87" s="100">
        <v>135.30000000000001</v>
      </c>
      <c r="Z87" s="100">
        <v>132.9</v>
      </c>
      <c r="AA87" s="104">
        <v>132.80000000000001</v>
      </c>
      <c r="AB87" s="104">
        <v>132.80000000000001</v>
      </c>
      <c r="AC87" s="104">
        <v>135</v>
      </c>
      <c r="AD87" s="104">
        <v>134</v>
      </c>
      <c r="AE87" s="104">
        <v>134</v>
      </c>
      <c r="AF87" s="105">
        <v>133</v>
      </c>
      <c r="AG87" s="106"/>
      <c r="AH87" s="56">
        <f t="shared" si="16"/>
        <v>136</v>
      </c>
      <c r="AI87" s="57">
        <f t="shared" si="17"/>
        <v>131.30000000000001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132.6</v>
      </c>
      <c r="C88" s="52">
        <v>133.1</v>
      </c>
      <c r="D88" s="52">
        <v>132.30000000000001</v>
      </c>
      <c r="E88" s="52">
        <v>134.80000000000001</v>
      </c>
      <c r="F88" s="52">
        <v>130.5</v>
      </c>
      <c r="G88" s="52">
        <v>131</v>
      </c>
      <c r="H88" s="52">
        <v>130.80000000000001</v>
      </c>
      <c r="I88" s="52">
        <v>129.6</v>
      </c>
      <c r="J88" s="52">
        <v>132</v>
      </c>
      <c r="K88" s="52">
        <v>132</v>
      </c>
      <c r="L88" s="52">
        <v>127.6</v>
      </c>
      <c r="M88" s="52">
        <v>127.6</v>
      </c>
      <c r="N88" s="52">
        <v>126.8</v>
      </c>
      <c r="O88" s="52">
        <v>122.9</v>
      </c>
      <c r="P88" s="52">
        <v>136.4</v>
      </c>
      <c r="Q88" s="52">
        <v>132.4</v>
      </c>
      <c r="R88" s="52">
        <v>130.5</v>
      </c>
      <c r="S88" s="52">
        <v>130.5</v>
      </c>
      <c r="T88" s="52">
        <v>131.69999999999999</v>
      </c>
      <c r="U88" s="52">
        <v>133.30000000000001</v>
      </c>
      <c r="V88" s="52">
        <v>134.5</v>
      </c>
      <c r="W88" s="100">
        <v>131</v>
      </c>
      <c r="X88" s="100">
        <v>129.9</v>
      </c>
      <c r="Y88" s="100">
        <v>133.80000000000001</v>
      </c>
      <c r="Z88" s="100">
        <v>128.6</v>
      </c>
      <c r="AA88" s="52">
        <v>131</v>
      </c>
      <c r="AB88" s="52">
        <v>131</v>
      </c>
      <c r="AC88" s="52">
        <v>134</v>
      </c>
      <c r="AD88" s="52">
        <v>135</v>
      </c>
      <c r="AE88" s="52">
        <v>135</v>
      </c>
      <c r="AF88" s="101">
        <v>134</v>
      </c>
      <c r="AG88" s="102"/>
      <c r="AH88" s="56">
        <f t="shared" si="16"/>
        <v>136.4</v>
      </c>
      <c r="AI88" s="57">
        <f t="shared" si="17"/>
        <v>122.9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66.5</v>
      </c>
      <c r="C89" s="107">
        <v>66</v>
      </c>
      <c r="D89" s="107">
        <v>66</v>
      </c>
      <c r="E89" s="107">
        <v>66</v>
      </c>
      <c r="F89" s="107">
        <v>65.7</v>
      </c>
      <c r="G89" s="107">
        <v>65.2</v>
      </c>
      <c r="H89" s="107">
        <v>65.400000000000006</v>
      </c>
      <c r="I89" s="107">
        <v>64.8</v>
      </c>
      <c r="J89" s="107">
        <v>64.7</v>
      </c>
      <c r="K89" s="107">
        <v>64.7</v>
      </c>
      <c r="L89" s="107">
        <v>64.8</v>
      </c>
      <c r="M89" s="107">
        <v>64.8</v>
      </c>
      <c r="N89" s="107">
        <v>65.099999999999994</v>
      </c>
      <c r="O89" s="107">
        <v>65.3</v>
      </c>
      <c r="P89" s="107">
        <v>65.400000000000006</v>
      </c>
      <c r="Q89" s="107">
        <v>65.599999999999994</v>
      </c>
      <c r="R89" s="107">
        <v>65.3</v>
      </c>
      <c r="S89" s="107">
        <v>65.3</v>
      </c>
      <c r="T89" s="107">
        <v>65.400000000000006</v>
      </c>
      <c r="U89" s="107">
        <v>65.599999999999994</v>
      </c>
      <c r="V89" s="107">
        <v>65.599999999999994</v>
      </c>
      <c r="W89" s="107">
        <v>65.099999999999994</v>
      </c>
      <c r="X89" s="107">
        <v>65.2</v>
      </c>
      <c r="Y89" s="107">
        <v>66.099999999999994</v>
      </c>
      <c r="Z89" s="107">
        <v>66.7</v>
      </c>
      <c r="AA89" s="107">
        <v>66</v>
      </c>
      <c r="AB89" s="107">
        <v>66</v>
      </c>
      <c r="AC89" s="107">
        <v>66</v>
      </c>
      <c r="AD89" s="107">
        <v>66.3</v>
      </c>
      <c r="AE89" s="107">
        <v>66.3</v>
      </c>
      <c r="AF89" s="108">
        <v>66.099999999999994</v>
      </c>
      <c r="AG89" s="109"/>
      <c r="AH89" s="56">
        <f t="shared" si="16"/>
        <v>66.7</v>
      </c>
      <c r="AI89" s="57">
        <f t="shared" si="17"/>
        <v>64.7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112.03999999999998</v>
      </c>
      <c r="C91" s="114">
        <f t="shared" ref="C91:AF91" si="21">SUM(C14,C17,C20:C21,C40,C42:C43,C45,C47,C92:C95,C100,C106,C112,C121,C123,C135,C142,C145:C146,C153,C155,C157,C161:C163,C165:C167,C172,C178:C179,C181:C183,C191,C196)</f>
        <v>108.33999999999999</v>
      </c>
      <c r="D91" s="114">
        <f t="shared" si="21"/>
        <v>105.93999999999998</v>
      </c>
      <c r="E91" s="114">
        <f t="shared" si="21"/>
        <v>126.74</v>
      </c>
      <c r="F91" s="115">
        <f t="shared" si="21"/>
        <v>138.23999999999998</v>
      </c>
      <c r="G91" s="115">
        <f t="shared" si="21"/>
        <v>158.53999999999996</v>
      </c>
      <c r="H91" s="115">
        <f t="shared" si="21"/>
        <v>186.73999999999998</v>
      </c>
      <c r="I91" s="115">
        <f t="shared" si="21"/>
        <v>198.93999999999994</v>
      </c>
      <c r="J91" s="115">
        <f t="shared" si="21"/>
        <v>225.14000000000001</v>
      </c>
      <c r="K91" s="115">
        <f t="shared" si="21"/>
        <v>235.04</v>
      </c>
      <c r="L91" s="115">
        <f t="shared" si="21"/>
        <v>265.84000000000003</v>
      </c>
      <c r="M91" s="115">
        <f t="shared" si="21"/>
        <v>255.43999999999994</v>
      </c>
      <c r="N91" s="115">
        <f t="shared" si="21"/>
        <v>263.14</v>
      </c>
      <c r="O91" s="115">
        <f t="shared" si="21"/>
        <v>247.74</v>
      </c>
      <c r="P91" s="115">
        <f t="shared" si="21"/>
        <v>235.93999999999994</v>
      </c>
      <c r="Q91" s="115">
        <f t="shared" si="21"/>
        <v>233.53999999999996</v>
      </c>
      <c r="R91" s="115">
        <f t="shared" si="21"/>
        <v>235.33999999999997</v>
      </c>
      <c r="S91" s="115">
        <f t="shared" si="21"/>
        <v>245.43999999999994</v>
      </c>
      <c r="T91" s="115">
        <f t="shared" si="21"/>
        <v>234.13999999999993</v>
      </c>
      <c r="U91" s="115">
        <f t="shared" si="21"/>
        <v>244.53999999999996</v>
      </c>
      <c r="V91" s="115">
        <f t="shared" si="21"/>
        <v>271.73999999999995</v>
      </c>
      <c r="W91" s="115">
        <f t="shared" si="21"/>
        <v>315.24</v>
      </c>
      <c r="X91" s="115">
        <f t="shared" si="21"/>
        <v>316.94</v>
      </c>
      <c r="Y91" s="115">
        <f>SUM(Y14,Y17,Y20:Y21,Y40,Y42:Y43,Y45,Y47,Y92:Y95,Y100,Y106,Y112,Y121,Y123,Y135,Y142,Y145:Y146,Y153,Y155,Y157,Y161:Y163,Y165:Y167,Y172,Y178:Y179,Y181:Y183,Y191,Y196)</f>
        <v>298.74</v>
      </c>
      <c r="Z91" s="115">
        <f>SUM(Z14,Z17,Z20:Z21,Z40,Z42:Z43,Z45,Z47,Z92:Z95,Z100,Z106,Z112,Z121,Z123,Z135,Z142,Z145:Z146,Z153,Z155,Z157,Z161:Z163,Z165:Z167,Z172,Z178:Z179,Z181:Z183,Z191,Z196)</f>
        <v>276.34000000000003</v>
      </c>
      <c r="AA91" s="115">
        <f t="shared" si="21"/>
        <v>240.83999999999997</v>
      </c>
      <c r="AB91" s="115">
        <f t="shared" si="21"/>
        <v>212.43999999999997</v>
      </c>
      <c r="AC91" s="115">
        <f t="shared" si="21"/>
        <v>207.43999999999997</v>
      </c>
      <c r="AD91" s="115">
        <f t="shared" si="21"/>
        <v>179.14</v>
      </c>
      <c r="AE91" s="115">
        <f t="shared" si="21"/>
        <v>156.73999999999998</v>
      </c>
      <c r="AF91" s="115">
        <f t="shared" si="21"/>
        <v>147.73999999999998</v>
      </c>
      <c r="AG91" s="116"/>
      <c r="AH91" s="56">
        <f>MAX(B91:AF91)</f>
        <v>316.94</v>
      </c>
      <c r="AI91" s="57">
        <f>MIN(B91:AF91)</f>
        <v>105.93999999999998</v>
      </c>
    </row>
    <row r="92" spans="1:88" x14ac:dyDescent="0.25">
      <c r="A92" s="117" t="s">
        <v>96</v>
      </c>
      <c r="B92" s="60">
        <v>20.9</v>
      </c>
      <c r="C92" s="60">
        <v>16.5</v>
      </c>
      <c r="D92" s="60">
        <v>23.2</v>
      </c>
      <c r="E92" s="60">
        <v>24.9</v>
      </c>
      <c r="F92" s="118">
        <v>28.9</v>
      </c>
      <c r="G92" s="118">
        <v>29.7</v>
      </c>
      <c r="H92" s="118">
        <v>40.700000000000003</v>
      </c>
      <c r="I92" s="118">
        <v>37.799999999999997</v>
      </c>
      <c r="J92" s="118">
        <v>32.200000000000003</v>
      </c>
      <c r="K92" s="118">
        <v>32.200000000000003</v>
      </c>
      <c r="L92" s="118">
        <v>31.1</v>
      </c>
      <c r="M92" s="118">
        <v>31.1</v>
      </c>
      <c r="N92" s="118">
        <v>32.1</v>
      </c>
      <c r="O92" s="118">
        <v>30.3</v>
      </c>
      <c r="P92" s="118">
        <v>35.299999999999997</v>
      </c>
      <c r="Q92" s="118">
        <v>42.2</v>
      </c>
      <c r="R92" s="118">
        <v>41.8</v>
      </c>
      <c r="S92" s="118">
        <v>41.8</v>
      </c>
      <c r="T92" s="54">
        <v>54.8</v>
      </c>
      <c r="U92" s="54">
        <v>46.8</v>
      </c>
      <c r="V92" s="54">
        <v>36.5</v>
      </c>
      <c r="W92" s="118">
        <v>18.2</v>
      </c>
      <c r="X92" s="118">
        <v>13.7</v>
      </c>
      <c r="Y92" s="118">
        <v>12.4</v>
      </c>
      <c r="Z92" s="118">
        <v>27.7</v>
      </c>
      <c r="AA92" s="54">
        <v>38.6</v>
      </c>
      <c r="AB92" s="54">
        <v>43</v>
      </c>
      <c r="AC92" s="54">
        <v>50</v>
      </c>
      <c r="AD92" s="54">
        <v>35</v>
      </c>
      <c r="AE92" s="54">
        <v>34</v>
      </c>
      <c r="AF92" s="119">
        <v>27</v>
      </c>
      <c r="AG92" s="120">
        <v>75</v>
      </c>
      <c r="AH92" s="56">
        <f t="shared" ref="AH92:AH97" si="22">IF(ABS(MAX(B92:AF92))&gt;ABS(MIN(B92:AF92)),MAX(B92:AF92),MIN(B92:AF92))</f>
        <v>54.8</v>
      </c>
      <c r="AI92" s="121">
        <f t="shared" ref="AI92:AI97" si="23">INDEX($B$9:$AF$9,1,MATCH(AH92,B92:AF92,0))</f>
        <v>0.66666666666666696</v>
      </c>
    </row>
    <row r="93" spans="1:88" x14ac:dyDescent="0.25">
      <c r="A93" s="122" t="s">
        <v>97</v>
      </c>
      <c r="B93" s="62">
        <v>-84.7</v>
      </c>
      <c r="C93" s="62">
        <v>-85.1</v>
      </c>
      <c r="D93" s="62">
        <v>-87.1</v>
      </c>
      <c r="E93" s="62">
        <v>-80.900000000000006</v>
      </c>
      <c r="F93" s="62">
        <v>-76.400000000000006</v>
      </c>
      <c r="G93" s="62">
        <v>-68</v>
      </c>
      <c r="H93" s="62">
        <v>-59.7</v>
      </c>
      <c r="I93" s="62">
        <v>-66.3</v>
      </c>
      <c r="J93" s="62">
        <v>-57.6</v>
      </c>
      <c r="K93" s="62">
        <v>-57.6</v>
      </c>
      <c r="L93" s="62">
        <f>-21.7-28</f>
        <v>-49.7</v>
      </c>
      <c r="M93" s="62">
        <f>-21.7-28</f>
        <v>-49.7</v>
      </c>
      <c r="N93" s="62">
        <v>-38.9</v>
      </c>
      <c r="O93" s="62">
        <v>-53.3</v>
      </c>
      <c r="P93" s="62">
        <v>-57.9</v>
      </c>
      <c r="Q93" s="62">
        <v>-57.9</v>
      </c>
      <c r="R93" s="62">
        <v>-54.4</v>
      </c>
      <c r="S93" s="62">
        <v>-54.4</v>
      </c>
      <c r="T93" s="62">
        <v>-69</v>
      </c>
      <c r="U93" s="62">
        <v>-56.7</v>
      </c>
      <c r="V93" s="62">
        <v>-55</v>
      </c>
      <c r="W93" s="62">
        <v>-38</v>
      </c>
      <c r="X93" s="62">
        <v>-34</v>
      </c>
      <c r="Y93" s="62">
        <v>-37</v>
      </c>
      <c r="Z93" s="62">
        <v>-52</v>
      </c>
      <c r="AA93" s="52">
        <v>-65</v>
      </c>
      <c r="AB93" s="52">
        <v>-74</v>
      </c>
      <c r="AC93" s="52">
        <v>-85</v>
      </c>
      <c r="AD93" s="52">
        <v>-90</v>
      </c>
      <c r="AE93" s="52">
        <v>-90</v>
      </c>
      <c r="AF93" s="123">
        <v>-90</v>
      </c>
      <c r="AG93" s="120">
        <v>240</v>
      </c>
      <c r="AH93" s="56">
        <f t="shared" si="22"/>
        <v>-90</v>
      </c>
      <c r="AI93" s="121">
        <f t="shared" si="23"/>
        <v>0.91666666666666696</v>
      </c>
    </row>
    <row r="94" spans="1:88" x14ac:dyDescent="0.25">
      <c r="A94" s="122" t="s">
        <v>98</v>
      </c>
      <c r="B94" s="62">
        <v>-9.1</v>
      </c>
      <c r="C94" s="62">
        <v>-11.4</v>
      </c>
      <c r="D94" s="62">
        <v>-12.2</v>
      </c>
      <c r="E94" s="62">
        <v>-11.3</v>
      </c>
      <c r="F94" s="62">
        <v>-8.3000000000000007</v>
      </c>
      <c r="G94" s="62">
        <v>-7.8</v>
      </c>
      <c r="H94" s="62">
        <v>0</v>
      </c>
      <c r="I94" s="62">
        <v>0.2</v>
      </c>
      <c r="J94" s="62">
        <v>1.9</v>
      </c>
      <c r="K94" s="62">
        <v>1.9</v>
      </c>
      <c r="L94" s="62">
        <v>9.9</v>
      </c>
      <c r="M94" s="62">
        <v>9.9</v>
      </c>
      <c r="N94" s="62">
        <v>13.1</v>
      </c>
      <c r="O94" s="62">
        <v>11.4</v>
      </c>
      <c r="P94" s="62">
        <v>4.5999999999999996</v>
      </c>
      <c r="Q94" s="62">
        <v>4.5999999999999996</v>
      </c>
      <c r="R94" s="62">
        <v>4.9000000000000004</v>
      </c>
      <c r="S94" s="62">
        <v>4.9000000000000004</v>
      </c>
      <c r="T94" s="62">
        <v>4.2</v>
      </c>
      <c r="U94" s="62">
        <v>8.1</v>
      </c>
      <c r="V94" s="62">
        <v>10.7</v>
      </c>
      <c r="W94" s="62">
        <v>19.5</v>
      </c>
      <c r="X94" s="62">
        <v>20</v>
      </c>
      <c r="Y94" s="62">
        <v>21.5</v>
      </c>
      <c r="Z94" s="62">
        <v>15.3</v>
      </c>
      <c r="AA94" s="52">
        <v>13.5</v>
      </c>
      <c r="AB94" s="52">
        <v>2</v>
      </c>
      <c r="AC94" s="52">
        <v>-3</v>
      </c>
      <c r="AD94" s="52">
        <v>-7</v>
      </c>
      <c r="AE94" s="52">
        <v>-10</v>
      </c>
      <c r="AF94" s="123">
        <v>-12</v>
      </c>
      <c r="AG94" s="120">
        <v>60</v>
      </c>
      <c r="AH94" s="56">
        <f t="shared" si="22"/>
        <v>21.5</v>
      </c>
      <c r="AI94" s="121">
        <f t="shared" si="23"/>
        <v>0.79166666666666663</v>
      </c>
    </row>
    <row r="95" spans="1:88" x14ac:dyDescent="0.25">
      <c r="A95" s="124" t="s">
        <v>99</v>
      </c>
      <c r="B95" s="65">
        <v>-9.6999999999999993</v>
      </c>
      <c r="C95" s="65">
        <v>-5.7</v>
      </c>
      <c r="D95" s="65">
        <v>-12</v>
      </c>
      <c r="E95" s="65">
        <v>0</v>
      </c>
      <c r="F95" s="65">
        <v>0</v>
      </c>
      <c r="G95" s="65">
        <v>10.5</v>
      </c>
      <c r="H95" s="65">
        <v>11.6</v>
      </c>
      <c r="I95" s="65">
        <v>7</v>
      </c>
      <c r="J95" s="65">
        <v>28.4</v>
      </c>
      <c r="K95" s="65">
        <v>28.4</v>
      </c>
      <c r="L95" s="65">
        <v>39.1</v>
      </c>
      <c r="M95" s="65">
        <v>39.1</v>
      </c>
      <c r="N95" s="65">
        <v>43.7</v>
      </c>
      <c r="O95" s="65">
        <v>35.200000000000003</v>
      </c>
      <c r="P95" s="65">
        <v>30.8</v>
      </c>
      <c r="Q95" s="65">
        <v>30.8</v>
      </c>
      <c r="R95" s="65">
        <v>29</v>
      </c>
      <c r="S95" s="65">
        <v>29</v>
      </c>
      <c r="T95" s="65">
        <v>8.1999999999999993</v>
      </c>
      <c r="U95" s="65">
        <v>20.399999999999999</v>
      </c>
      <c r="V95" s="65">
        <v>44.1</v>
      </c>
      <c r="W95" s="65">
        <v>80.099999999999994</v>
      </c>
      <c r="X95" s="65">
        <v>81.8</v>
      </c>
      <c r="Y95" s="65">
        <v>66.400000000000006</v>
      </c>
      <c r="Z95" s="65">
        <v>49.9</v>
      </c>
      <c r="AA95" s="125">
        <v>18.3</v>
      </c>
      <c r="AB95" s="125">
        <v>6</v>
      </c>
      <c r="AC95" s="125">
        <v>10</v>
      </c>
      <c r="AD95" s="125">
        <v>9</v>
      </c>
      <c r="AE95" s="125">
        <v>12</v>
      </c>
      <c r="AF95" s="126">
        <v>12</v>
      </c>
      <c r="AG95" s="127">
        <v>120</v>
      </c>
      <c r="AH95" s="56">
        <f t="shared" si="22"/>
        <v>81.8</v>
      </c>
      <c r="AI95" s="121">
        <f t="shared" si="23"/>
        <v>0.77083333333333337</v>
      </c>
    </row>
    <row r="96" spans="1:88" x14ac:dyDescent="0.25">
      <c r="A96" s="124" t="s">
        <v>100</v>
      </c>
      <c r="B96" s="65">
        <v>14.7</v>
      </c>
      <c r="C96" s="65">
        <v>19</v>
      </c>
      <c r="D96" s="65">
        <v>15.7</v>
      </c>
      <c r="E96" s="65">
        <v>23.4</v>
      </c>
      <c r="F96" s="65">
        <v>24</v>
      </c>
      <c r="G96" s="65">
        <v>27.3</v>
      </c>
      <c r="H96" s="65">
        <v>28.3</v>
      </c>
      <c r="I96" s="65">
        <v>28.4</v>
      </c>
      <c r="J96" s="65">
        <v>35.700000000000003</v>
      </c>
      <c r="K96" s="65">
        <v>35.700000000000003</v>
      </c>
      <c r="L96" s="65">
        <v>43.3</v>
      </c>
      <c r="M96" s="65">
        <v>43.3</v>
      </c>
      <c r="N96" s="65">
        <v>49.7</v>
      </c>
      <c r="O96" s="65">
        <v>46.3</v>
      </c>
      <c r="P96" s="65">
        <v>40.4</v>
      </c>
      <c r="Q96" s="65">
        <v>40.4</v>
      </c>
      <c r="R96" s="65">
        <v>39.1</v>
      </c>
      <c r="S96" s="65">
        <v>39.1</v>
      </c>
      <c r="T96" s="65">
        <v>27</v>
      </c>
      <c r="U96" s="65">
        <v>35.5</v>
      </c>
      <c r="V96" s="65">
        <v>48.3</v>
      </c>
      <c r="W96" s="65">
        <v>72</v>
      </c>
      <c r="X96" s="65">
        <v>71.7</v>
      </c>
      <c r="Y96" s="65">
        <v>55.8</v>
      </c>
      <c r="Z96" s="65">
        <v>47.7</v>
      </c>
      <c r="AA96" s="125">
        <v>28.6</v>
      </c>
      <c r="AB96" s="125">
        <v>20</v>
      </c>
      <c r="AC96" s="125">
        <v>12</v>
      </c>
      <c r="AD96" s="125">
        <v>19</v>
      </c>
      <c r="AE96" s="125">
        <v>17</v>
      </c>
      <c r="AF96" s="126">
        <v>19</v>
      </c>
      <c r="AG96" s="127"/>
      <c r="AH96" s="56">
        <f t="shared" si="22"/>
        <v>72</v>
      </c>
      <c r="AI96" s="121">
        <f t="shared" si="23"/>
        <v>0.75</v>
      </c>
    </row>
    <row r="97" spans="1:37" ht="15.75" thickBot="1" x14ac:dyDescent="0.3">
      <c r="A97" s="124" t="s">
        <v>101</v>
      </c>
      <c r="B97" s="65">
        <v>57.8</v>
      </c>
      <c r="C97" s="65">
        <v>58.5</v>
      </c>
      <c r="D97" s="65">
        <v>49.7</v>
      </c>
      <c r="E97" s="65">
        <v>46.6</v>
      </c>
      <c r="F97" s="65">
        <v>42.9</v>
      </c>
      <c r="G97" s="65">
        <v>48</v>
      </c>
      <c r="H97" s="65">
        <v>45.8</v>
      </c>
      <c r="I97" s="65">
        <v>51.9</v>
      </c>
      <c r="J97" s="65">
        <v>55.7</v>
      </c>
      <c r="K97" s="65">
        <v>55.7</v>
      </c>
      <c r="L97" s="65">
        <v>55.3</v>
      </c>
      <c r="M97" s="65">
        <v>55.3</v>
      </c>
      <c r="N97" s="65">
        <v>58.7</v>
      </c>
      <c r="O97" s="65">
        <v>61</v>
      </c>
      <c r="P97" s="65">
        <v>38.700000000000003</v>
      </c>
      <c r="Q97" s="65">
        <v>38.700000000000003</v>
      </c>
      <c r="R97" s="65">
        <v>35.299999999999997</v>
      </c>
      <c r="S97" s="65">
        <v>35.299999999999997</v>
      </c>
      <c r="T97" s="65">
        <v>27.2</v>
      </c>
      <c r="U97" s="65">
        <v>32</v>
      </c>
      <c r="V97" s="65">
        <v>41.7</v>
      </c>
      <c r="W97" s="65">
        <v>62.4</v>
      </c>
      <c r="X97" s="65">
        <v>73.099999999999994</v>
      </c>
      <c r="Y97" s="65">
        <v>72</v>
      </c>
      <c r="Z97" s="65">
        <v>59.4</v>
      </c>
      <c r="AA97" s="125">
        <v>46.6</v>
      </c>
      <c r="AB97" s="125">
        <v>44</v>
      </c>
      <c r="AC97" s="125">
        <v>35</v>
      </c>
      <c r="AD97" s="125">
        <v>45</v>
      </c>
      <c r="AE97" s="125">
        <v>44</v>
      </c>
      <c r="AF97" s="126">
        <v>50</v>
      </c>
      <c r="AG97" s="128"/>
      <c r="AH97" s="56">
        <f t="shared" si="22"/>
        <v>73.099999999999994</v>
      </c>
      <c r="AI97" s="121">
        <f t="shared" si="23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960.1400000000001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4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2078/07/4)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2078/07/4)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708.6400000000001</v>
      </c>
      <c r="U211" s="173">
        <f t="shared" si="52"/>
        <v>708.14</v>
      </c>
      <c r="V211" s="173">
        <f t="shared" si="52"/>
        <v>689.04</v>
      </c>
      <c r="W211" s="173">
        <f t="shared" si="52"/>
        <v>691.04</v>
      </c>
      <c r="X211" s="173">
        <f t="shared" si="52"/>
        <v>707.94</v>
      </c>
      <c r="Y211" s="173">
        <f t="shared" si="52"/>
        <v>727.6400000000001</v>
      </c>
      <c r="Z211" s="173">
        <f t="shared" si="52"/>
        <v>775.44</v>
      </c>
      <c r="AA211" s="173">
        <f t="shared" si="52"/>
        <v>795.04</v>
      </c>
      <c r="AB211" s="173">
        <f t="shared" si="52"/>
        <v>857.6400000000001</v>
      </c>
      <c r="AC211" s="173">
        <f t="shared" si="52"/>
        <v>920.54</v>
      </c>
      <c r="AD211" s="173">
        <f t="shared" si="52"/>
        <v>960.1400000000001</v>
      </c>
      <c r="AE211" s="173">
        <f t="shared" si="52"/>
        <v>940.54000000000008</v>
      </c>
      <c r="AF211" s="173">
        <f t="shared" si="52"/>
        <v>920.74</v>
      </c>
      <c r="AG211" s="173">
        <f t="shared" si="52"/>
        <v>931.94</v>
      </c>
      <c r="AH211" s="173">
        <f t="shared" si="52"/>
        <v>920.54000000000008</v>
      </c>
      <c r="AI211" s="173">
        <f t="shared" si="52"/>
        <v>919.84000000000015</v>
      </c>
      <c r="AJ211" s="173">
        <f t="shared" si="52"/>
        <v>915.74</v>
      </c>
      <c r="AK211" s="173">
        <f t="shared" si="52"/>
        <v>935.14</v>
      </c>
      <c r="AL211" s="173">
        <f t="shared" si="52"/>
        <v>954.54</v>
      </c>
      <c r="AM211" s="173">
        <f t="shared" si="52"/>
        <v>981.94</v>
      </c>
      <c r="AN211" s="173">
        <f t="shared" si="52"/>
        <v>1090.7400000000002</v>
      </c>
      <c r="AO211" s="173">
        <f t="shared" si="52"/>
        <v>1202.1400000000001</v>
      </c>
      <c r="AP211" s="173">
        <f t="shared" si="52"/>
        <v>1245.6400000000001</v>
      </c>
      <c r="AQ211" s="173">
        <f t="shared" si="52"/>
        <v>1207.94</v>
      </c>
      <c r="AR211" s="173">
        <f t="shared" si="52"/>
        <v>1158.1400000000001</v>
      </c>
      <c r="AS211" s="173">
        <f t="shared" si="52"/>
        <v>1001.84</v>
      </c>
      <c r="AT211" s="173">
        <f t="shared" si="52"/>
        <v>1016.84</v>
      </c>
      <c r="AU211" s="173">
        <f t="shared" si="52"/>
        <v>989.74</v>
      </c>
      <c r="AV211" s="173">
        <f t="shared" si="52"/>
        <v>932.94</v>
      </c>
      <c r="AW211" s="173">
        <f t="shared" si="52"/>
        <v>834.24</v>
      </c>
      <c r="AX211" s="173">
        <f t="shared" si="52"/>
        <v>842.24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8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8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934" priority="580">
      <formula>S$9&gt;=20/24</formula>
    </cfRule>
    <cfRule type="expression" dxfId="9933" priority="581">
      <formula>AND(S$9&gt;=14/24,S$9&lt;20/24)</formula>
    </cfRule>
    <cfRule type="expression" dxfId="9932" priority="582">
      <formula>AND(S$9&gt;=8/24,S$9&lt;14/24)</formula>
    </cfRule>
    <cfRule type="expression" dxfId="9931" priority="583">
      <formula>S$9&lt;8/24</formula>
    </cfRule>
  </conditionalFormatting>
  <conditionalFormatting sqref="B8:AF10 AA79:AF79 B79:Q79 B54:AF54 B80:AF80 C191:AF197 B66:AF70 T210:AX210 N37:N40 M43:N43 O37:P39 N11:P12 W83:Z89 B72:AF76 B78:AF78 B61:H65 L56:L59 B55:K59 N15:N16 L35:M35 L16:M26 O35 N44:N46 N13 P13 P40 Q11:Q13 R38:S39 Q37:Q40 R56:V57 N56:Q65 T38:AD40 R11:AD11 AA82:AF89 W17:AF29 L51:AF53 AE55:AF58">
    <cfRule type="expression" dxfId="9930" priority="576">
      <formula>B$9&gt;=20/24</formula>
    </cfRule>
    <cfRule type="expression" dxfId="9929" priority="577">
      <formula>AND(B$9&gt;=14/24,B$9&lt;20/24)</formula>
    </cfRule>
    <cfRule type="expression" dxfId="9928" priority="578">
      <formula>AND(B$9&gt;=8/24,B$9&lt;14/24)</formula>
    </cfRule>
    <cfRule type="expression" dxfId="9927" priority="579">
      <formula>B$9&lt;8/24</formula>
    </cfRule>
  </conditionalFormatting>
  <conditionalFormatting sqref="B189:AF189">
    <cfRule type="expression" dxfId="9926" priority="572">
      <formula>B$9&gt;=20/24</formula>
    </cfRule>
    <cfRule type="expression" dxfId="9925" priority="573">
      <formula>AND(B$9&gt;=14/24,B$9&lt;20/24)</formula>
    </cfRule>
    <cfRule type="expression" dxfId="9924" priority="574">
      <formula>AND(B$9&gt;=8/24,B$9&lt;14/24)</formula>
    </cfRule>
    <cfRule type="expression" dxfId="9923" priority="575">
      <formula>B$9&lt;8/24</formula>
    </cfRule>
  </conditionalFormatting>
  <conditionalFormatting sqref="AL4:AL6">
    <cfRule type="iconSet" priority="571">
      <iconSet iconSet="3TrafficLights2" reverse="1">
        <cfvo type="percent" val="0"/>
        <cfvo type="num" val="1"/>
        <cfvo type="num" val="1"/>
      </iconSet>
    </cfRule>
  </conditionalFormatting>
  <conditionalFormatting sqref="L55 N55:Q55">
    <cfRule type="expression" dxfId="9922" priority="567">
      <formula>L$9&gt;=20/24</formula>
    </cfRule>
    <cfRule type="expression" dxfId="9921" priority="568">
      <formula>AND(L$9&gt;=14/24,L$9&lt;20/24)</formula>
    </cfRule>
    <cfRule type="expression" dxfId="9920" priority="569">
      <formula>AND(L$9&gt;=8/24,L$9&lt;14/24)</formula>
    </cfRule>
    <cfRule type="expression" dxfId="9919" priority="570">
      <formula>L$9&lt;8/24</formula>
    </cfRule>
  </conditionalFormatting>
  <conditionalFormatting sqref="N41">
    <cfRule type="expression" dxfId="9918" priority="563">
      <formula>N$9&gt;=20/24</formula>
    </cfRule>
    <cfRule type="expression" dxfId="9917" priority="564">
      <formula>AND(N$9&gt;=14/24,N$9&lt;20/24)</formula>
    </cfRule>
    <cfRule type="expression" dxfId="9916" priority="565">
      <formula>AND(N$9&gt;=8/24,N$9&lt;14/24)</formula>
    </cfRule>
    <cfRule type="expression" dxfId="9915" priority="566">
      <formula>N$9&lt;8/24</formula>
    </cfRule>
  </conditionalFormatting>
  <conditionalFormatting sqref="R37:AD37">
    <cfRule type="expression" dxfId="9914" priority="555">
      <formula>R$9&gt;=20/24</formula>
    </cfRule>
    <cfRule type="expression" dxfId="9913" priority="556">
      <formula>AND(R$9&gt;=14/24,R$9&lt;20/24)</formula>
    </cfRule>
    <cfRule type="expression" dxfId="9912" priority="557">
      <formula>AND(R$9&gt;=8/24,R$9&lt;14/24)</formula>
    </cfRule>
    <cfRule type="expression" dxfId="9911" priority="558">
      <formula>R$9&lt;8/24</formula>
    </cfRule>
  </conditionalFormatting>
  <conditionalFormatting sqref="R55:AD55">
    <cfRule type="expression" dxfId="9910" priority="551">
      <formula>R$9&gt;=20/24</formula>
    </cfRule>
    <cfRule type="expression" dxfId="9909" priority="552">
      <formula>AND(R$9&gt;=14/24,R$9&lt;20/24)</formula>
    </cfRule>
    <cfRule type="expression" dxfId="9908" priority="553">
      <formula>AND(R$9&gt;=8/24,R$9&lt;14/24)</formula>
    </cfRule>
    <cfRule type="expression" dxfId="9907" priority="554">
      <formula>R$9&lt;8/24</formula>
    </cfRule>
  </conditionalFormatting>
  <conditionalFormatting sqref="R79:Z79">
    <cfRule type="expression" dxfId="9906" priority="547">
      <formula>R$9&gt;=20/24</formula>
    </cfRule>
    <cfRule type="expression" dxfId="9905" priority="548">
      <formula>AND(R$9&gt;=14/24,R$9&lt;20/24)</formula>
    </cfRule>
    <cfRule type="expression" dxfId="9904" priority="549">
      <formula>AND(R$9&gt;=8/24,R$9&lt;14/24)</formula>
    </cfRule>
    <cfRule type="expression" dxfId="9903" priority="550">
      <formula>R$9&lt;8/24</formula>
    </cfRule>
  </conditionalFormatting>
  <conditionalFormatting sqref="T82:Z82">
    <cfRule type="expression" dxfId="9902" priority="543">
      <formula>T$9&gt;=20/24</formula>
    </cfRule>
    <cfRule type="expression" dxfId="9901" priority="544">
      <formula>AND(T$9&gt;=14/24,T$9&lt;20/24)</formula>
    </cfRule>
    <cfRule type="expression" dxfId="9900" priority="545">
      <formula>AND(T$9&gt;=8/24,T$9&lt;14/24)</formula>
    </cfRule>
    <cfRule type="expression" dxfId="9899" priority="546">
      <formula>T$9&lt;8/24</formula>
    </cfRule>
  </conditionalFormatting>
  <conditionalFormatting sqref="N47 R47">
    <cfRule type="expression" dxfId="9898" priority="535">
      <formula>N$9&gt;=20/24</formula>
    </cfRule>
    <cfRule type="expression" dxfId="9897" priority="536">
      <formula>AND(N$9&gt;=14/24,N$9&lt;20/24)</formula>
    </cfRule>
    <cfRule type="expression" dxfId="9896" priority="537">
      <formula>AND(N$9&gt;=8/24,N$9&lt;14/24)</formula>
    </cfRule>
    <cfRule type="expression" dxfId="9895" priority="538">
      <formula>N$9&lt;8/24</formula>
    </cfRule>
  </conditionalFormatting>
  <conditionalFormatting sqref="N48">
    <cfRule type="expression" dxfId="9894" priority="531">
      <formula>N$9&gt;=20/24</formula>
    </cfRule>
    <cfRule type="expression" dxfId="9893" priority="532">
      <formula>AND(N$9&gt;=14/24,N$9&lt;20/24)</formula>
    </cfRule>
    <cfRule type="expression" dxfId="9892" priority="533">
      <formula>AND(N$9&gt;=8/24,N$9&lt;14/24)</formula>
    </cfRule>
    <cfRule type="expression" dxfId="9891" priority="534">
      <formula>N$9&lt;8/24</formula>
    </cfRule>
  </conditionalFormatting>
  <conditionalFormatting sqref="M43:N43 N44:N46">
    <cfRule type="expression" dxfId="9890" priority="527">
      <formula>M$9&gt;=20/24</formula>
    </cfRule>
    <cfRule type="expression" dxfId="9889" priority="528">
      <formula>AND(M$9&gt;=14/24,M$9&lt;20/24)</formula>
    </cfRule>
    <cfRule type="expression" dxfId="9888" priority="529">
      <formula>AND(M$9&gt;=8/24,M$9&lt;14/24)</formula>
    </cfRule>
    <cfRule type="expression" dxfId="9887" priority="530">
      <formula>M$9&lt;8/24</formula>
    </cfRule>
  </conditionalFormatting>
  <conditionalFormatting sqref="U35:AE35">
    <cfRule type="expression" dxfId="9886" priority="523">
      <formula>U$9&gt;=20/24</formula>
    </cfRule>
    <cfRule type="expression" dxfId="9885" priority="524">
      <formula>AND(U$9&gt;=14/24,U$9&lt;20/24)</formula>
    </cfRule>
    <cfRule type="expression" dxfId="9884" priority="525">
      <formula>AND(U$9&gt;=8/24,U$9&lt;14/24)</formula>
    </cfRule>
    <cfRule type="expression" dxfId="9883" priority="526">
      <formula>U$9&lt;8/24</formula>
    </cfRule>
  </conditionalFormatting>
  <conditionalFormatting sqref="W30:AF31 W33:AF33">
    <cfRule type="expression" dxfId="9882" priority="519">
      <formula>W$9&gt;=20/24</formula>
    </cfRule>
    <cfRule type="expression" dxfId="9881" priority="520">
      <formula>AND(W$9&gt;=14/24,W$9&lt;20/24)</formula>
    </cfRule>
    <cfRule type="expression" dxfId="9880" priority="521">
      <formula>AND(W$9&gt;=8/24,W$9&lt;14/24)</formula>
    </cfRule>
    <cfRule type="expression" dxfId="9879" priority="522">
      <formula>W$9&lt;8/24</formula>
    </cfRule>
  </conditionalFormatting>
  <conditionalFormatting sqref="R40:S40 R43:R46 R41 T43:V45 T41:AD41 W43:AF46">
    <cfRule type="expression" dxfId="9878" priority="515">
      <formula>R$9&gt;=20/24</formula>
    </cfRule>
    <cfRule type="expression" dxfId="9877" priority="516">
      <formula>AND(R$9&gt;=14/24,R$9&lt;20/24)</formula>
    </cfRule>
    <cfRule type="expression" dxfId="9876" priority="517">
      <formula>AND(R$9&gt;=8/24,R$9&lt;14/24)</formula>
    </cfRule>
    <cfRule type="expression" dxfId="9875" priority="518">
      <formula>R$9&lt;8/24</formula>
    </cfRule>
  </conditionalFormatting>
  <conditionalFormatting sqref="R47 W47:AF47">
    <cfRule type="expression" dxfId="9874" priority="511">
      <formula>R$9&gt;=20/24</formula>
    </cfRule>
    <cfRule type="expression" dxfId="9873" priority="512">
      <formula>AND(R$9&gt;=14/24,R$9&lt;20/24)</formula>
    </cfRule>
    <cfRule type="expression" dxfId="9872" priority="513">
      <formula>AND(R$9&gt;=8/24,R$9&lt;14/24)</formula>
    </cfRule>
    <cfRule type="expression" dxfId="9871" priority="514">
      <formula>R$9&lt;8/24</formula>
    </cfRule>
  </conditionalFormatting>
  <conditionalFormatting sqref="R48:T48 AA48:AF48">
    <cfRule type="expression" dxfId="9870" priority="507">
      <formula>R$9&gt;=20/24</formula>
    </cfRule>
    <cfRule type="expression" dxfId="9869" priority="508">
      <formula>AND(R$9&gt;=14/24,R$9&lt;20/24)</formula>
    </cfRule>
    <cfRule type="expression" dxfId="9868" priority="509">
      <formula>AND(R$9&gt;=8/24,R$9&lt;14/24)</formula>
    </cfRule>
    <cfRule type="expression" dxfId="9867" priority="510">
      <formula>R$9&lt;8/24</formula>
    </cfRule>
  </conditionalFormatting>
  <conditionalFormatting sqref="R58:S65 W58:AD65 AE59:AF65">
    <cfRule type="expression" dxfId="9866" priority="503">
      <formula>R$9&gt;=20/24</formula>
    </cfRule>
    <cfRule type="expression" dxfId="9865" priority="504">
      <formula>AND(R$9&gt;=14/24,R$9&lt;20/24)</formula>
    </cfRule>
    <cfRule type="expression" dxfId="9864" priority="505">
      <formula>AND(R$9&gt;=8/24,R$9&lt;14/24)</formula>
    </cfRule>
    <cfRule type="expression" dxfId="9863" priority="506">
      <formula>R$9&lt;8/24</formula>
    </cfRule>
  </conditionalFormatting>
  <conditionalFormatting sqref="AA92:AF95">
    <cfRule type="expression" dxfId="9862" priority="499">
      <formula>AA$9&gt;=20/24</formula>
    </cfRule>
    <cfRule type="expression" dxfId="9861" priority="500">
      <formula>AND(AA$9&gt;=14/24,AA$9&lt;20/24)</formula>
    </cfRule>
    <cfRule type="expression" dxfId="9860" priority="501">
      <formula>AND(AA$9&gt;=8/24,AA$9&lt;14/24)</formula>
    </cfRule>
    <cfRule type="expression" dxfId="9859" priority="502">
      <formula>AA$9&lt;8/24</formula>
    </cfRule>
  </conditionalFormatting>
  <conditionalFormatting sqref="B60:H60 I60:K65">
    <cfRule type="expression" dxfId="9858" priority="495">
      <formula>B$9&gt;=20/24</formula>
    </cfRule>
    <cfRule type="expression" dxfId="9857" priority="496">
      <formula>AND(B$9&gt;=14/24,B$9&lt;20/24)</formula>
    </cfRule>
    <cfRule type="expression" dxfId="9856" priority="497">
      <formula>AND(B$9&gt;=8/24,B$9&lt;14/24)</formula>
    </cfRule>
    <cfRule type="expression" dxfId="9855" priority="498">
      <formula>B$9&lt;8/24</formula>
    </cfRule>
  </conditionalFormatting>
  <conditionalFormatting sqref="T92:Z95">
    <cfRule type="expression" dxfId="9854" priority="491">
      <formula>T$9&gt;=20/24</formula>
    </cfRule>
    <cfRule type="expression" dxfId="9853" priority="492">
      <formula>AND(T$9&gt;=14/24,T$9&lt;20/24)</formula>
    </cfRule>
    <cfRule type="expression" dxfId="9852" priority="493">
      <formula>AND(T$9&gt;=8/24,T$9&lt;14/24)</formula>
    </cfRule>
    <cfRule type="expression" dxfId="9851" priority="494">
      <formula>T$9&lt;8/24</formula>
    </cfRule>
  </conditionalFormatting>
  <conditionalFormatting sqref="AG49 N11:P12 B15:K31 B11:K13 B36:AF36 B33:K33 B43:K48 M43:N43 B37:K41 N37:P39 O35 N15:N16 L16:M26 B34:M35 N44:N48 N13 P13 N40:N41 P40 R43:R48 Q11:Q13 R41 T43:V45 W43:Z47 S48:T48 Q37:AF40 R11:AD11 T41:AF41 U35:AF35 AE11:AF12 W33:AF34 W17:AF31 AA43:AF48 B49:AF54">
    <cfRule type="expression" dxfId="9850" priority="490">
      <formula>B11&gt;$AG11</formula>
    </cfRule>
  </conditionalFormatting>
  <conditionalFormatting sqref="A98:A154 A82:A95 A11:A13 A15:A31 A43:A70 A78:A80 A72:A76 A33:A41 A167:A198">
    <cfRule type="expression" dxfId="9849" priority="489">
      <formula>$AH11=0</formula>
    </cfRule>
  </conditionalFormatting>
  <conditionalFormatting sqref="AA96:AF96">
    <cfRule type="expression" dxfId="9848" priority="485">
      <formula>AA$9&gt;=20/24</formula>
    </cfRule>
    <cfRule type="expression" dxfId="9847" priority="486">
      <formula>AND(AA$9&gt;=14/24,AA$9&lt;20/24)</formula>
    </cfRule>
    <cfRule type="expression" dxfId="9846" priority="487">
      <formula>AND(AA$9&gt;=8/24,AA$9&lt;14/24)</formula>
    </cfRule>
    <cfRule type="expression" dxfId="9845" priority="488">
      <formula>AA$9&lt;8/24</formula>
    </cfRule>
  </conditionalFormatting>
  <conditionalFormatting sqref="T96:Z96">
    <cfRule type="expression" dxfId="9844" priority="481">
      <formula>T$9&gt;=20/24</formula>
    </cfRule>
    <cfRule type="expression" dxfId="9843" priority="482">
      <formula>AND(T$9&gt;=14/24,T$9&lt;20/24)</formula>
    </cfRule>
    <cfRule type="expression" dxfId="9842" priority="483">
      <formula>AND(T$9&gt;=8/24,T$9&lt;14/24)</formula>
    </cfRule>
    <cfRule type="expression" dxfId="9841" priority="484">
      <formula>T$9&lt;8/24</formula>
    </cfRule>
  </conditionalFormatting>
  <conditionalFormatting sqref="A96">
    <cfRule type="expression" dxfId="9840" priority="480">
      <formula>$AH96=0</formula>
    </cfRule>
  </conditionalFormatting>
  <conditionalFormatting sqref="W34:AF34">
    <cfRule type="expression" dxfId="9839" priority="476">
      <formula>W$9&gt;=20/24</formula>
    </cfRule>
    <cfRule type="expression" dxfId="9838" priority="477">
      <formula>AND(W$9&gt;=14/24,W$9&lt;20/24)</formula>
    </cfRule>
    <cfRule type="expression" dxfId="9837" priority="478">
      <formula>AND(W$9&gt;=8/24,W$9&lt;14/24)</formula>
    </cfRule>
    <cfRule type="expression" dxfId="9836" priority="479">
      <formula>W$9&lt;8/24</formula>
    </cfRule>
  </conditionalFormatting>
  <conditionalFormatting sqref="W34:AF34">
    <cfRule type="expression" dxfId="9835" priority="472">
      <formula>W$9&gt;=20/24</formula>
    </cfRule>
    <cfRule type="expression" dxfId="9834" priority="473">
      <formula>AND(W$9&gt;=14/24,W$9&lt;20/24)</formula>
    </cfRule>
    <cfRule type="expression" dxfId="9833" priority="474">
      <formula>AND(W$9&gt;=8/24,W$9&lt;14/24)</formula>
    </cfRule>
    <cfRule type="expression" dxfId="9832" priority="475">
      <formula>W$9&lt;8/24</formula>
    </cfRule>
  </conditionalFormatting>
  <conditionalFormatting sqref="B34:M34">
    <cfRule type="expression" dxfId="9831" priority="468">
      <formula>B$9&gt;=20/24</formula>
    </cfRule>
    <cfRule type="expression" dxfId="9830" priority="469">
      <formula>AND(B$9&gt;=14/24,B$9&lt;20/24)</formula>
    </cfRule>
    <cfRule type="expression" dxfId="9829" priority="470">
      <formula>AND(B$9&gt;=8/24,B$9&lt;14/24)</formula>
    </cfRule>
    <cfRule type="expression" dxfId="9828" priority="471">
      <formula>B$9&lt;8/24</formula>
    </cfRule>
  </conditionalFormatting>
  <conditionalFormatting sqref="L60:L65">
    <cfRule type="expression" dxfId="9827" priority="460">
      <formula>L$9&gt;=20/24</formula>
    </cfRule>
    <cfRule type="expression" dxfId="9826" priority="461">
      <formula>AND(L$9&gt;=14/24,L$9&lt;20/24)</formula>
    </cfRule>
    <cfRule type="expression" dxfId="9825" priority="462">
      <formula>AND(L$9&gt;=8/24,L$9&lt;14/24)</formula>
    </cfRule>
    <cfRule type="expression" dxfId="9824" priority="463">
      <formula>L$9&lt;8/24</formula>
    </cfRule>
  </conditionalFormatting>
  <conditionalFormatting sqref="AL31">
    <cfRule type="iconSet" priority="459">
      <iconSet iconSet="3TrafficLights2" reverse="1">
        <cfvo type="percent" val="0"/>
        <cfvo type="num" val="1"/>
        <cfvo type="num" val="1"/>
      </iconSet>
    </cfRule>
  </conditionalFormatting>
  <conditionalFormatting sqref="W32:AF32">
    <cfRule type="expression" dxfId="9823" priority="447">
      <formula>W$9&gt;=20/24</formula>
    </cfRule>
    <cfRule type="expression" dxfId="9822" priority="448">
      <formula>AND(W$9&gt;=14/24,W$9&lt;20/24)</formula>
    </cfRule>
    <cfRule type="expression" dxfId="9821" priority="449">
      <formula>AND(W$9&gt;=8/24,W$9&lt;14/24)</formula>
    </cfRule>
    <cfRule type="expression" dxfId="9820" priority="450">
      <formula>W$9&lt;8/24</formula>
    </cfRule>
  </conditionalFormatting>
  <conditionalFormatting sqref="B32:K32 W32:AF32">
    <cfRule type="expression" dxfId="9819" priority="446">
      <formula>B32&gt;$AG32</formula>
    </cfRule>
  </conditionalFormatting>
  <conditionalFormatting sqref="A32">
    <cfRule type="expression" dxfId="9818" priority="445">
      <formula>$AH32=0</formula>
    </cfRule>
  </conditionalFormatting>
  <conditionalFormatting sqref="B81:AF81">
    <cfRule type="expression" dxfId="9817" priority="441">
      <formula>B$9&gt;=20/24</formula>
    </cfRule>
    <cfRule type="expression" dxfId="9816" priority="442">
      <formula>AND(B$9&gt;=14/24,B$9&lt;20/24)</formula>
    </cfRule>
    <cfRule type="expression" dxfId="9815" priority="443">
      <formula>AND(B$9&gt;=8/24,B$9&lt;14/24)</formula>
    </cfRule>
    <cfRule type="expression" dxfId="9814" priority="444">
      <formula>B$9&lt;8/24</formula>
    </cfRule>
  </conditionalFormatting>
  <conditionalFormatting sqref="A81">
    <cfRule type="expression" dxfId="9813" priority="440">
      <formula>$AH81=0</formula>
    </cfRule>
  </conditionalFormatting>
  <conditionalFormatting sqref="N14">
    <cfRule type="expression" dxfId="9812" priority="432">
      <formula>N$9&gt;=20/24</formula>
    </cfRule>
    <cfRule type="expression" dxfId="9811" priority="433">
      <formula>AND(N$9&gt;=14/24,N$9&lt;20/24)</formula>
    </cfRule>
    <cfRule type="expression" dxfId="9810" priority="434">
      <formula>AND(N$9&gt;=8/24,N$9&lt;14/24)</formula>
    </cfRule>
    <cfRule type="expression" dxfId="9809" priority="435">
      <formula>N$9&lt;8/24</formula>
    </cfRule>
  </conditionalFormatting>
  <conditionalFormatting sqref="B14:K14 N14">
    <cfRule type="expression" dxfId="9808" priority="431">
      <formula>B14&gt;$AG14</formula>
    </cfRule>
  </conditionalFormatting>
  <conditionalFormatting sqref="A14">
    <cfRule type="expression" dxfId="9807" priority="430">
      <formula>$AH14=0</formula>
    </cfRule>
  </conditionalFormatting>
  <conditionalFormatting sqref="A161:A166">
    <cfRule type="expression" dxfId="9806" priority="429">
      <formula>$AH161=0</formula>
    </cfRule>
  </conditionalFormatting>
  <conditionalFormatting sqref="A155:A160">
    <cfRule type="expression" dxfId="9805" priority="428">
      <formula>$AH155=0</formula>
    </cfRule>
  </conditionalFormatting>
  <conditionalFormatting sqref="N42">
    <cfRule type="expression" dxfId="9804" priority="420">
      <formula>N$9&gt;=20/24</formula>
    </cfRule>
    <cfRule type="expression" dxfId="9803" priority="421">
      <formula>AND(N$9&gt;=14/24,N$9&lt;20/24)</formula>
    </cfRule>
    <cfRule type="expression" dxfId="9802" priority="422">
      <formula>AND(N$9&gt;=8/24,N$9&lt;14/24)</formula>
    </cfRule>
    <cfRule type="expression" dxfId="9801" priority="423">
      <formula>N$9&lt;8/24</formula>
    </cfRule>
  </conditionalFormatting>
  <conditionalFormatting sqref="R42 T42:AE42">
    <cfRule type="expression" dxfId="9800" priority="416">
      <formula>R$9&gt;=20/24</formula>
    </cfRule>
    <cfRule type="expression" dxfId="9799" priority="417">
      <formula>AND(R$9&gt;=14/24,R$9&lt;20/24)</formula>
    </cfRule>
    <cfRule type="expression" dxfId="9798" priority="418">
      <formula>AND(R$9&gt;=8/24,R$9&lt;14/24)</formula>
    </cfRule>
    <cfRule type="expression" dxfId="9797" priority="419">
      <formula>R$9&lt;8/24</formula>
    </cfRule>
  </conditionalFormatting>
  <conditionalFormatting sqref="B42:K42 N42 R42 T42:AF42">
    <cfRule type="expression" dxfId="9796" priority="415">
      <formula>B42&gt;$AG42</formula>
    </cfRule>
  </conditionalFormatting>
  <conditionalFormatting sqref="A42">
    <cfRule type="expression" dxfId="9795" priority="414">
      <formula>$AH42=0</formula>
    </cfRule>
  </conditionalFormatting>
  <conditionalFormatting sqref="B77:AF77">
    <cfRule type="expression" dxfId="9794" priority="410">
      <formula>B$9&gt;=20/24</formula>
    </cfRule>
    <cfRule type="expression" dxfId="9793" priority="411">
      <formula>AND(B$9&gt;=14/24,B$9&lt;20/24)</formula>
    </cfRule>
    <cfRule type="expression" dxfId="9792" priority="412">
      <formula>AND(B$9&gt;=8/24,B$9&lt;14/24)</formula>
    </cfRule>
    <cfRule type="expression" dxfId="9791" priority="413">
      <formula>B$9&lt;8/24</formula>
    </cfRule>
  </conditionalFormatting>
  <conditionalFormatting sqref="A77">
    <cfRule type="expression" dxfId="9790" priority="409">
      <formula>$AH77=0</formula>
    </cfRule>
  </conditionalFormatting>
  <conditionalFormatting sqref="B71:AG71">
    <cfRule type="expression" dxfId="9789" priority="405">
      <formula>B$9&gt;=20/24</formula>
    </cfRule>
    <cfRule type="expression" dxfId="9788" priority="406">
      <formula>AND(B$9&gt;=14/24,B$9&lt;20/24)</formula>
    </cfRule>
    <cfRule type="expression" dxfId="9787" priority="407">
      <formula>AND(B$9&gt;=8/24,B$9&lt;14/24)</formula>
    </cfRule>
    <cfRule type="expression" dxfId="9786" priority="408">
      <formula>B$9&lt;8/24</formula>
    </cfRule>
  </conditionalFormatting>
  <conditionalFormatting sqref="A71">
    <cfRule type="expression" dxfId="9785" priority="404">
      <formula>$AH71=0</formula>
    </cfRule>
  </conditionalFormatting>
  <conditionalFormatting sqref="AL32:AL33 AL7:AL26 AL28:AL30">
    <cfRule type="iconSet" priority="586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9784" priority="400">
      <formula>T$9&gt;=20/24</formula>
    </cfRule>
    <cfRule type="expression" dxfId="9783" priority="401">
      <formula>AND(T$9&gt;=14/24,T$9&lt;20/24)</formula>
    </cfRule>
    <cfRule type="expression" dxfId="9782" priority="402">
      <formula>AND(T$9&gt;=8/24,T$9&lt;14/24)</formula>
    </cfRule>
    <cfRule type="expression" dxfId="9781" priority="403">
      <formula>T$9&lt;8/24</formula>
    </cfRule>
  </conditionalFormatting>
  <conditionalFormatting sqref="T83:V89">
    <cfRule type="expression" dxfId="9780" priority="396">
      <formula>T$9&gt;=20/24</formula>
    </cfRule>
    <cfRule type="expression" dxfId="9779" priority="397">
      <formula>AND(T$9&gt;=14/24,T$9&lt;20/24)</formula>
    </cfRule>
    <cfRule type="expression" dxfId="9778" priority="398">
      <formula>AND(T$9&gt;=8/24,T$9&lt;14/24)</formula>
    </cfRule>
    <cfRule type="expression" dxfId="9777" priority="399">
      <formula>T$9&lt;8/24</formula>
    </cfRule>
  </conditionalFormatting>
  <conditionalFormatting sqref="B82:Q89 R83:S89">
    <cfRule type="expression" dxfId="9776" priority="392">
      <formula>B$9&gt;=20/24</formula>
    </cfRule>
    <cfRule type="expression" dxfId="9775" priority="393">
      <formula>AND(B$9&gt;=14/24,B$9&lt;20/24)</formula>
    </cfRule>
    <cfRule type="expression" dxfId="9774" priority="394">
      <formula>AND(B$9&gt;=8/24,B$9&lt;14/24)</formula>
    </cfRule>
    <cfRule type="expression" dxfId="9773" priority="395">
      <formula>B$9&lt;8/24</formula>
    </cfRule>
  </conditionalFormatting>
  <conditionalFormatting sqref="R82:S82">
    <cfRule type="expression" dxfId="9772" priority="388">
      <formula>R$9&gt;=20/24</formula>
    </cfRule>
    <cfRule type="expression" dxfId="9771" priority="389">
      <formula>AND(R$9&gt;=14/24,R$9&lt;20/24)</formula>
    </cfRule>
    <cfRule type="expression" dxfId="9770" priority="390">
      <formula>AND(R$9&gt;=8/24,R$9&lt;14/24)</formula>
    </cfRule>
    <cfRule type="expression" dxfId="9769" priority="391">
      <formula>R$9&lt;8/24</formula>
    </cfRule>
  </conditionalFormatting>
  <conditionalFormatting sqref="E92 B92:D95 E93:L95">
    <cfRule type="expression" dxfId="9768" priority="384">
      <formula>B$9&gt;=20/24</formula>
    </cfRule>
    <cfRule type="expression" dxfId="9767" priority="385">
      <formula>AND(B$9&gt;=14/24,B$9&lt;20/24)</formula>
    </cfRule>
    <cfRule type="expression" dxfId="9766" priority="386">
      <formula>AND(B$9&gt;=8/24,B$9&lt;14/24)</formula>
    </cfRule>
    <cfRule type="expression" dxfId="9765" priority="387">
      <formula>B$9&lt;8/24</formula>
    </cfRule>
  </conditionalFormatting>
  <conditionalFormatting sqref="N92:Q95">
    <cfRule type="expression" dxfId="9764" priority="380">
      <formula>N$9&gt;=20/24</formula>
    </cfRule>
    <cfRule type="expression" dxfId="9763" priority="381">
      <formula>AND(N$9&gt;=14/24,N$9&lt;20/24)</formula>
    </cfRule>
    <cfRule type="expression" dxfId="9762" priority="382">
      <formula>AND(N$9&gt;=8/24,N$9&lt;14/24)</formula>
    </cfRule>
    <cfRule type="expression" dxfId="9761" priority="383">
      <formula>N$9&lt;8/24</formula>
    </cfRule>
  </conditionalFormatting>
  <conditionalFormatting sqref="R92:R95">
    <cfRule type="expression" dxfId="9760" priority="376">
      <formula>R$9&gt;=20/24</formula>
    </cfRule>
    <cfRule type="expression" dxfId="9759" priority="377">
      <formula>AND(R$9&gt;=14/24,R$9&lt;20/24)</formula>
    </cfRule>
    <cfRule type="expression" dxfId="9758" priority="378">
      <formula>AND(R$9&gt;=8/24,R$9&lt;14/24)</formula>
    </cfRule>
    <cfRule type="expression" dxfId="9757" priority="379">
      <formula>R$9&lt;8/24</formula>
    </cfRule>
  </conditionalFormatting>
  <conditionalFormatting sqref="B96:L96">
    <cfRule type="expression" dxfId="9756" priority="372">
      <formula>B$9&gt;=20/24</formula>
    </cfRule>
    <cfRule type="expression" dxfId="9755" priority="373">
      <formula>AND(B$9&gt;=14/24,B$9&lt;20/24)</formula>
    </cfRule>
    <cfRule type="expression" dxfId="9754" priority="374">
      <formula>AND(B$9&gt;=8/24,B$9&lt;14/24)</formula>
    </cfRule>
    <cfRule type="expression" dxfId="9753" priority="375">
      <formula>B$9&lt;8/24</formula>
    </cfRule>
  </conditionalFormatting>
  <conditionalFormatting sqref="N96:Q96">
    <cfRule type="expression" dxfId="9752" priority="368">
      <formula>N$9&gt;=20/24</formula>
    </cfRule>
    <cfRule type="expression" dxfId="9751" priority="369">
      <formula>AND(N$9&gt;=14/24,N$9&lt;20/24)</formula>
    </cfRule>
    <cfRule type="expression" dxfId="9750" priority="370">
      <formula>AND(N$9&gt;=8/24,N$9&lt;14/24)</formula>
    </cfRule>
    <cfRule type="expression" dxfId="9749" priority="371">
      <formula>N$9&lt;8/24</formula>
    </cfRule>
  </conditionalFormatting>
  <conditionalFormatting sqref="R96">
    <cfRule type="expression" dxfId="9748" priority="364">
      <formula>R$9&gt;=20/24</formula>
    </cfRule>
    <cfRule type="expression" dxfId="9747" priority="365">
      <formula>AND(R$9&gt;=14/24,R$9&lt;20/24)</formula>
    </cfRule>
    <cfRule type="expression" dxfId="9746" priority="366">
      <formula>AND(R$9&gt;=8/24,R$9&lt;14/24)</formula>
    </cfRule>
    <cfRule type="expression" dxfId="9745" priority="367">
      <formula>R$9&lt;8/24</formula>
    </cfRule>
  </conditionalFormatting>
  <conditionalFormatting sqref="F92:L92">
    <cfRule type="expression" dxfId="9744" priority="356">
      <formula>F$9&gt;=20/24</formula>
    </cfRule>
    <cfRule type="expression" dxfId="9743" priority="357">
      <formula>AND(F$9&gt;=14/24,F$9&lt;20/24)</formula>
    </cfRule>
    <cfRule type="expression" dxfId="9742" priority="358">
      <formula>AND(F$9&gt;=8/24,F$9&lt;14/24)</formula>
    </cfRule>
    <cfRule type="expression" dxfId="9741" priority="359">
      <formula>F$9&lt;8/24</formula>
    </cfRule>
  </conditionalFormatting>
  <conditionalFormatting sqref="T92:V92">
    <cfRule type="expression" dxfId="9740" priority="352">
      <formula>T$9&gt;=20/24</formula>
    </cfRule>
    <cfRule type="expression" dxfId="9739" priority="353">
      <formula>AND(T$9&gt;=14/24,T$9&lt;20/24)</formula>
    </cfRule>
    <cfRule type="expression" dxfId="9738" priority="354">
      <formula>AND(T$9&gt;=8/24,T$9&lt;14/24)</formula>
    </cfRule>
    <cfRule type="expression" dxfId="9737" priority="355">
      <formula>T$9&lt;8/24</formula>
    </cfRule>
  </conditionalFormatting>
  <conditionalFormatting sqref="N92:R92">
    <cfRule type="expression" dxfId="9736" priority="348">
      <formula>N$9&gt;=20/24</formula>
    </cfRule>
    <cfRule type="expression" dxfId="9735" priority="349">
      <formula>AND(N$9&gt;=14/24,N$9&lt;20/24)</formula>
    </cfRule>
    <cfRule type="expression" dxfId="9734" priority="350">
      <formula>AND(N$9&gt;=8/24,N$9&lt;14/24)</formula>
    </cfRule>
    <cfRule type="expression" dxfId="9733" priority="351">
      <formula>N$9&lt;8/24</formula>
    </cfRule>
  </conditionalFormatting>
  <conditionalFormatting sqref="AA97:AF97">
    <cfRule type="expression" dxfId="9732" priority="344">
      <formula>AA$9&gt;=20/24</formula>
    </cfRule>
    <cfRule type="expression" dxfId="9731" priority="345">
      <formula>AND(AA$9&gt;=14/24,AA$9&lt;20/24)</formula>
    </cfRule>
    <cfRule type="expression" dxfId="9730" priority="346">
      <formula>AND(AA$9&gt;=8/24,AA$9&lt;14/24)</formula>
    </cfRule>
    <cfRule type="expression" dxfId="9729" priority="347">
      <formula>AA$9&lt;8/24</formula>
    </cfRule>
  </conditionalFormatting>
  <conditionalFormatting sqref="T97:Z97">
    <cfRule type="expression" dxfId="9728" priority="340">
      <formula>T$9&gt;=20/24</formula>
    </cfRule>
    <cfRule type="expression" dxfId="9727" priority="341">
      <formula>AND(T$9&gt;=14/24,T$9&lt;20/24)</formula>
    </cfRule>
    <cfRule type="expression" dxfId="9726" priority="342">
      <formula>AND(T$9&gt;=8/24,T$9&lt;14/24)</formula>
    </cfRule>
    <cfRule type="expression" dxfId="9725" priority="343">
      <formula>T$9&lt;8/24</formula>
    </cfRule>
  </conditionalFormatting>
  <conditionalFormatting sqref="A97">
    <cfRule type="expression" dxfId="9724" priority="339">
      <formula>$AH97=0</formula>
    </cfRule>
  </conditionalFormatting>
  <conditionalFormatting sqref="B97:L97">
    <cfRule type="expression" dxfId="9723" priority="335">
      <formula>B$9&gt;=20/24</formula>
    </cfRule>
    <cfRule type="expression" dxfId="9722" priority="336">
      <formula>AND(B$9&gt;=14/24,B$9&lt;20/24)</formula>
    </cfRule>
    <cfRule type="expression" dxfId="9721" priority="337">
      <formula>AND(B$9&gt;=8/24,B$9&lt;14/24)</formula>
    </cfRule>
    <cfRule type="expression" dxfId="9720" priority="338">
      <formula>B$9&lt;8/24</formula>
    </cfRule>
  </conditionalFormatting>
  <conditionalFormatting sqref="N97:Q97">
    <cfRule type="expression" dxfId="9719" priority="331">
      <formula>N$9&gt;=20/24</formula>
    </cfRule>
    <cfRule type="expression" dxfId="9718" priority="332">
      <formula>AND(N$9&gt;=14/24,N$9&lt;20/24)</formula>
    </cfRule>
    <cfRule type="expression" dxfId="9717" priority="333">
      <formula>AND(N$9&gt;=8/24,N$9&lt;14/24)</formula>
    </cfRule>
    <cfRule type="expression" dxfId="9716" priority="334">
      <formula>N$9&lt;8/24</formula>
    </cfRule>
  </conditionalFormatting>
  <conditionalFormatting sqref="R97">
    <cfRule type="expression" dxfId="9715" priority="327">
      <formula>R$9&gt;=20/24</formula>
    </cfRule>
    <cfRule type="expression" dxfId="9714" priority="328">
      <formula>AND(R$9&gt;=14/24,R$9&lt;20/24)</formula>
    </cfRule>
    <cfRule type="expression" dxfId="9713" priority="329">
      <formula>AND(R$9&gt;=8/24,R$9&lt;14/24)</formula>
    </cfRule>
    <cfRule type="expression" dxfId="9712" priority="330">
      <formula>R$9&lt;8/24</formula>
    </cfRule>
  </conditionalFormatting>
  <conditionalFormatting sqref="R12:S12 R13:R14 W12:AD15 AE13:AF15">
    <cfRule type="expression" dxfId="9711" priority="323">
      <formula>R$9&gt;=20/24</formula>
    </cfRule>
    <cfRule type="expression" dxfId="9710" priority="324">
      <formula>AND(R$9&gt;=14/24,R$9&lt;20/24)</formula>
    </cfRule>
    <cfRule type="expression" dxfId="9709" priority="325">
      <formula>AND(R$9&gt;=8/24,R$9&lt;14/24)</formula>
    </cfRule>
    <cfRule type="expression" dxfId="9708" priority="326">
      <formula>R$9&lt;8/24</formula>
    </cfRule>
  </conditionalFormatting>
  <conditionalFormatting sqref="W16:AF16">
    <cfRule type="expression" dxfId="9707" priority="319">
      <formula>W$9&gt;=20/24</formula>
    </cfRule>
    <cfRule type="expression" dxfId="9706" priority="320">
      <formula>AND(W$9&gt;=14/24,W$9&lt;20/24)</formula>
    </cfRule>
    <cfRule type="expression" dxfId="9705" priority="321">
      <formula>AND(W$9&gt;=8/24,W$9&lt;14/24)</formula>
    </cfRule>
    <cfRule type="expression" dxfId="9704" priority="322">
      <formula>W$9&lt;8/24</formula>
    </cfRule>
  </conditionalFormatting>
  <conditionalFormatting sqref="R12:S12 W12:AD12">
    <cfRule type="expression" dxfId="9703" priority="315">
      <formula>R$9&gt;=20/24</formula>
    </cfRule>
    <cfRule type="expression" dxfId="9702" priority="316">
      <formula>AND(R$9&gt;=14/24,R$9&lt;20/24)</formula>
    </cfRule>
    <cfRule type="expression" dxfId="9701" priority="317">
      <formula>AND(R$9&gt;=8/24,R$9&lt;14/24)</formula>
    </cfRule>
    <cfRule type="expression" dxfId="9700" priority="318">
      <formula>R$9&lt;8/24</formula>
    </cfRule>
  </conditionalFormatting>
  <conditionalFormatting sqref="AA56:AD57">
    <cfRule type="expression" dxfId="9699" priority="311">
      <formula>AA$9&gt;=20/24</formula>
    </cfRule>
    <cfRule type="expression" dxfId="9698" priority="312">
      <formula>AND(AA$9&gt;=14/24,AA$9&lt;20/24)</formula>
    </cfRule>
    <cfRule type="expression" dxfId="9697" priority="313">
      <formula>AND(AA$9&gt;=8/24,AA$9&lt;14/24)</formula>
    </cfRule>
    <cfRule type="expression" dxfId="9696" priority="314">
      <formula>AA$9&lt;8/24</formula>
    </cfRule>
  </conditionalFormatting>
  <conditionalFormatting sqref="L11:M15">
    <cfRule type="expression" dxfId="9695" priority="307">
      <formula>L$9&gt;=20/24</formula>
    </cfRule>
    <cfRule type="expression" dxfId="9694" priority="308">
      <formula>AND(L$9&gt;=14/24,L$9&lt;20/24)</formula>
    </cfRule>
    <cfRule type="expression" dxfId="9693" priority="309">
      <formula>AND(L$9&gt;=8/24,L$9&lt;14/24)</formula>
    </cfRule>
    <cfRule type="expression" dxfId="9692" priority="310">
      <formula>L$9&lt;8/24</formula>
    </cfRule>
  </conditionalFormatting>
  <conditionalFormatting sqref="L11:M15">
    <cfRule type="expression" dxfId="9691" priority="306">
      <formula>L11&gt;$AG11</formula>
    </cfRule>
  </conditionalFormatting>
  <conditionalFormatting sqref="L27:M28 L30:M33 L29:V29">
    <cfRule type="expression" dxfId="9690" priority="302">
      <formula>L$9&gt;=20/24</formula>
    </cfRule>
    <cfRule type="expression" dxfId="9689" priority="303">
      <formula>AND(L$9&gt;=14/24,L$9&lt;20/24)</formula>
    </cfRule>
    <cfRule type="expression" dxfId="9688" priority="304">
      <formula>AND(L$9&gt;=8/24,L$9&lt;14/24)</formula>
    </cfRule>
    <cfRule type="expression" dxfId="9687" priority="305">
      <formula>L$9&lt;8/24</formula>
    </cfRule>
  </conditionalFormatting>
  <conditionalFormatting sqref="L27:M28 L30:M33 L29:V29">
    <cfRule type="expression" dxfId="9686" priority="301">
      <formula>L27&gt;$AG27</formula>
    </cfRule>
  </conditionalFormatting>
  <conditionalFormatting sqref="L37:L48 M37:M42">
    <cfRule type="expression" dxfId="9685" priority="297">
      <formula>L$9&gt;=20/24</formula>
    </cfRule>
    <cfRule type="expression" dxfId="9684" priority="298">
      <formula>AND(L$9&gt;=14/24,L$9&lt;20/24)</formula>
    </cfRule>
    <cfRule type="expression" dxfId="9683" priority="299">
      <formula>AND(L$9&gt;=8/24,L$9&lt;14/24)</formula>
    </cfRule>
    <cfRule type="expression" dxfId="9682" priority="300">
      <formula>L$9&lt;8/24</formula>
    </cfRule>
  </conditionalFormatting>
  <conditionalFormatting sqref="L37:L48 M37:M42">
    <cfRule type="expression" dxfId="9681" priority="296">
      <formula>L37&gt;$AG37</formula>
    </cfRule>
  </conditionalFormatting>
  <conditionalFormatting sqref="N35 N17:N26">
    <cfRule type="expression" dxfId="9680" priority="292">
      <formula>N$9&gt;=20/24</formula>
    </cfRule>
    <cfRule type="expression" dxfId="9679" priority="293">
      <formula>AND(N$9&gt;=14/24,N$9&lt;20/24)</formula>
    </cfRule>
    <cfRule type="expression" dxfId="9678" priority="294">
      <formula>AND(N$9&gt;=8/24,N$9&lt;14/24)</formula>
    </cfRule>
    <cfRule type="expression" dxfId="9677" priority="295">
      <formula>N$9&lt;8/24</formula>
    </cfRule>
  </conditionalFormatting>
  <conditionalFormatting sqref="N17:N26 N34:N35">
    <cfRule type="expression" dxfId="9676" priority="291">
      <formula>N17&gt;$AG17</formula>
    </cfRule>
  </conditionalFormatting>
  <conditionalFormatting sqref="N34">
    <cfRule type="expression" dxfId="9675" priority="287">
      <formula>N$9&gt;=20/24</formula>
    </cfRule>
    <cfRule type="expression" dxfId="9674" priority="288">
      <formula>AND(N$9&gt;=14/24,N$9&lt;20/24)</formula>
    </cfRule>
    <cfRule type="expression" dxfId="9673" priority="289">
      <formula>AND(N$9&gt;=8/24,N$9&lt;14/24)</formula>
    </cfRule>
    <cfRule type="expression" dxfId="9672" priority="290">
      <formula>N$9&lt;8/24</formula>
    </cfRule>
  </conditionalFormatting>
  <conditionalFormatting sqref="N27:N28 N30:N33">
    <cfRule type="expression" dxfId="9671" priority="283">
      <formula>N$9&gt;=20/24</formula>
    </cfRule>
    <cfRule type="expression" dxfId="9670" priority="284">
      <formula>AND(N$9&gt;=14/24,N$9&lt;20/24)</formula>
    </cfRule>
    <cfRule type="expression" dxfId="9669" priority="285">
      <formula>AND(N$9&gt;=8/24,N$9&lt;14/24)</formula>
    </cfRule>
    <cfRule type="expression" dxfId="9668" priority="286">
      <formula>N$9&lt;8/24</formula>
    </cfRule>
  </conditionalFormatting>
  <conditionalFormatting sqref="N27:N28 N30:N33">
    <cfRule type="expression" dxfId="9667" priority="282">
      <formula>N27&gt;$AG27</formula>
    </cfRule>
  </conditionalFormatting>
  <conditionalFormatting sqref="M44:M48">
    <cfRule type="expression" dxfId="9666" priority="278">
      <formula>M$9&gt;=20/24</formula>
    </cfRule>
    <cfRule type="expression" dxfId="9665" priority="279">
      <formula>AND(M$9&gt;=14/24,M$9&lt;20/24)</formula>
    </cfRule>
    <cfRule type="expression" dxfId="9664" priority="280">
      <formula>AND(M$9&gt;=8/24,M$9&lt;14/24)</formula>
    </cfRule>
    <cfRule type="expression" dxfId="9663" priority="281">
      <formula>M$9&lt;8/24</formula>
    </cfRule>
  </conditionalFormatting>
  <conditionalFormatting sqref="M44:M48">
    <cfRule type="expression" dxfId="9662" priority="277">
      <formula>M44&gt;$AG44</formula>
    </cfRule>
  </conditionalFormatting>
  <conditionalFormatting sqref="M56:M59">
    <cfRule type="expression" dxfId="9661" priority="273">
      <formula>M$9&gt;=20/24</formula>
    </cfRule>
    <cfRule type="expression" dxfId="9660" priority="274">
      <formula>AND(M$9&gt;=14/24,M$9&lt;20/24)</formula>
    </cfRule>
    <cfRule type="expression" dxfId="9659" priority="275">
      <formula>AND(M$9&gt;=8/24,M$9&lt;14/24)</formula>
    </cfRule>
    <cfRule type="expression" dxfId="9658" priority="276">
      <formula>M$9&lt;8/24</formula>
    </cfRule>
  </conditionalFormatting>
  <conditionalFormatting sqref="M55">
    <cfRule type="expression" dxfId="9657" priority="269">
      <formula>M$9&gt;=20/24</formula>
    </cfRule>
    <cfRule type="expression" dxfId="9656" priority="270">
      <formula>AND(M$9&gt;=14/24,M$9&lt;20/24)</formula>
    </cfRule>
    <cfRule type="expression" dxfId="9655" priority="271">
      <formula>AND(M$9&gt;=8/24,M$9&lt;14/24)</formula>
    </cfRule>
    <cfRule type="expression" dxfId="9654" priority="272">
      <formula>M$9&lt;8/24</formula>
    </cfRule>
  </conditionalFormatting>
  <conditionalFormatting sqref="M60:M65">
    <cfRule type="expression" dxfId="9653" priority="265">
      <formula>M$9&gt;=20/24</formula>
    </cfRule>
    <cfRule type="expression" dxfId="9652" priority="266">
      <formula>AND(M$9&gt;=14/24,M$9&lt;20/24)</formula>
    </cfRule>
    <cfRule type="expression" dxfId="9651" priority="267">
      <formula>AND(M$9&gt;=8/24,M$9&lt;14/24)</formula>
    </cfRule>
    <cfRule type="expression" dxfId="9650" priority="268">
      <formula>M$9&lt;8/24</formula>
    </cfRule>
  </conditionalFormatting>
  <conditionalFormatting sqref="M93:M95">
    <cfRule type="expression" dxfId="9649" priority="261">
      <formula>M$9&gt;=20/24</formula>
    </cfRule>
    <cfRule type="expression" dxfId="9648" priority="262">
      <formula>AND(M$9&gt;=14/24,M$9&lt;20/24)</formula>
    </cfRule>
    <cfRule type="expression" dxfId="9647" priority="263">
      <formula>AND(M$9&gt;=8/24,M$9&lt;14/24)</formula>
    </cfRule>
    <cfRule type="expression" dxfId="9646" priority="264">
      <formula>M$9&lt;8/24</formula>
    </cfRule>
  </conditionalFormatting>
  <conditionalFormatting sqref="M96">
    <cfRule type="expression" dxfId="9645" priority="257">
      <formula>M$9&gt;=20/24</formula>
    </cfRule>
    <cfRule type="expression" dxfId="9644" priority="258">
      <formula>AND(M$9&gt;=14/24,M$9&lt;20/24)</formula>
    </cfRule>
    <cfRule type="expression" dxfId="9643" priority="259">
      <formula>AND(M$9&gt;=8/24,M$9&lt;14/24)</formula>
    </cfRule>
    <cfRule type="expression" dxfId="9642" priority="260">
      <formula>M$9&lt;8/24</formula>
    </cfRule>
  </conditionalFormatting>
  <conditionalFormatting sqref="M92">
    <cfRule type="expression" dxfId="9641" priority="253">
      <formula>M$9&gt;=20/24</formula>
    </cfRule>
    <cfRule type="expression" dxfId="9640" priority="254">
      <formula>AND(M$9&gt;=14/24,M$9&lt;20/24)</formula>
    </cfRule>
    <cfRule type="expression" dxfId="9639" priority="255">
      <formula>AND(M$9&gt;=8/24,M$9&lt;14/24)</formula>
    </cfRule>
    <cfRule type="expression" dxfId="9638" priority="256">
      <formula>M$9&lt;8/24</formula>
    </cfRule>
  </conditionalFormatting>
  <conditionalFormatting sqref="M97">
    <cfRule type="expression" dxfId="9637" priority="249">
      <formula>M$9&gt;=20/24</formula>
    </cfRule>
    <cfRule type="expression" dxfId="9636" priority="250">
      <formula>AND(M$9&gt;=14/24,M$9&lt;20/24)</formula>
    </cfRule>
    <cfRule type="expression" dxfId="9635" priority="251">
      <formula>AND(M$9&gt;=8/24,M$9&lt;14/24)</formula>
    </cfRule>
    <cfRule type="expression" dxfId="9634" priority="252">
      <formula>M$9&lt;8/24</formula>
    </cfRule>
  </conditionalFormatting>
  <conditionalFormatting sqref="O15:O16 O13">
    <cfRule type="expression" dxfId="9633" priority="245">
      <formula>O$9&gt;=20/24</formula>
    </cfRule>
    <cfRule type="expression" dxfId="9632" priority="246">
      <formula>AND(O$9&gt;=14/24,O$9&lt;20/24)</formula>
    </cfRule>
    <cfRule type="expression" dxfId="9631" priority="247">
      <formula>AND(O$9&gt;=8/24,O$9&lt;14/24)</formula>
    </cfRule>
    <cfRule type="expression" dxfId="9630" priority="248">
      <formula>O$9&lt;8/24</formula>
    </cfRule>
  </conditionalFormatting>
  <conditionalFormatting sqref="O15:O16 O13">
    <cfRule type="expression" dxfId="9629" priority="244">
      <formula>O13&gt;$AG13</formula>
    </cfRule>
  </conditionalFormatting>
  <conditionalFormatting sqref="O14">
    <cfRule type="expression" dxfId="9628" priority="240">
      <formula>O$9&gt;=20/24</formula>
    </cfRule>
    <cfRule type="expression" dxfId="9627" priority="241">
      <formula>AND(O$9&gt;=14/24,O$9&lt;20/24)</formula>
    </cfRule>
    <cfRule type="expression" dxfId="9626" priority="242">
      <formula>AND(O$9&gt;=8/24,O$9&lt;14/24)</formula>
    </cfRule>
    <cfRule type="expression" dxfId="9625" priority="243">
      <formula>O$9&lt;8/24</formula>
    </cfRule>
  </conditionalFormatting>
  <conditionalFormatting sqref="O14">
    <cfRule type="expression" dxfId="9624" priority="239">
      <formula>O14&gt;$AG14</formula>
    </cfRule>
  </conditionalFormatting>
  <conditionalFormatting sqref="O17:O26">
    <cfRule type="expression" dxfId="9623" priority="235">
      <formula>O$9&gt;=20/24</formula>
    </cfRule>
    <cfRule type="expression" dxfId="9622" priority="236">
      <formula>AND(O$9&gt;=14/24,O$9&lt;20/24)</formula>
    </cfRule>
    <cfRule type="expression" dxfId="9621" priority="237">
      <formula>AND(O$9&gt;=8/24,O$9&lt;14/24)</formula>
    </cfRule>
    <cfRule type="expression" dxfId="9620" priority="238">
      <formula>O$9&lt;8/24</formula>
    </cfRule>
  </conditionalFormatting>
  <conditionalFormatting sqref="O17:O26 O34">
    <cfRule type="expression" dxfId="9619" priority="234">
      <formula>O17&gt;$AG17</formula>
    </cfRule>
  </conditionalFormatting>
  <conditionalFormatting sqref="O34">
    <cfRule type="expression" dxfId="9618" priority="230">
      <formula>O$9&gt;=20/24</formula>
    </cfRule>
    <cfRule type="expression" dxfId="9617" priority="231">
      <formula>AND(O$9&gt;=14/24,O$9&lt;20/24)</formula>
    </cfRule>
    <cfRule type="expression" dxfId="9616" priority="232">
      <formula>AND(O$9&gt;=8/24,O$9&lt;14/24)</formula>
    </cfRule>
    <cfRule type="expression" dxfId="9615" priority="233">
      <formula>O$9&lt;8/24</formula>
    </cfRule>
  </conditionalFormatting>
  <conditionalFormatting sqref="O27:O28 O30:O33">
    <cfRule type="expression" dxfId="9614" priority="226">
      <formula>O$9&gt;=20/24</formula>
    </cfRule>
    <cfRule type="expression" dxfId="9613" priority="227">
      <formula>AND(O$9&gt;=14/24,O$9&lt;20/24)</formula>
    </cfRule>
    <cfRule type="expression" dxfId="9612" priority="228">
      <formula>AND(O$9&gt;=8/24,O$9&lt;14/24)</formula>
    </cfRule>
    <cfRule type="expression" dxfId="9611" priority="229">
      <formula>O$9&lt;8/24</formula>
    </cfRule>
  </conditionalFormatting>
  <conditionalFormatting sqref="O27:O28 O30:O33">
    <cfRule type="expression" dxfId="9610" priority="225">
      <formula>O27&gt;$AG27</formula>
    </cfRule>
  </conditionalFormatting>
  <conditionalFormatting sqref="O40 O43:O46">
    <cfRule type="expression" dxfId="9609" priority="221">
      <formula>O$9&gt;=20/24</formula>
    </cfRule>
    <cfRule type="expression" dxfId="9608" priority="222">
      <formula>AND(O$9&gt;=14/24,O$9&lt;20/24)</formula>
    </cfRule>
    <cfRule type="expression" dxfId="9607" priority="223">
      <formula>AND(O$9&gt;=8/24,O$9&lt;14/24)</formula>
    </cfRule>
    <cfRule type="expression" dxfId="9606" priority="224">
      <formula>O$9&lt;8/24</formula>
    </cfRule>
  </conditionalFormatting>
  <conditionalFormatting sqref="O41">
    <cfRule type="expression" dxfId="9605" priority="217">
      <formula>O$9&gt;=20/24</formula>
    </cfRule>
    <cfRule type="expression" dxfId="9604" priority="218">
      <formula>AND(O$9&gt;=14/24,O$9&lt;20/24)</formula>
    </cfRule>
    <cfRule type="expression" dxfId="9603" priority="219">
      <formula>AND(O$9&gt;=8/24,O$9&lt;14/24)</formula>
    </cfRule>
    <cfRule type="expression" dxfId="9602" priority="220">
      <formula>O$9&lt;8/24</formula>
    </cfRule>
  </conditionalFormatting>
  <conditionalFormatting sqref="O47">
    <cfRule type="expression" dxfId="9601" priority="213">
      <formula>O$9&gt;=20/24</formula>
    </cfRule>
    <cfRule type="expression" dxfId="9600" priority="214">
      <formula>AND(O$9&gt;=14/24,O$9&lt;20/24)</formula>
    </cfRule>
    <cfRule type="expression" dxfId="9599" priority="215">
      <formula>AND(O$9&gt;=8/24,O$9&lt;14/24)</formula>
    </cfRule>
    <cfRule type="expression" dxfId="9598" priority="216">
      <formula>O$9&lt;8/24</formula>
    </cfRule>
  </conditionalFormatting>
  <conditionalFormatting sqref="O48">
    <cfRule type="expression" dxfId="9597" priority="209">
      <formula>O$9&gt;=20/24</formula>
    </cfRule>
    <cfRule type="expression" dxfId="9596" priority="210">
      <formula>AND(O$9&gt;=14/24,O$9&lt;20/24)</formula>
    </cfRule>
    <cfRule type="expression" dxfId="9595" priority="211">
      <formula>AND(O$9&gt;=8/24,O$9&lt;14/24)</formula>
    </cfRule>
    <cfRule type="expression" dxfId="9594" priority="212">
      <formula>O$9&lt;8/24</formula>
    </cfRule>
  </conditionalFormatting>
  <conditionalFormatting sqref="O43:O46">
    <cfRule type="expression" dxfId="9593" priority="205">
      <formula>O$9&gt;=20/24</formula>
    </cfRule>
    <cfRule type="expression" dxfId="9592" priority="206">
      <formula>AND(O$9&gt;=14/24,O$9&lt;20/24)</formula>
    </cfRule>
    <cfRule type="expression" dxfId="9591" priority="207">
      <formula>AND(O$9&gt;=8/24,O$9&lt;14/24)</formula>
    </cfRule>
    <cfRule type="expression" dxfId="9590" priority="208">
      <formula>O$9&lt;8/24</formula>
    </cfRule>
  </conditionalFormatting>
  <conditionalFormatting sqref="O43:O48 O40:O41">
    <cfRule type="expression" dxfId="9589" priority="204">
      <formula>O40&gt;$AG40</formula>
    </cfRule>
  </conditionalFormatting>
  <conditionalFormatting sqref="O42">
    <cfRule type="expression" dxfId="9588" priority="200">
      <formula>O$9&gt;=20/24</formula>
    </cfRule>
    <cfRule type="expression" dxfId="9587" priority="201">
      <formula>AND(O$9&gt;=14/24,O$9&lt;20/24)</formula>
    </cfRule>
    <cfRule type="expression" dxfId="9586" priority="202">
      <formula>AND(O$9&gt;=8/24,O$9&lt;14/24)</formula>
    </cfRule>
    <cfRule type="expression" dxfId="9585" priority="203">
      <formula>O$9&lt;8/24</formula>
    </cfRule>
  </conditionalFormatting>
  <conditionalFormatting sqref="O42">
    <cfRule type="expression" dxfId="9584" priority="199">
      <formula>O42&gt;$AG42</formula>
    </cfRule>
  </conditionalFormatting>
  <conditionalFormatting sqref="P35:Q35">
    <cfRule type="expression" dxfId="9583" priority="195">
      <formula>P$9&gt;=20/24</formula>
    </cfRule>
    <cfRule type="expression" dxfId="9582" priority="196">
      <formula>AND(P$9&gt;=14/24,P$9&lt;20/24)</formula>
    </cfRule>
    <cfRule type="expression" dxfId="9581" priority="197">
      <formula>AND(P$9&gt;=8/24,P$9&lt;14/24)</formula>
    </cfRule>
    <cfRule type="expression" dxfId="9580" priority="198">
      <formula>P$9&lt;8/24</formula>
    </cfRule>
  </conditionalFormatting>
  <conditionalFormatting sqref="P35:Q35">
    <cfRule type="expression" dxfId="9579" priority="194">
      <formula>P35&gt;$AG35</formula>
    </cfRule>
  </conditionalFormatting>
  <conditionalFormatting sqref="P15:Q16">
    <cfRule type="expression" dxfId="9578" priority="190">
      <formula>P$9&gt;=20/24</formula>
    </cfRule>
    <cfRule type="expression" dxfId="9577" priority="191">
      <formula>AND(P$9&gt;=14/24,P$9&lt;20/24)</formula>
    </cfRule>
    <cfRule type="expression" dxfId="9576" priority="192">
      <formula>AND(P$9&gt;=8/24,P$9&lt;14/24)</formula>
    </cfRule>
    <cfRule type="expression" dxfId="9575" priority="193">
      <formula>P$9&lt;8/24</formula>
    </cfRule>
  </conditionalFormatting>
  <conditionalFormatting sqref="P15:Q16">
    <cfRule type="expression" dxfId="9574" priority="189">
      <formula>P15&gt;$AG15</formula>
    </cfRule>
  </conditionalFormatting>
  <conditionalFormatting sqref="P14:Q14">
    <cfRule type="expression" dxfId="9573" priority="185">
      <formula>P$9&gt;=20/24</formula>
    </cfRule>
    <cfRule type="expression" dxfId="9572" priority="186">
      <formula>AND(P$9&gt;=14/24,P$9&lt;20/24)</formula>
    </cfRule>
    <cfRule type="expression" dxfId="9571" priority="187">
      <formula>AND(P$9&gt;=8/24,P$9&lt;14/24)</formula>
    </cfRule>
    <cfRule type="expression" dxfId="9570" priority="188">
      <formula>P$9&lt;8/24</formula>
    </cfRule>
  </conditionalFormatting>
  <conditionalFormatting sqref="P14:Q14">
    <cfRule type="expression" dxfId="9569" priority="184">
      <formula>P14&gt;$AG14</formula>
    </cfRule>
  </conditionalFormatting>
  <conditionalFormatting sqref="P17:Q26">
    <cfRule type="expression" dxfId="9568" priority="180">
      <formula>P$9&gt;=20/24</formula>
    </cfRule>
    <cfRule type="expression" dxfId="9567" priority="181">
      <formula>AND(P$9&gt;=14/24,P$9&lt;20/24)</formula>
    </cfRule>
    <cfRule type="expression" dxfId="9566" priority="182">
      <formula>AND(P$9&gt;=8/24,P$9&lt;14/24)</formula>
    </cfRule>
    <cfRule type="expression" dxfId="9565" priority="183">
      <formula>P$9&lt;8/24</formula>
    </cfRule>
  </conditionalFormatting>
  <conditionalFormatting sqref="P17:Q26 P34:Q34">
    <cfRule type="expression" dxfId="9564" priority="179">
      <formula>P17&gt;$AG17</formula>
    </cfRule>
  </conditionalFormatting>
  <conditionalFormatting sqref="P34:Q34">
    <cfRule type="expression" dxfId="9563" priority="175">
      <formula>P$9&gt;=20/24</formula>
    </cfRule>
    <cfRule type="expression" dxfId="9562" priority="176">
      <formula>AND(P$9&gt;=14/24,P$9&lt;20/24)</formula>
    </cfRule>
    <cfRule type="expression" dxfId="9561" priority="177">
      <formula>AND(P$9&gt;=8/24,P$9&lt;14/24)</formula>
    </cfRule>
    <cfRule type="expression" dxfId="9560" priority="178">
      <formula>P$9&lt;8/24</formula>
    </cfRule>
  </conditionalFormatting>
  <conditionalFormatting sqref="P27:Q28 P30:Q33">
    <cfRule type="expression" dxfId="9559" priority="171">
      <formula>P$9&gt;=20/24</formula>
    </cfRule>
    <cfRule type="expression" dxfId="9558" priority="172">
      <formula>AND(P$9&gt;=14/24,P$9&lt;20/24)</formula>
    </cfRule>
    <cfRule type="expression" dxfId="9557" priority="173">
      <formula>AND(P$9&gt;=8/24,P$9&lt;14/24)</formula>
    </cfRule>
    <cfRule type="expression" dxfId="9556" priority="174">
      <formula>P$9&lt;8/24</formula>
    </cfRule>
  </conditionalFormatting>
  <conditionalFormatting sqref="P27:Q28 P30:Q33">
    <cfRule type="expression" dxfId="9555" priority="170">
      <formula>P27&gt;$AG27</formula>
    </cfRule>
  </conditionalFormatting>
  <conditionalFormatting sqref="P43:Q46">
    <cfRule type="expression" dxfId="9554" priority="166">
      <formula>P$9&gt;=20/24</formula>
    </cfRule>
    <cfRule type="expression" dxfId="9553" priority="167">
      <formula>AND(P$9&gt;=14/24,P$9&lt;20/24)</formula>
    </cfRule>
    <cfRule type="expression" dxfId="9552" priority="168">
      <formula>AND(P$9&gt;=8/24,P$9&lt;14/24)</formula>
    </cfRule>
    <cfRule type="expression" dxfId="9551" priority="169">
      <formula>P$9&lt;8/24</formula>
    </cfRule>
  </conditionalFormatting>
  <conditionalFormatting sqref="P41:Q41">
    <cfRule type="expression" dxfId="9550" priority="162">
      <formula>P$9&gt;=20/24</formula>
    </cfRule>
    <cfRule type="expression" dxfId="9549" priority="163">
      <formula>AND(P$9&gt;=14/24,P$9&lt;20/24)</formula>
    </cfRule>
    <cfRule type="expression" dxfId="9548" priority="164">
      <formula>AND(P$9&gt;=8/24,P$9&lt;14/24)</formula>
    </cfRule>
    <cfRule type="expression" dxfId="9547" priority="165">
      <formula>P$9&lt;8/24</formula>
    </cfRule>
  </conditionalFormatting>
  <conditionalFormatting sqref="P47:Q47">
    <cfRule type="expression" dxfId="9546" priority="158">
      <formula>P$9&gt;=20/24</formula>
    </cfRule>
    <cfRule type="expression" dxfId="9545" priority="159">
      <formula>AND(P$9&gt;=14/24,P$9&lt;20/24)</formula>
    </cfRule>
    <cfRule type="expression" dxfId="9544" priority="160">
      <formula>AND(P$9&gt;=8/24,P$9&lt;14/24)</formula>
    </cfRule>
    <cfRule type="expression" dxfId="9543" priority="161">
      <formula>P$9&lt;8/24</formula>
    </cfRule>
  </conditionalFormatting>
  <conditionalFormatting sqref="P48:Q48">
    <cfRule type="expression" dxfId="9542" priority="154">
      <formula>P$9&gt;=20/24</formula>
    </cfRule>
    <cfRule type="expression" dxfId="9541" priority="155">
      <formula>AND(P$9&gt;=14/24,P$9&lt;20/24)</formula>
    </cfRule>
    <cfRule type="expression" dxfId="9540" priority="156">
      <formula>AND(P$9&gt;=8/24,P$9&lt;14/24)</formula>
    </cfRule>
    <cfRule type="expression" dxfId="9539" priority="157">
      <formula>P$9&lt;8/24</formula>
    </cfRule>
  </conditionalFormatting>
  <conditionalFormatting sqref="P43:Q46">
    <cfRule type="expression" dxfId="9538" priority="150">
      <formula>P$9&gt;=20/24</formula>
    </cfRule>
    <cfRule type="expression" dxfId="9537" priority="151">
      <formula>AND(P$9&gt;=14/24,P$9&lt;20/24)</formula>
    </cfRule>
    <cfRule type="expression" dxfId="9536" priority="152">
      <formula>AND(P$9&gt;=8/24,P$9&lt;14/24)</formula>
    </cfRule>
    <cfRule type="expression" dxfId="9535" priority="153">
      <formula>P$9&lt;8/24</formula>
    </cfRule>
  </conditionalFormatting>
  <conditionalFormatting sqref="P43:Q48 P41:Q41">
    <cfRule type="expression" dxfId="9534" priority="149">
      <formula>P41&gt;$AG41</formula>
    </cfRule>
  </conditionalFormatting>
  <conditionalFormatting sqref="P42:Q42">
    <cfRule type="expression" dxfId="9533" priority="145">
      <formula>P$9&gt;=20/24</formula>
    </cfRule>
    <cfRule type="expression" dxfId="9532" priority="146">
      <formula>AND(P$9&gt;=14/24,P$9&lt;20/24)</formula>
    </cfRule>
    <cfRule type="expression" dxfId="9531" priority="147">
      <formula>AND(P$9&gt;=8/24,P$9&lt;14/24)</formula>
    </cfRule>
    <cfRule type="expression" dxfId="9530" priority="148">
      <formula>P$9&lt;8/24</formula>
    </cfRule>
  </conditionalFormatting>
  <conditionalFormatting sqref="P42:Q42">
    <cfRule type="expression" dxfId="9529" priority="144">
      <formula>P42&gt;$AG42</formula>
    </cfRule>
  </conditionalFormatting>
  <conditionalFormatting sqref="R35">
    <cfRule type="expression" dxfId="9528" priority="140">
      <formula>R$9&gt;=20/24</formula>
    </cfRule>
    <cfRule type="expression" dxfId="9527" priority="141">
      <formula>AND(R$9&gt;=14/24,R$9&lt;20/24)</formula>
    </cfRule>
    <cfRule type="expression" dxfId="9526" priority="142">
      <formula>AND(R$9&gt;=8/24,R$9&lt;14/24)</formula>
    </cfRule>
    <cfRule type="expression" dxfId="9525" priority="143">
      <formula>R$9&lt;8/24</formula>
    </cfRule>
  </conditionalFormatting>
  <conditionalFormatting sqref="R35">
    <cfRule type="expression" dxfId="9524" priority="139">
      <formula>R35&gt;$AG35</formula>
    </cfRule>
  </conditionalFormatting>
  <conditionalFormatting sqref="R15:R16">
    <cfRule type="expression" dxfId="9523" priority="135">
      <formula>R$9&gt;=20/24</formula>
    </cfRule>
    <cfRule type="expression" dxfId="9522" priority="136">
      <formula>AND(R$9&gt;=14/24,R$9&lt;20/24)</formula>
    </cfRule>
    <cfRule type="expression" dxfId="9521" priority="137">
      <formula>AND(R$9&gt;=8/24,R$9&lt;14/24)</formula>
    </cfRule>
    <cfRule type="expression" dxfId="9520" priority="138">
      <formula>R$9&lt;8/24</formula>
    </cfRule>
  </conditionalFormatting>
  <conditionalFormatting sqref="R15:R16">
    <cfRule type="expression" dxfId="9519" priority="134">
      <formula>R15&gt;$AG15</formula>
    </cfRule>
  </conditionalFormatting>
  <conditionalFormatting sqref="R17:R26">
    <cfRule type="expression" dxfId="9518" priority="130">
      <formula>R$9&gt;=20/24</formula>
    </cfRule>
    <cfRule type="expression" dxfId="9517" priority="131">
      <formula>AND(R$9&gt;=14/24,R$9&lt;20/24)</formula>
    </cfRule>
    <cfRule type="expression" dxfId="9516" priority="132">
      <formula>AND(R$9&gt;=8/24,R$9&lt;14/24)</formula>
    </cfRule>
    <cfRule type="expression" dxfId="9515" priority="133">
      <formula>R$9&lt;8/24</formula>
    </cfRule>
  </conditionalFormatting>
  <conditionalFormatting sqref="R17:R26 R34">
    <cfRule type="expression" dxfId="9514" priority="129">
      <formula>R17&gt;$AG17</formula>
    </cfRule>
  </conditionalFormatting>
  <conditionalFormatting sqref="R34">
    <cfRule type="expression" dxfId="9513" priority="125">
      <formula>R$9&gt;=20/24</formula>
    </cfRule>
    <cfRule type="expression" dxfId="9512" priority="126">
      <formula>AND(R$9&gt;=14/24,R$9&lt;20/24)</formula>
    </cfRule>
    <cfRule type="expression" dxfId="9511" priority="127">
      <formula>AND(R$9&gt;=8/24,R$9&lt;14/24)</formula>
    </cfRule>
    <cfRule type="expression" dxfId="9510" priority="128">
      <formula>R$9&lt;8/24</formula>
    </cfRule>
  </conditionalFormatting>
  <conditionalFormatting sqref="R27:R28 R30:R33">
    <cfRule type="expression" dxfId="9509" priority="121">
      <formula>R$9&gt;=20/24</formula>
    </cfRule>
    <cfRule type="expression" dxfId="9508" priority="122">
      <formula>AND(R$9&gt;=14/24,R$9&lt;20/24)</formula>
    </cfRule>
    <cfRule type="expression" dxfId="9507" priority="123">
      <formula>AND(R$9&gt;=8/24,R$9&lt;14/24)</formula>
    </cfRule>
    <cfRule type="expression" dxfId="9506" priority="124">
      <formula>R$9&lt;8/24</formula>
    </cfRule>
  </conditionalFormatting>
  <conditionalFormatting sqref="R27:R28 R30:R33">
    <cfRule type="expression" dxfId="9505" priority="120">
      <formula>R27&gt;$AG27</formula>
    </cfRule>
  </conditionalFormatting>
  <conditionalFormatting sqref="S13:S14">
    <cfRule type="expression" dxfId="9504" priority="116">
      <formula>S$9&gt;=20/24</formula>
    </cfRule>
    <cfRule type="expression" dxfId="9503" priority="117">
      <formula>AND(S$9&gt;=14/24,S$9&lt;20/24)</formula>
    </cfRule>
    <cfRule type="expression" dxfId="9502" priority="118">
      <formula>AND(S$9&gt;=8/24,S$9&lt;14/24)</formula>
    </cfRule>
    <cfRule type="expression" dxfId="9501" priority="119">
      <formula>S$9&lt;8/24</formula>
    </cfRule>
  </conditionalFormatting>
  <conditionalFormatting sqref="S35">
    <cfRule type="expression" dxfId="9500" priority="112">
      <formula>S$9&gt;=20/24</formula>
    </cfRule>
    <cfRule type="expression" dxfId="9499" priority="113">
      <formula>AND(S$9&gt;=14/24,S$9&lt;20/24)</formula>
    </cfRule>
    <cfRule type="expression" dxfId="9498" priority="114">
      <formula>AND(S$9&gt;=8/24,S$9&lt;14/24)</formula>
    </cfRule>
    <cfRule type="expression" dxfId="9497" priority="115">
      <formula>S$9&lt;8/24</formula>
    </cfRule>
  </conditionalFormatting>
  <conditionalFormatting sqref="S35">
    <cfRule type="expression" dxfId="9496" priority="111">
      <formula>S35&gt;$AG35</formula>
    </cfRule>
  </conditionalFormatting>
  <conditionalFormatting sqref="S15:S16">
    <cfRule type="expression" dxfId="9495" priority="107">
      <formula>S$9&gt;=20/24</formula>
    </cfRule>
    <cfRule type="expression" dxfId="9494" priority="108">
      <formula>AND(S$9&gt;=14/24,S$9&lt;20/24)</formula>
    </cfRule>
    <cfRule type="expression" dxfId="9493" priority="109">
      <formula>AND(S$9&gt;=8/24,S$9&lt;14/24)</formula>
    </cfRule>
    <cfRule type="expression" dxfId="9492" priority="110">
      <formula>S$9&lt;8/24</formula>
    </cfRule>
  </conditionalFormatting>
  <conditionalFormatting sqref="S15:S16">
    <cfRule type="expression" dxfId="9491" priority="106">
      <formula>S15&gt;$AG15</formula>
    </cfRule>
  </conditionalFormatting>
  <conditionalFormatting sqref="S17:S26">
    <cfRule type="expression" dxfId="9490" priority="102">
      <formula>S$9&gt;=20/24</formula>
    </cfRule>
    <cfRule type="expression" dxfId="9489" priority="103">
      <formula>AND(S$9&gt;=14/24,S$9&lt;20/24)</formula>
    </cfRule>
    <cfRule type="expression" dxfId="9488" priority="104">
      <formula>AND(S$9&gt;=8/24,S$9&lt;14/24)</formula>
    </cfRule>
    <cfRule type="expression" dxfId="9487" priority="105">
      <formula>S$9&lt;8/24</formula>
    </cfRule>
  </conditionalFormatting>
  <conditionalFormatting sqref="S17:S26 S34">
    <cfRule type="expression" dxfId="9486" priority="101">
      <formula>S17&gt;$AG17</formula>
    </cfRule>
  </conditionalFormatting>
  <conditionalFormatting sqref="S34">
    <cfRule type="expression" dxfId="9485" priority="97">
      <formula>S$9&gt;=20/24</formula>
    </cfRule>
    <cfRule type="expression" dxfId="9484" priority="98">
      <formula>AND(S$9&gt;=14/24,S$9&lt;20/24)</formula>
    </cfRule>
    <cfRule type="expression" dxfId="9483" priority="99">
      <formula>AND(S$9&gt;=8/24,S$9&lt;14/24)</formula>
    </cfRule>
    <cfRule type="expression" dxfId="9482" priority="100">
      <formula>S$9&lt;8/24</formula>
    </cfRule>
  </conditionalFormatting>
  <conditionalFormatting sqref="S27:S28 S30:S33">
    <cfRule type="expression" dxfId="9481" priority="93">
      <formula>S$9&gt;=20/24</formula>
    </cfRule>
    <cfRule type="expression" dxfId="9480" priority="94">
      <formula>AND(S$9&gt;=14/24,S$9&lt;20/24)</formula>
    </cfRule>
    <cfRule type="expression" dxfId="9479" priority="95">
      <formula>AND(S$9&gt;=8/24,S$9&lt;14/24)</formula>
    </cfRule>
    <cfRule type="expression" dxfId="9478" priority="96">
      <formula>S$9&lt;8/24</formula>
    </cfRule>
  </conditionalFormatting>
  <conditionalFormatting sqref="S27:S28 S30:S33">
    <cfRule type="expression" dxfId="9477" priority="92">
      <formula>S27&gt;$AG27</formula>
    </cfRule>
  </conditionalFormatting>
  <conditionalFormatting sqref="S47">
    <cfRule type="expression" dxfId="9476" priority="88">
      <formula>S$9&gt;=20/24</formula>
    </cfRule>
    <cfRule type="expression" dxfId="9475" priority="89">
      <formula>AND(S$9&gt;=14/24,S$9&lt;20/24)</formula>
    </cfRule>
    <cfRule type="expression" dxfId="9474" priority="90">
      <formula>AND(S$9&gt;=8/24,S$9&lt;14/24)</formula>
    </cfRule>
    <cfRule type="expression" dxfId="9473" priority="91">
      <formula>S$9&lt;8/24</formula>
    </cfRule>
  </conditionalFormatting>
  <conditionalFormatting sqref="S43:S46 S41">
    <cfRule type="expression" dxfId="9472" priority="84">
      <formula>S$9&gt;=20/24</formula>
    </cfRule>
    <cfRule type="expression" dxfId="9471" priority="85">
      <formula>AND(S$9&gt;=14/24,S$9&lt;20/24)</formula>
    </cfRule>
    <cfRule type="expression" dxfId="9470" priority="86">
      <formula>AND(S$9&gt;=8/24,S$9&lt;14/24)</formula>
    </cfRule>
    <cfRule type="expression" dxfId="9469" priority="87">
      <formula>S$9&lt;8/24</formula>
    </cfRule>
  </conditionalFormatting>
  <conditionalFormatting sqref="S47">
    <cfRule type="expression" dxfId="9468" priority="80">
      <formula>S$9&gt;=20/24</formula>
    </cfRule>
    <cfRule type="expression" dxfId="9467" priority="81">
      <formula>AND(S$9&gt;=14/24,S$9&lt;20/24)</formula>
    </cfRule>
    <cfRule type="expression" dxfId="9466" priority="82">
      <formula>AND(S$9&gt;=8/24,S$9&lt;14/24)</formula>
    </cfRule>
    <cfRule type="expression" dxfId="9465" priority="83">
      <formula>S$9&lt;8/24</formula>
    </cfRule>
  </conditionalFormatting>
  <conditionalFormatting sqref="S43:S47 S41">
    <cfRule type="expression" dxfId="9464" priority="75">
      <formula>S41&gt;$AG41</formula>
    </cfRule>
  </conditionalFormatting>
  <conditionalFormatting sqref="S42">
    <cfRule type="expression" dxfId="9463" priority="71">
      <formula>S$9&gt;=20/24</formula>
    </cfRule>
    <cfRule type="expression" dxfId="9462" priority="72">
      <formula>AND(S$9&gt;=14/24,S$9&lt;20/24)</formula>
    </cfRule>
    <cfRule type="expression" dxfId="9461" priority="73">
      <formula>AND(S$9&gt;=8/24,S$9&lt;14/24)</formula>
    </cfRule>
    <cfRule type="expression" dxfId="9460" priority="74">
      <formula>S$9&lt;8/24</formula>
    </cfRule>
  </conditionalFormatting>
  <conditionalFormatting sqref="S42">
    <cfRule type="expression" dxfId="9459" priority="70">
      <formula>S42&gt;$AG42</formula>
    </cfRule>
  </conditionalFormatting>
  <conditionalFormatting sqref="T12:V12">
    <cfRule type="expression" dxfId="9458" priority="66">
      <formula>T$9&gt;=20/24</formula>
    </cfRule>
    <cfRule type="expression" dxfId="9457" priority="67">
      <formula>AND(T$9&gt;=14/24,T$9&lt;20/24)</formula>
    </cfRule>
    <cfRule type="expression" dxfId="9456" priority="68">
      <formula>AND(T$9&gt;=8/24,T$9&lt;14/24)</formula>
    </cfRule>
    <cfRule type="expression" dxfId="9455" priority="69">
      <formula>T$9&lt;8/24</formula>
    </cfRule>
  </conditionalFormatting>
  <conditionalFormatting sqref="T12:V12">
    <cfRule type="expression" dxfId="9454" priority="62">
      <formula>T$9&gt;=20/24</formula>
    </cfRule>
    <cfRule type="expression" dxfId="9453" priority="63">
      <formula>AND(T$9&gt;=14/24,T$9&lt;20/24)</formula>
    </cfRule>
    <cfRule type="expression" dxfId="9452" priority="64">
      <formula>AND(T$9&gt;=8/24,T$9&lt;14/24)</formula>
    </cfRule>
    <cfRule type="expression" dxfId="9451" priority="65">
      <formula>T$9&lt;8/24</formula>
    </cfRule>
  </conditionalFormatting>
  <conditionalFormatting sqref="T13:V14">
    <cfRule type="expression" dxfId="9450" priority="58">
      <formula>T$9&gt;=20/24</formula>
    </cfRule>
    <cfRule type="expression" dxfId="9449" priority="59">
      <formula>AND(T$9&gt;=14/24,T$9&lt;20/24)</formula>
    </cfRule>
    <cfRule type="expression" dxfId="9448" priority="60">
      <formula>AND(T$9&gt;=8/24,T$9&lt;14/24)</formula>
    </cfRule>
    <cfRule type="expression" dxfId="9447" priority="61">
      <formula>T$9&lt;8/24</formula>
    </cfRule>
  </conditionalFormatting>
  <conditionalFormatting sqref="T35">
    <cfRule type="expression" dxfId="9446" priority="54">
      <formula>T$9&gt;=20/24</formula>
    </cfRule>
    <cfRule type="expression" dxfId="9445" priority="55">
      <formula>AND(T$9&gt;=14/24,T$9&lt;20/24)</formula>
    </cfRule>
    <cfRule type="expression" dxfId="9444" priority="56">
      <formula>AND(T$9&gt;=8/24,T$9&lt;14/24)</formula>
    </cfRule>
    <cfRule type="expression" dxfId="9443" priority="57">
      <formula>T$9&lt;8/24</formula>
    </cfRule>
  </conditionalFormatting>
  <conditionalFormatting sqref="T35">
    <cfRule type="expression" dxfId="9442" priority="53">
      <formula>T35&gt;$AG35</formula>
    </cfRule>
  </conditionalFormatting>
  <conditionalFormatting sqref="T15:V16">
    <cfRule type="expression" dxfId="9441" priority="49">
      <formula>T$9&gt;=20/24</formula>
    </cfRule>
    <cfRule type="expression" dxfId="9440" priority="50">
      <formula>AND(T$9&gt;=14/24,T$9&lt;20/24)</formula>
    </cfRule>
    <cfRule type="expression" dxfId="9439" priority="51">
      <formula>AND(T$9&gt;=8/24,T$9&lt;14/24)</formula>
    </cfRule>
    <cfRule type="expression" dxfId="9438" priority="52">
      <formula>T$9&lt;8/24</formula>
    </cfRule>
  </conditionalFormatting>
  <conditionalFormatting sqref="T15:V16">
    <cfRule type="expression" dxfId="9437" priority="48">
      <formula>T15&gt;$AG15</formula>
    </cfRule>
  </conditionalFormatting>
  <conditionalFormatting sqref="T17:V26">
    <cfRule type="expression" dxfId="9436" priority="44">
      <formula>T$9&gt;=20/24</formula>
    </cfRule>
    <cfRule type="expression" dxfId="9435" priority="45">
      <formula>AND(T$9&gt;=14/24,T$9&lt;20/24)</formula>
    </cfRule>
    <cfRule type="expression" dxfId="9434" priority="46">
      <formula>AND(T$9&gt;=8/24,T$9&lt;14/24)</formula>
    </cfRule>
    <cfRule type="expression" dxfId="9433" priority="47">
      <formula>T$9&lt;8/24</formula>
    </cfRule>
  </conditionalFormatting>
  <conditionalFormatting sqref="T17:V26 T34:V34">
    <cfRule type="expression" dxfId="9432" priority="43">
      <formula>T17&gt;$AG17</formula>
    </cfRule>
  </conditionalFormatting>
  <conditionalFormatting sqref="T34:V34">
    <cfRule type="expression" dxfId="9431" priority="39">
      <formula>T$9&gt;=20/24</formula>
    </cfRule>
    <cfRule type="expression" dxfId="9430" priority="40">
      <formula>AND(T$9&gt;=14/24,T$9&lt;20/24)</formula>
    </cfRule>
    <cfRule type="expression" dxfId="9429" priority="41">
      <formula>AND(T$9&gt;=8/24,T$9&lt;14/24)</formula>
    </cfRule>
    <cfRule type="expression" dxfId="9428" priority="42">
      <formula>T$9&lt;8/24</formula>
    </cfRule>
  </conditionalFormatting>
  <conditionalFormatting sqref="T27:V28 T30:V33">
    <cfRule type="expression" dxfId="9427" priority="35">
      <formula>T$9&gt;=20/24</formula>
    </cfRule>
    <cfRule type="expression" dxfId="9426" priority="36">
      <formula>AND(T$9&gt;=14/24,T$9&lt;20/24)</formula>
    </cfRule>
    <cfRule type="expression" dxfId="9425" priority="37">
      <formula>AND(T$9&gt;=8/24,T$9&lt;14/24)</formula>
    </cfRule>
    <cfRule type="expression" dxfId="9424" priority="38">
      <formula>T$9&lt;8/24</formula>
    </cfRule>
  </conditionalFormatting>
  <conditionalFormatting sqref="T27:V28 T30:V33">
    <cfRule type="expression" dxfId="9423" priority="34">
      <formula>T27&gt;$AG27</formula>
    </cfRule>
  </conditionalFormatting>
  <conditionalFormatting sqref="T47:V47">
    <cfRule type="expression" dxfId="9422" priority="30">
      <formula>T$9&gt;=20/24</formula>
    </cfRule>
    <cfRule type="expression" dxfId="9421" priority="31">
      <formula>AND(T$9&gt;=14/24,T$9&lt;20/24)</formula>
    </cfRule>
    <cfRule type="expression" dxfId="9420" priority="32">
      <formula>AND(T$9&gt;=8/24,T$9&lt;14/24)</formula>
    </cfRule>
    <cfRule type="expression" dxfId="9419" priority="33">
      <formula>T$9&lt;8/24</formula>
    </cfRule>
  </conditionalFormatting>
  <conditionalFormatting sqref="T46:V46">
    <cfRule type="expression" dxfId="9418" priority="26">
      <formula>T$9&gt;=20/24</formula>
    </cfRule>
    <cfRule type="expression" dxfId="9417" priority="27">
      <formula>AND(T$9&gt;=14/24,T$9&lt;20/24)</formula>
    </cfRule>
    <cfRule type="expression" dxfId="9416" priority="28">
      <formula>AND(T$9&gt;=8/24,T$9&lt;14/24)</formula>
    </cfRule>
    <cfRule type="expression" dxfId="9415" priority="29">
      <formula>T$9&lt;8/24</formula>
    </cfRule>
  </conditionalFormatting>
  <conditionalFormatting sqref="T47:V47">
    <cfRule type="expression" dxfId="9414" priority="22">
      <formula>T$9&gt;=20/24</formula>
    </cfRule>
    <cfRule type="expression" dxfId="9413" priority="23">
      <formula>AND(T$9&gt;=14/24,T$9&lt;20/24)</formula>
    </cfRule>
    <cfRule type="expression" dxfId="9412" priority="24">
      <formula>AND(T$9&gt;=8/24,T$9&lt;14/24)</formula>
    </cfRule>
    <cfRule type="expression" dxfId="9411" priority="25">
      <formula>T$9&lt;8/24</formula>
    </cfRule>
  </conditionalFormatting>
  <conditionalFormatting sqref="U48:Z48">
    <cfRule type="expression" dxfId="9410" priority="18">
      <formula>U$9&gt;=20/24</formula>
    </cfRule>
    <cfRule type="expression" dxfId="9409" priority="19">
      <formula>AND(U$9&gt;=14/24,U$9&lt;20/24)</formula>
    </cfRule>
    <cfRule type="expression" dxfId="9408" priority="20">
      <formula>AND(U$9&gt;=8/24,U$9&lt;14/24)</formula>
    </cfRule>
    <cfRule type="expression" dxfId="9407" priority="21">
      <formula>U$9&lt;8/24</formula>
    </cfRule>
  </conditionalFormatting>
  <conditionalFormatting sqref="T46:V47 U48:Z48">
    <cfRule type="expression" dxfId="9406" priority="17">
      <formula>T46&gt;$AG46</formula>
    </cfRule>
  </conditionalFormatting>
  <conditionalFormatting sqref="S92:S95">
    <cfRule type="expression" dxfId="9405" priority="13">
      <formula>S$9&gt;=20/24</formula>
    </cfRule>
    <cfRule type="expression" dxfId="9404" priority="14">
      <formula>AND(S$9&gt;=14/24,S$9&lt;20/24)</formula>
    </cfRule>
    <cfRule type="expression" dxfId="9403" priority="15">
      <formula>AND(S$9&gt;=8/24,S$9&lt;14/24)</formula>
    </cfRule>
    <cfRule type="expression" dxfId="9402" priority="16">
      <formula>S$9&lt;8/24</formula>
    </cfRule>
  </conditionalFormatting>
  <conditionalFormatting sqref="S96">
    <cfRule type="expression" dxfId="9401" priority="9">
      <formula>S$9&gt;=20/24</formula>
    </cfRule>
    <cfRule type="expression" dxfId="9400" priority="10">
      <formula>AND(S$9&gt;=14/24,S$9&lt;20/24)</formula>
    </cfRule>
    <cfRule type="expression" dxfId="9399" priority="11">
      <formula>AND(S$9&gt;=8/24,S$9&lt;14/24)</formula>
    </cfRule>
    <cfRule type="expression" dxfId="9398" priority="12">
      <formula>S$9&lt;8/24</formula>
    </cfRule>
  </conditionalFormatting>
  <conditionalFormatting sqref="S92">
    <cfRule type="expression" dxfId="9397" priority="5">
      <formula>S$9&gt;=20/24</formula>
    </cfRule>
    <cfRule type="expression" dxfId="9396" priority="6">
      <formula>AND(S$9&gt;=14/24,S$9&lt;20/24)</formula>
    </cfRule>
    <cfRule type="expression" dxfId="9395" priority="7">
      <formula>AND(S$9&gt;=8/24,S$9&lt;14/24)</formula>
    </cfRule>
    <cfRule type="expression" dxfId="9394" priority="8">
      <formula>S$9&lt;8/24</formula>
    </cfRule>
  </conditionalFormatting>
  <conditionalFormatting sqref="S97">
    <cfRule type="expression" dxfId="9393" priority="1">
      <formula>S$9&gt;=20/24</formula>
    </cfRule>
    <cfRule type="expression" dxfId="9392" priority="2">
      <formula>AND(S$9&gt;=14/24,S$9&lt;20/24)</formula>
    </cfRule>
    <cfRule type="expression" dxfId="9391" priority="3">
      <formula>AND(S$9&gt;=8/24,S$9&lt;14/24)</formula>
    </cfRule>
    <cfRule type="expression" dxfId="9390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65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218</v>
      </c>
      <c r="AL2" s="185">
        <f>AK11</f>
        <v>6008.5599999999995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219</v>
      </c>
      <c r="AL3" s="185">
        <f>AK12+AK14</f>
        <v>242.55999999999989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2078/07/5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220</v>
      </c>
      <c r="AL4" s="30">
        <f>AK50</f>
        <v>2086.1109677419317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0</v>
      </c>
      <c r="C5" s="32">
        <f t="shared" ref="C5:AF5" si="0">C66</f>
        <v>-80</v>
      </c>
      <c r="D5" s="32">
        <f t="shared" si="0"/>
        <v>-30</v>
      </c>
      <c r="E5" s="32">
        <f t="shared" si="0"/>
        <v>-24</v>
      </c>
      <c r="F5" s="32">
        <f t="shared" si="0"/>
        <v>-8</v>
      </c>
      <c r="G5" s="32">
        <f t="shared" si="0"/>
        <v>-48</v>
      </c>
      <c r="H5" s="32">
        <f t="shared" si="0"/>
        <v>-45</v>
      </c>
      <c r="I5" s="32">
        <f t="shared" si="0"/>
        <v>-48</v>
      </c>
      <c r="J5" s="32">
        <f t="shared" si="0"/>
        <v>-47</v>
      </c>
      <c r="K5" s="32">
        <f t="shared" si="0"/>
        <v>-33.200000000000003</v>
      </c>
      <c r="L5" s="32">
        <f t="shared" si="0"/>
        <v>-30</v>
      </c>
      <c r="M5" s="32">
        <f t="shared" si="0"/>
        <v>-70.5</v>
      </c>
      <c r="N5" s="32">
        <f t="shared" si="0"/>
        <v>-38.299999999999997</v>
      </c>
      <c r="O5" s="32">
        <f t="shared" si="0"/>
        <v>-39.6</v>
      </c>
      <c r="P5" s="32">
        <f t="shared" si="0"/>
        <v>-16.8</v>
      </c>
      <c r="Q5" s="32">
        <f t="shared" si="0"/>
        <v>-13.4</v>
      </c>
      <c r="R5" s="32">
        <f t="shared" si="0"/>
        <v>-6.9</v>
      </c>
      <c r="S5" s="32">
        <f t="shared" si="0"/>
        <v>-18.100000000000001</v>
      </c>
      <c r="T5" s="32">
        <f t="shared" si="0"/>
        <v>-20</v>
      </c>
      <c r="U5" s="32">
        <f t="shared" si="0"/>
        <v>-27</v>
      </c>
      <c r="V5" s="32">
        <f t="shared" si="0"/>
        <v>-10.6</v>
      </c>
      <c r="W5" s="32">
        <f t="shared" si="0"/>
        <v>-28.1</v>
      </c>
      <c r="X5" s="32">
        <f t="shared" si="0"/>
        <v>-34.9</v>
      </c>
      <c r="Y5" s="32">
        <f t="shared" si="0"/>
        <v>-27.5</v>
      </c>
      <c r="Z5" s="32">
        <f t="shared" si="0"/>
        <v>-26.7</v>
      </c>
      <c r="AA5" s="32">
        <f t="shared" si="0"/>
        <v>-26.7</v>
      </c>
      <c r="AB5" s="32">
        <f t="shared" si="0"/>
        <v>-28.9</v>
      </c>
      <c r="AC5" s="32">
        <f t="shared" si="0"/>
        <v>-22</v>
      </c>
      <c r="AD5" s="32">
        <f t="shared" si="0"/>
        <v>-28.6</v>
      </c>
      <c r="AE5" s="32">
        <f t="shared" si="0"/>
        <v>-40</v>
      </c>
      <c r="AF5" s="32">
        <f t="shared" si="0"/>
        <v>-35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1047MW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>
        <f>SUM(AL2:AL4)</f>
        <v>8337.2309677419307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B73</f>
        <v>3.54</v>
      </c>
      <c r="C7" s="37">
        <f t="shared" si="1"/>
        <v>811.24</v>
      </c>
      <c r="D7" s="37">
        <f t="shared" si="1"/>
        <v>806.1400000000001</v>
      </c>
      <c r="E7" s="37">
        <f t="shared" si="1"/>
        <v>796.6400000000001</v>
      </c>
      <c r="F7" s="37">
        <f t="shared" si="1"/>
        <v>812.6400000000001</v>
      </c>
      <c r="G7" s="37">
        <f t="shared" si="1"/>
        <v>857.1400000000001</v>
      </c>
      <c r="H7" s="37">
        <f t="shared" si="1"/>
        <v>892.84000000000015</v>
      </c>
      <c r="I7" s="37">
        <f t="shared" si="1"/>
        <v>928.94</v>
      </c>
      <c r="J7" s="37">
        <f t="shared" si="1"/>
        <v>951.94</v>
      </c>
      <c r="K7" s="37">
        <f t="shared" si="1"/>
        <v>983.74</v>
      </c>
      <c r="L7" s="37">
        <f>L73</f>
        <v>1046.94</v>
      </c>
      <c r="M7" s="37">
        <f t="shared" si="1"/>
        <v>1026.44</v>
      </c>
      <c r="N7" s="37">
        <f t="shared" si="1"/>
        <v>1030.6400000000001</v>
      </c>
      <c r="O7" s="37">
        <f t="shared" si="1"/>
        <v>1019.3400000000001</v>
      </c>
      <c r="P7" s="37">
        <f t="shared" si="1"/>
        <v>1040.1400000000001</v>
      </c>
      <c r="Q7" s="37">
        <f t="shared" si="1"/>
        <v>996.74000000000012</v>
      </c>
      <c r="R7" s="37">
        <f t="shared" si="1"/>
        <v>1040.54</v>
      </c>
      <c r="S7" s="37">
        <f t="shared" si="1"/>
        <v>1032.74</v>
      </c>
      <c r="T7" s="37">
        <f t="shared" si="1"/>
        <v>1026.7400000000002</v>
      </c>
      <c r="U7" s="37">
        <f t="shared" si="1"/>
        <v>1070.8400000000001</v>
      </c>
      <c r="V7" s="37">
        <f t="shared" si="1"/>
        <v>1148.1399999999999</v>
      </c>
      <c r="W7" s="37">
        <f t="shared" si="1"/>
        <v>1254.1400000000001</v>
      </c>
      <c r="X7" s="37">
        <f t="shared" si="1"/>
        <v>1277.3400000000001</v>
      </c>
      <c r="Y7" s="37">
        <f t="shared" si="1"/>
        <v>1235.74</v>
      </c>
      <c r="Z7" s="37">
        <f t="shared" si="1"/>
        <v>1122.44</v>
      </c>
      <c r="AA7" s="37">
        <f t="shared" si="1"/>
        <v>1107.44</v>
      </c>
      <c r="AB7" s="37">
        <f t="shared" si="1"/>
        <v>1085.24</v>
      </c>
      <c r="AC7" s="37">
        <f t="shared" si="1"/>
        <v>1001.94</v>
      </c>
      <c r="AD7" s="37">
        <f t="shared" si="1"/>
        <v>922.83999999999992</v>
      </c>
      <c r="AE7" s="37">
        <f t="shared" si="1"/>
        <v>871.83999999999992</v>
      </c>
      <c r="AF7" s="37">
        <f t="shared" si="1"/>
        <v>842.54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 t="s">
        <v>231</v>
      </c>
      <c r="C11" s="49">
        <v>100</v>
      </c>
      <c r="D11" s="49">
        <v>60</v>
      </c>
      <c r="E11" s="49">
        <v>60</v>
      </c>
      <c r="F11" s="49">
        <v>60</v>
      </c>
      <c r="G11" s="49">
        <v>100</v>
      </c>
      <c r="H11" s="49">
        <v>104</v>
      </c>
      <c r="I11" s="49">
        <v>134</v>
      </c>
      <c r="J11" s="49">
        <v>134</v>
      </c>
      <c r="K11" s="49">
        <v>152</v>
      </c>
      <c r="L11" s="50">
        <v>155</v>
      </c>
      <c r="M11" s="50">
        <v>175</v>
      </c>
      <c r="N11" s="50">
        <v>150</v>
      </c>
      <c r="O11" s="50">
        <v>150</v>
      </c>
      <c r="P11" s="50">
        <v>150</v>
      </c>
      <c r="Q11" s="50">
        <v>130</v>
      </c>
      <c r="R11" s="52">
        <v>150.80000000000001</v>
      </c>
      <c r="S11" s="52">
        <v>160</v>
      </c>
      <c r="T11" s="52">
        <v>141.19999999999999</v>
      </c>
      <c r="U11" s="52">
        <v>180</v>
      </c>
      <c r="V11" s="52">
        <v>220</v>
      </c>
      <c r="W11" s="52">
        <v>230</v>
      </c>
      <c r="X11" s="52">
        <v>291.3</v>
      </c>
      <c r="Y11" s="52">
        <v>262</v>
      </c>
      <c r="Z11" s="52">
        <v>200</v>
      </c>
      <c r="AA11" s="52">
        <v>180</v>
      </c>
      <c r="AB11" s="54">
        <v>160</v>
      </c>
      <c r="AC11" s="54">
        <v>140</v>
      </c>
      <c r="AD11" s="54">
        <v>120</v>
      </c>
      <c r="AE11" s="54">
        <v>120</v>
      </c>
      <c r="AF11" s="54">
        <v>120</v>
      </c>
      <c r="AG11" s="55">
        <v>456</v>
      </c>
      <c r="AH11" s="56">
        <f>MAX(B11:AF11)</f>
        <v>291.3</v>
      </c>
      <c r="AI11" s="57">
        <f>MIN(B11:AF11)</f>
        <v>60</v>
      </c>
      <c r="AJ11" s="183">
        <f>AVERAGE(B11:AF11)</f>
        <v>149.64333333333335</v>
      </c>
      <c r="AK11" s="185">
        <f>(400-AJ11)*24</f>
        <v>6008.5599999999995</v>
      </c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 t="s">
        <v>232</v>
      </c>
      <c r="C12" s="49">
        <v>40</v>
      </c>
      <c r="D12" s="49">
        <v>40</v>
      </c>
      <c r="E12" s="49">
        <v>40</v>
      </c>
      <c r="F12" s="49">
        <v>40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50</v>
      </c>
      <c r="R12" s="60">
        <v>50</v>
      </c>
      <c r="S12" s="60">
        <v>50</v>
      </c>
      <c r="T12" s="60">
        <v>50</v>
      </c>
      <c r="U12" s="60">
        <v>50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50">
        <v>40</v>
      </c>
      <c r="AD12" s="50">
        <v>40</v>
      </c>
      <c r="AE12" s="50">
        <v>40</v>
      </c>
      <c r="AF12" s="50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1">
        <f>AVERAGE(B12:AF12)</f>
        <v>53</v>
      </c>
      <c r="AK12" s="185">
        <f>(60-AJ12)*24</f>
        <v>168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 t="s">
        <v>231</v>
      </c>
      <c r="C13" s="49">
        <v>25.1</v>
      </c>
      <c r="D13" s="49">
        <v>25</v>
      </c>
      <c r="E13" s="49">
        <v>25</v>
      </c>
      <c r="F13" s="49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62">
        <v>25</v>
      </c>
      <c r="S13" s="62">
        <v>25.4</v>
      </c>
      <c r="T13" s="62">
        <v>25.4</v>
      </c>
      <c r="U13" s="62">
        <v>25</v>
      </c>
      <c r="V13" s="62">
        <v>25</v>
      </c>
      <c r="W13" s="62">
        <v>25</v>
      </c>
      <c r="X13" s="62">
        <v>25</v>
      </c>
      <c r="Y13" s="62">
        <v>25</v>
      </c>
      <c r="Z13" s="62">
        <v>25</v>
      </c>
      <c r="AA13" s="62">
        <v>25</v>
      </c>
      <c r="AB13" s="62">
        <v>25</v>
      </c>
      <c r="AC13" s="50">
        <v>25</v>
      </c>
      <c r="AD13" s="50">
        <v>25</v>
      </c>
      <c r="AE13" s="50">
        <v>25</v>
      </c>
      <c r="AF13" s="50">
        <v>25</v>
      </c>
      <c r="AG13" s="61">
        <v>52.4</v>
      </c>
      <c r="AH13" s="56">
        <f t="shared" si="2"/>
        <v>25.4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 t="s">
        <v>233</v>
      </c>
      <c r="C14" s="63">
        <v>38</v>
      </c>
      <c r="D14" s="63">
        <v>38</v>
      </c>
      <c r="E14" s="63">
        <v>38</v>
      </c>
      <c r="F14" s="63">
        <v>38</v>
      </c>
      <c r="G14" s="63">
        <v>38</v>
      </c>
      <c r="H14" s="63">
        <v>45</v>
      </c>
      <c r="I14" s="63">
        <v>45</v>
      </c>
      <c r="J14" s="63">
        <v>45</v>
      </c>
      <c r="K14" s="63">
        <v>45</v>
      </c>
      <c r="L14" s="50">
        <v>45</v>
      </c>
      <c r="M14" s="50">
        <v>45</v>
      </c>
      <c r="N14" s="50">
        <v>42</v>
      </c>
      <c r="O14" s="50">
        <v>42</v>
      </c>
      <c r="P14" s="50">
        <v>42</v>
      </c>
      <c r="Q14" s="50">
        <v>37</v>
      </c>
      <c r="R14" s="62">
        <v>37</v>
      </c>
      <c r="S14" s="62">
        <v>36.9</v>
      </c>
      <c r="T14" s="62">
        <v>36.9</v>
      </c>
      <c r="U14" s="62">
        <v>36.9</v>
      </c>
      <c r="V14" s="62">
        <v>46</v>
      </c>
      <c r="W14" s="62">
        <v>46.2</v>
      </c>
      <c r="X14" s="62">
        <v>46</v>
      </c>
      <c r="Y14" s="62">
        <v>46.2</v>
      </c>
      <c r="Z14" s="62">
        <v>46.3</v>
      </c>
      <c r="AA14" s="62">
        <v>46.3</v>
      </c>
      <c r="AB14" s="62">
        <v>46.3</v>
      </c>
      <c r="AC14" s="50">
        <v>40.700000000000003</v>
      </c>
      <c r="AD14" s="50">
        <v>40.700000000000003</v>
      </c>
      <c r="AE14" s="50">
        <v>40.700000000000003</v>
      </c>
      <c r="AF14" s="50">
        <v>40.700000000000003</v>
      </c>
      <c r="AG14" s="64">
        <v>45</v>
      </c>
      <c r="AH14" s="56">
        <f t="shared" si="2"/>
        <v>46.3</v>
      </c>
      <c r="AI14" s="57">
        <f t="shared" si="3"/>
        <v>36.9</v>
      </c>
      <c r="AJ14" s="183">
        <f>AVERAGE(B14:AF14)</f>
        <v>41.893333333333338</v>
      </c>
      <c r="AK14" s="185">
        <f>(45-AJ14)*24</f>
        <v>74.559999999999889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 t="s">
        <v>234</v>
      </c>
      <c r="C15" s="49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65">
        <v>28</v>
      </c>
      <c r="X15" s="65">
        <v>28</v>
      </c>
      <c r="Y15" s="65">
        <v>28</v>
      </c>
      <c r="Z15" s="65">
        <v>28</v>
      </c>
      <c r="AA15" s="65">
        <v>28</v>
      </c>
      <c r="AB15" s="65">
        <v>28</v>
      </c>
      <c r="AC15" s="50">
        <v>28</v>
      </c>
      <c r="AD15" s="50">
        <v>28</v>
      </c>
      <c r="AE15" s="50">
        <v>26</v>
      </c>
      <c r="AF15" s="50">
        <v>26</v>
      </c>
      <c r="AG15" s="61">
        <v>45</v>
      </c>
      <c r="AH15" s="56">
        <f t="shared" si="2"/>
        <v>28</v>
      </c>
      <c r="AI15" s="57">
        <f t="shared" si="3"/>
        <v>26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 t="s">
        <v>235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50">
        <v>25</v>
      </c>
      <c r="AD16" s="50">
        <v>25</v>
      </c>
      <c r="AE16" s="50">
        <v>12.5</v>
      </c>
      <c r="AF16" s="50">
        <v>12.5</v>
      </c>
      <c r="AG16" s="61">
        <v>42</v>
      </c>
      <c r="AH16" s="56">
        <f t="shared" si="2"/>
        <v>25</v>
      </c>
      <c r="AI16" s="57">
        <f t="shared" si="3"/>
        <v>12.5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 t="s">
        <v>236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/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25</v>
      </c>
      <c r="K18" s="49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20</v>
      </c>
      <c r="R18" s="50">
        <v>20</v>
      </c>
      <c r="S18" s="50">
        <v>20</v>
      </c>
      <c r="T18" s="50">
        <v>20</v>
      </c>
      <c r="U18" s="50">
        <v>25.1</v>
      </c>
      <c r="V18" s="50">
        <v>25.1</v>
      </c>
      <c r="W18" s="50">
        <v>25.1</v>
      </c>
      <c r="X18" s="50">
        <v>25.1</v>
      </c>
      <c r="Y18" s="50">
        <v>25.1</v>
      </c>
      <c r="Z18" s="50">
        <v>25.1</v>
      </c>
      <c r="AA18" s="50">
        <v>25.1</v>
      </c>
      <c r="AB18" s="50">
        <v>25.1</v>
      </c>
      <c r="AC18" s="50">
        <v>25.1</v>
      </c>
      <c r="AD18" s="50">
        <v>20.399999999999999</v>
      </c>
      <c r="AE18" s="50">
        <v>20.399999999999999</v>
      </c>
      <c r="AF18" s="50">
        <v>20.399999999999999</v>
      </c>
      <c r="AG18" s="61">
        <v>30</v>
      </c>
      <c r="AH18" s="56">
        <f t="shared" si="2"/>
        <v>25.1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/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/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/>
      <c r="C21" s="49">
        <v>17</v>
      </c>
      <c r="D21" s="49">
        <v>17</v>
      </c>
      <c r="E21" s="49">
        <v>17</v>
      </c>
      <c r="F21" s="49">
        <v>17</v>
      </c>
      <c r="G21" s="49">
        <v>17</v>
      </c>
      <c r="H21" s="49">
        <v>17</v>
      </c>
      <c r="I21" s="49">
        <v>17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25</v>
      </c>
      <c r="AH21" s="56">
        <f t="shared" si="2"/>
        <v>22</v>
      </c>
      <c r="AI21" s="57">
        <f t="shared" si="3"/>
        <v>17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/>
      <c r="C22" s="49">
        <v>19</v>
      </c>
      <c r="D22" s="49">
        <v>19</v>
      </c>
      <c r="E22" s="49">
        <v>19</v>
      </c>
      <c r="F22" s="49">
        <v>19</v>
      </c>
      <c r="G22" s="49">
        <v>19</v>
      </c>
      <c r="H22" s="49">
        <v>19</v>
      </c>
      <c r="I22" s="49">
        <v>19</v>
      </c>
      <c r="J22" s="49">
        <v>19</v>
      </c>
      <c r="K22" s="49">
        <v>19</v>
      </c>
      <c r="L22" s="49">
        <v>19</v>
      </c>
      <c r="M22" s="49">
        <v>19</v>
      </c>
      <c r="N22" s="49">
        <v>19</v>
      </c>
      <c r="O22" s="49">
        <v>19</v>
      </c>
      <c r="P22" s="49">
        <v>19</v>
      </c>
      <c r="Q22" s="49">
        <v>19</v>
      </c>
      <c r="R22" s="49">
        <v>19</v>
      </c>
      <c r="S22" s="49">
        <v>19</v>
      </c>
      <c r="T22" s="49">
        <v>19</v>
      </c>
      <c r="U22" s="49">
        <v>19</v>
      </c>
      <c r="V22" s="49">
        <v>19</v>
      </c>
      <c r="W22" s="50">
        <v>19</v>
      </c>
      <c r="X22" s="50">
        <v>19</v>
      </c>
      <c r="Y22" s="50">
        <v>19</v>
      </c>
      <c r="Z22" s="50">
        <v>19</v>
      </c>
      <c r="AA22" s="50">
        <v>19</v>
      </c>
      <c r="AB22" s="50">
        <v>19</v>
      </c>
      <c r="AC22" s="50">
        <v>19</v>
      </c>
      <c r="AD22" s="50">
        <v>19</v>
      </c>
      <c r="AE22" s="50">
        <v>19</v>
      </c>
      <c r="AF22" s="50">
        <v>19</v>
      </c>
      <c r="AG22" s="61">
        <v>25</v>
      </c>
      <c r="AH22" s="56">
        <f t="shared" si="2"/>
        <v>19</v>
      </c>
      <c r="AI22" s="57">
        <f t="shared" si="3"/>
        <v>19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/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</v>
      </c>
      <c r="AI23" s="57">
        <f t="shared" si="3"/>
        <v>22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/>
      <c r="C24" s="49">
        <v>15</v>
      </c>
      <c r="D24" s="49">
        <v>15</v>
      </c>
      <c r="E24" s="49">
        <v>15</v>
      </c>
      <c r="F24" s="49">
        <v>15</v>
      </c>
      <c r="G24" s="49">
        <v>15</v>
      </c>
      <c r="H24" s="49">
        <v>15</v>
      </c>
      <c r="I24" s="49">
        <v>15</v>
      </c>
      <c r="J24" s="49">
        <v>10</v>
      </c>
      <c r="K24" s="49">
        <v>10</v>
      </c>
      <c r="L24" s="49">
        <v>10</v>
      </c>
      <c r="M24" s="49">
        <v>10</v>
      </c>
      <c r="N24" s="49">
        <v>10</v>
      </c>
      <c r="O24" s="49">
        <v>10</v>
      </c>
      <c r="P24" s="49">
        <v>10</v>
      </c>
      <c r="Q24" s="49">
        <v>10</v>
      </c>
      <c r="R24" s="49">
        <v>10</v>
      </c>
      <c r="S24" s="49">
        <v>10</v>
      </c>
      <c r="T24" s="49">
        <v>10</v>
      </c>
      <c r="U24" s="49">
        <v>10</v>
      </c>
      <c r="V24" s="49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15</v>
      </c>
      <c r="AB24" s="50">
        <v>15</v>
      </c>
      <c r="AC24" s="50">
        <v>15</v>
      </c>
      <c r="AD24" s="50">
        <v>11</v>
      </c>
      <c r="AE24" s="50">
        <v>11</v>
      </c>
      <c r="AF24" s="50">
        <v>11</v>
      </c>
      <c r="AG24" s="61">
        <v>24.2</v>
      </c>
      <c r="AH24" s="56">
        <f t="shared" si="2"/>
        <v>15</v>
      </c>
      <c r="AI24" s="57">
        <f t="shared" si="3"/>
        <v>10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/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17</v>
      </c>
      <c r="X25" s="50">
        <v>17</v>
      </c>
      <c r="Y25" s="50">
        <v>17</v>
      </c>
      <c r="Z25" s="50">
        <v>14</v>
      </c>
      <c r="AA25" s="50">
        <v>14</v>
      </c>
      <c r="AB25" s="50">
        <v>14</v>
      </c>
      <c r="AC25" s="50">
        <v>14</v>
      </c>
      <c r="AD25" s="50">
        <v>14</v>
      </c>
      <c r="AE25" s="50">
        <v>14</v>
      </c>
      <c r="AF25" s="50">
        <v>14</v>
      </c>
      <c r="AG25" s="61">
        <v>20</v>
      </c>
      <c r="AH25" s="56">
        <f>MAX(B25:AF25)</f>
        <v>17</v>
      </c>
      <c r="AI25" s="57">
        <f>MIN(B25:AF25)</f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/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14</v>
      </c>
      <c r="K26" s="49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61">
        <v>23.5</v>
      </c>
      <c r="AH26" s="56">
        <f t="shared" si="2"/>
        <v>14</v>
      </c>
      <c r="AI26" s="57">
        <f t="shared" si="3"/>
        <v>10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/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1">
        <v>22.2</v>
      </c>
      <c r="AH27" s="56">
        <f t="shared" si="2"/>
        <v>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/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/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/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/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/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/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/>
      <c r="C34" s="63">
        <v>170</v>
      </c>
      <c r="D34" s="63">
        <v>170</v>
      </c>
      <c r="E34" s="63">
        <v>170</v>
      </c>
      <c r="F34" s="63">
        <v>170</v>
      </c>
      <c r="G34" s="63">
        <v>170</v>
      </c>
      <c r="H34" s="63">
        <v>170</v>
      </c>
      <c r="I34" s="63">
        <v>170</v>
      </c>
      <c r="J34" s="63">
        <v>170</v>
      </c>
      <c r="K34" s="63">
        <v>170</v>
      </c>
      <c r="L34" s="63">
        <v>170</v>
      </c>
      <c r="M34" s="63">
        <v>170</v>
      </c>
      <c r="N34" s="63">
        <v>170</v>
      </c>
      <c r="O34" s="63">
        <v>170</v>
      </c>
      <c r="P34" s="63">
        <v>170</v>
      </c>
      <c r="Q34" s="63">
        <v>170</v>
      </c>
      <c r="R34" s="63">
        <v>170</v>
      </c>
      <c r="S34" s="63">
        <v>170</v>
      </c>
      <c r="T34" s="63">
        <v>170</v>
      </c>
      <c r="U34" s="63">
        <v>170</v>
      </c>
      <c r="V34" s="63">
        <v>170</v>
      </c>
      <c r="W34" s="63">
        <v>170</v>
      </c>
      <c r="X34" s="63">
        <v>170</v>
      </c>
      <c r="Y34" s="63">
        <v>170</v>
      </c>
      <c r="Z34" s="63">
        <v>170</v>
      </c>
      <c r="AA34" s="63">
        <v>170</v>
      </c>
      <c r="AB34" s="63">
        <v>170</v>
      </c>
      <c r="AC34" s="63">
        <v>170</v>
      </c>
      <c r="AD34" s="63">
        <v>170</v>
      </c>
      <c r="AE34" s="63">
        <v>170</v>
      </c>
      <c r="AF34" s="63">
        <v>170</v>
      </c>
      <c r="AG34" s="69">
        <v>85</v>
      </c>
      <c r="AH34" s="56">
        <f t="shared" si="2"/>
        <v>170</v>
      </c>
      <c r="AI34" s="57">
        <f t="shared" si="3"/>
        <v>170</v>
      </c>
      <c r="AK34" s="58"/>
    </row>
    <row r="35" spans="1:88" ht="15.75" thickBot="1" x14ac:dyDescent="0.3">
      <c r="A35" s="71" t="s">
        <v>43</v>
      </c>
      <c r="B35" s="63"/>
      <c r="C35" s="63">
        <v>110</v>
      </c>
      <c r="D35" s="63">
        <v>110</v>
      </c>
      <c r="E35" s="63">
        <v>110</v>
      </c>
      <c r="F35" s="63">
        <v>110</v>
      </c>
      <c r="G35" s="63">
        <v>110</v>
      </c>
      <c r="H35" s="63">
        <v>110</v>
      </c>
      <c r="I35" s="63">
        <v>110</v>
      </c>
      <c r="J35" s="63">
        <v>130</v>
      </c>
      <c r="K35" s="63">
        <v>130</v>
      </c>
      <c r="L35" s="72">
        <v>130</v>
      </c>
      <c r="M35" s="72">
        <v>111</v>
      </c>
      <c r="N35" s="72">
        <v>111</v>
      </c>
      <c r="O35" s="72">
        <v>111</v>
      </c>
      <c r="P35" s="72">
        <v>111</v>
      </c>
      <c r="Q35" s="72">
        <v>111</v>
      </c>
      <c r="R35" s="72">
        <v>111</v>
      </c>
      <c r="S35" s="72">
        <v>129</v>
      </c>
      <c r="T35" s="72">
        <v>120</v>
      </c>
      <c r="U35" s="72">
        <v>120</v>
      </c>
      <c r="V35" s="72">
        <f>60+70</f>
        <v>130</v>
      </c>
      <c r="W35" s="72">
        <v>130</v>
      </c>
      <c r="X35" s="72">
        <v>130</v>
      </c>
      <c r="Y35" s="72">
        <v>130</v>
      </c>
      <c r="Z35" s="72">
        <v>130</v>
      </c>
      <c r="AA35" s="72">
        <v>130</v>
      </c>
      <c r="AB35" s="72">
        <v>130</v>
      </c>
      <c r="AC35" s="72">
        <f>63.6+69.78</f>
        <v>133.38</v>
      </c>
      <c r="AD35" s="72"/>
      <c r="AE35" s="72"/>
      <c r="AF35" s="72"/>
      <c r="AG35" s="69">
        <v>240</v>
      </c>
      <c r="AH35" s="56">
        <f t="shared" si="2"/>
        <v>133.38</v>
      </c>
      <c r="AI35" s="57">
        <f t="shared" si="3"/>
        <v>110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0</v>
      </c>
      <c r="C36" s="74">
        <f t="shared" si="4"/>
        <v>591.29999999999995</v>
      </c>
      <c r="D36" s="74">
        <f t="shared" si="4"/>
        <v>551.20000000000005</v>
      </c>
      <c r="E36" s="74">
        <f t="shared" si="4"/>
        <v>551.20000000000005</v>
      </c>
      <c r="F36" s="74">
        <f t="shared" si="4"/>
        <v>551.20000000000005</v>
      </c>
      <c r="G36" s="74">
        <f t="shared" si="4"/>
        <v>611.20000000000005</v>
      </c>
      <c r="H36" s="74">
        <f t="shared" si="4"/>
        <v>622.20000000000005</v>
      </c>
      <c r="I36" s="74">
        <f t="shared" si="4"/>
        <v>652.20000000000005</v>
      </c>
      <c r="J36" s="74">
        <f t="shared" si="4"/>
        <v>661.2</v>
      </c>
      <c r="K36" s="74">
        <f t="shared" si="4"/>
        <v>679.2</v>
      </c>
      <c r="L36" s="74">
        <f t="shared" si="4"/>
        <v>682.2</v>
      </c>
      <c r="M36" s="74">
        <f t="shared" si="4"/>
        <v>702.2</v>
      </c>
      <c r="N36" s="74">
        <f t="shared" si="4"/>
        <v>674.2</v>
      </c>
      <c r="O36" s="74">
        <f t="shared" si="4"/>
        <v>674.2</v>
      </c>
      <c r="P36" s="74">
        <f t="shared" si="4"/>
        <v>674.2</v>
      </c>
      <c r="Q36" s="74">
        <f t="shared" si="4"/>
        <v>634.20000000000005</v>
      </c>
      <c r="R36" s="74">
        <f t="shared" si="4"/>
        <v>667</v>
      </c>
      <c r="S36" s="74">
        <f t="shared" si="4"/>
        <v>676.5</v>
      </c>
      <c r="T36" s="74">
        <f t="shared" si="4"/>
        <v>657.7</v>
      </c>
      <c r="U36" s="74">
        <f t="shared" si="4"/>
        <v>701.2</v>
      </c>
      <c r="V36" s="74">
        <f t="shared" si="4"/>
        <v>760.3</v>
      </c>
      <c r="W36" s="74">
        <f t="shared" si="4"/>
        <v>779.5</v>
      </c>
      <c r="X36" s="74">
        <f t="shared" si="4"/>
        <v>840.6</v>
      </c>
      <c r="Y36" s="74">
        <f t="shared" si="4"/>
        <v>811.5</v>
      </c>
      <c r="Z36" s="74">
        <f t="shared" si="4"/>
        <v>746.6</v>
      </c>
      <c r="AA36" s="74">
        <f t="shared" si="4"/>
        <v>731.6</v>
      </c>
      <c r="AB36" s="74">
        <f t="shared" si="4"/>
        <v>711.6</v>
      </c>
      <c r="AC36" s="74">
        <f t="shared" si="4"/>
        <v>666</v>
      </c>
      <c r="AD36" s="74">
        <f t="shared" si="4"/>
        <v>637.29999999999995</v>
      </c>
      <c r="AE36" s="74">
        <f t="shared" si="4"/>
        <v>622.79999999999995</v>
      </c>
      <c r="AF36" s="74">
        <f t="shared" si="4"/>
        <v>622.79999999999995</v>
      </c>
      <c r="AG36" s="69">
        <f>SUM(AG11:AG35)</f>
        <v>1431.83</v>
      </c>
      <c r="AH36" s="56">
        <f t="shared" si="2"/>
        <v>840.6</v>
      </c>
      <c r="AI36" s="57">
        <f t="shared" si="3"/>
        <v>0</v>
      </c>
      <c r="AK36" s="58"/>
    </row>
    <row r="37" spans="1:88" x14ac:dyDescent="0.25">
      <c r="A37" s="59" t="s">
        <v>45</v>
      </c>
      <c r="B37" s="63"/>
      <c r="C37" s="63">
        <v>100</v>
      </c>
      <c r="D37" s="63">
        <v>100</v>
      </c>
      <c r="E37" s="63">
        <v>92.5</v>
      </c>
      <c r="F37" s="63">
        <v>92.5</v>
      </c>
      <c r="G37" s="63">
        <v>100</v>
      </c>
      <c r="H37" s="63">
        <v>115.9</v>
      </c>
      <c r="I37" s="63">
        <v>121.8</v>
      </c>
      <c r="J37" s="63">
        <v>121.6</v>
      </c>
      <c r="K37" s="63">
        <v>121.6</v>
      </c>
      <c r="L37" s="50">
        <v>142.80000000000001</v>
      </c>
      <c r="M37" s="50">
        <v>142.80000000000001</v>
      </c>
      <c r="N37" s="50">
        <v>142.80000000000001</v>
      </c>
      <c r="O37" s="50">
        <v>142.80000000000001</v>
      </c>
      <c r="P37" s="50">
        <v>142.80000000000001</v>
      </c>
      <c r="Q37" s="50">
        <v>123.2</v>
      </c>
      <c r="R37" s="50">
        <v>137.69999999999999</v>
      </c>
      <c r="S37" s="50">
        <v>131.4</v>
      </c>
      <c r="T37" s="50">
        <v>139.80000000000001</v>
      </c>
      <c r="U37" s="50">
        <v>143.30000000000001</v>
      </c>
      <c r="V37" s="50">
        <v>143.1</v>
      </c>
      <c r="W37" s="50">
        <v>143.1</v>
      </c>
      <c r="X37" s="50">
        <v>143.19999999999999</v>
      </c>
      <c r="Y37" s="50">
        <v>143.1</v>
      </c>
      <c r="Z37" s="50">
        <v>143.1</v>
      </c>
      <c r="AA37" s="50">
        <v>143.1</v>
      </c>
      <c r="AB37" s="50">
        <v>143.1</v>
      </c>
      <c r="AC37" s="50">
        <v>135.80000000000001</v>
      </c>
      <c r="AD37" s="50">
        <v>111</v>
      </c>
      <c r="AE37" s="49">
        <v>104</v>
      </c>
      <c r="AF37" s="49">
        <v>101.7</v>
      </c>
      <c r="AG37" s="64">
        <v>144</v>
      </c>
      <c r="AH37" s="56">
        <f t="shared" si="2"/>
        <v>143.30000000000001</v>
      </c>
      <c r="AI37" s="57">
        <f t="shared" si="3"/>
        <v>92.5</v>
      </c>
      <c r="AK37" s="58"/>
    </row>
    <row r="38" spans="1:88" x14ac:dyDescent="0.25">
      <c r="A38" s="68" t="s">
        <v>46</v>
      </c>
      <c r="B38" s="63"/>
      <c r="C38" s="63">
        <v>26</v>
      </c>
      <c r="D38" s="63">
        <v>26</v>
      </c>
      <c r="E38" s="63">
        <v>26</v>
      </c>
      <c r="F38" s="63">
        <v>26</v>
      </c>
      <c r="G38" s="63">
        <v>26</v>
      </c>
      <c r="H38" s="63">
        <v>26.8</v>
      </c>
      <c r="I38" s="63">
        <v>30</v>
      </c>
      <c r="J38" s="63">
        <v>34.799999999999997</v>
      </c>
      <c r="K38" s="63">
        <v>34.799999999999997</v>
      </c>
      <c r="L38" s="52">
        <v>35</v>
      </c>
      <c r="M38" s="52">
        <v>35</v>
      </c>
      <c r="N38" s="52">
        <v>35</v>
      </c>
      <c r="O38" s="52">
        <v>35</v>
      </c>
      <c r="P38" s="52">
        <v>35</v>
      </c>
      <c r="Q38" s="52">
        <v>34.799999999999997</v>
      </c>
      <c r="R38" s="52">
        <v>34.700000000000003</v>
      </c>
      <c r="S38" s="52">
        <v>34.700000000000003</v>
      </c>
      <c r="T38" s="52">
        <v>34.5</v>
      </c>
      <c r="U38" s="52">
        <v>34.700000000000003</v>
      </c>
      <c r="V38" s="52">
        <v>34.700000000000003</v>
      </c>
      <c r="W38" s="52">
        <v>34.700000000000003</v>
      </c>
      <c r="X38" s="52">
        <v>34.700000000000003</v>
      </c>
      <c r="Y38" s="52">
        <v>34.700000000000003</v>
      </c>
      <c r="Z38" s="52">
        <v>34.700000000000003</v>
      </c>
      <c r="AA38" s="52">
        <v>34.700000000000003</v>
      </c>
      <c r="AB38" s="52">
        <v>34.700000000000003</v>
      </c>
      <c r="AC38" s="52">
        <v>25.7</v>
      </c>
      <c r="AD38" s="52">
        <v>25.8</v>
      </c>
      <c r="AE38" s="63">
        <v>25.7</v>
      </c>
      <c r="AF38" s="63">
        <v>25.9</v>
      </c>
      <c r="AG38" s="69">
        <v>70</v>
      </c>
      <c r="AH38" s="56">
        <f t="shared" si="2"/>
        <v>35</v>
      </c>
      <c r="AI38" s="57">
        <f t="shared" si="3"/>
        <v>25.7</v>
      </c>
      <c r="AK38" s="58"/>
    </row>
    <row r="39" spans="1:88" x14ac:dyDescent="0.25">
      <c r="A39" s="68" t="s">
        <v>47</v>
      </c>
      <c r="B39" s="63"/>
      <c r="C39" s="63">
        <v>51</v>
      </c>
      <c r="D39" s="63">
        <v>51</v>
      </c>
      <c r="E39" s="63">
        <v>51</v>
      </c>
      <c r="F39" s="63">
        <v>51</v>
      </c>
      <c r="G39" s="63">
        <v>60</v>
      </c>
      <c r="H39" s="63">
        <v>60</v>
      </c>
      <c r="I39" s="63">
        <v>60</v>
      </c>
      <c r="J39" s="63">
        <v>68.400000000000006</v>
      </c>
      <c r="K39" s="63">
        <v>68.400000000000006</v>
      </c>
      <c r="L39" s="52">
        <v>69</v>
      </c>
      <c r="M39" s="52">
        <v>69</v>
      </c>
      <c r="N39" s="52">
        <v>69</v>
      </c>
      <c r="O39" s="52">
        <v>69</v>
      </c>
      <c r="P39" s="52">
        <v>69</v>
      </c>
      <c r="Q39" s="52">
        <v>70.3</v>
      </c>
      <c r="R39" s="52">
        <v>61</v>
      </c>
      <c r="S39" s="52">
        <v>61</v>
      </c>
      <c r="T39" s="52">
        <v>66.8</v>
      </c>
      <c r="U39" s="52">
        <v>68.2</v>
      </c>
      <c r="V39" s="52">
        <v>69</v>
      </c>
      <c r="W39" s="52">
        <v>69.2</v>
      </c>
      <c r="X39" s="52">
        <v>69.400000000000006</v>
      </c>
      <c r="Y39" s="52">
        <v>69.2</v>
      </c>
      <c r="Z39" s="52">
        <v>69</v>
      </c>
      <c r="AA39" s="52">
        <v>69</v>
      </c>
      <c r="AB39" s="52">
        <v>69</v>
      </c>
      <c r="AC39" s="52">
        <v>61.5</v>
      </c>
      <c r="AD39" s="52">
        <v>55.2</v>
      </c>
      <c r="AE39" s="63">
        <v>41.1</v>
      </c>
      <c r="AF39" s="63">
        <v>36.4</v>
      </c>
      <c r="AG39" s="69">
        <v>69</v>
      </c>
      <c r="AH39" s="56">
        <f t="shared" si="2"/>
        <v>70.3</v>
      </c>
      <c r="AI39" s="57">
        <f t="shared" si="3"/>
        <v>36.4</v>
      </c>
      <c r="AK39" s="58"/>
    </row>
    <row r="40" spans="1:88" x14ac:dyDescent="0.25">
      <c r="A40" s="68" t="s">
        <v>48</v>
      </c>
      <c r="B40" s="63"/>
      <c r="C40" s="63">
        <v>45</v>
      </c>
      <c r="D40" s="63">
        <v>30</v>
      </c>
      <c r="E40" s="63">
        <v>22</v>
      </c>
      <c r="F40" s="63">
        <v>22</v>
      </c>
      <c r="G40" s="63">
        <v>30</v>
      </c>
      <c r="H40" s="63">
        <v>30</v>
      </c>
      <c r="I40" s="63">
        <v>30</v>
      </c>
      <c r="J40" s="63">
        <v>30</v>
      </c>
      <c r="K40" s="63">
        <v>30</v>
      </c>
      <c r="L40" s="52">
        <v>60</v>
      </c>
      <c r="M40" s="52">
        <v>60</v>
      </c>
      <c r="N40" s="52">
        <v>60</v>
      </c>
      <c r="O40" s="52">
        <v>50</v>
      </c>
      <c r="P40" s="52">
        <v>50</v>
      </c>
      <c r="Q40" s="52">
        <v>61.7</v>
      </c>
      <c r="R40" s="52">
        <v>61.4</v>
      </c>
      <c r="S40" s="52">
        <v>61.6</v>
      </c>
      <c r="T40" s="52">
        <v>62.3</v>
      </c>
      <c r="U40" s="52">
        <v>60</v>
      </c>
      <c r="V40" s="52">
        <v>61.2</v>
      </c>
      <c r="W40" s="52">
        <v>61.2</v>
      </c>
      <c r="X40" s="52">
        <v>61.2</v>
      </c>
      <c r="Y40" s="52">
        <v>61.2</v>
      </c>
      <c r="Z40" s="52">
        <v>61.2</v>
      </c>
      <c r="AA40" s="52">
        <v>61.2</v>
      </c>
      <c r="AB40" s="52">
        <v>61.2</v>
      </c>
      <c r="AC40" s="52">
        <v>51.4</v>
      </c>
      <c r="AD40" s="52">
        <v>39.299999999999997</v>
      </c>
      <c r="AE40" s="63">
        <v>40.1</v>
      </c>
      <c r="AF40" s="63">
        <v>30.5</v>
      </c>
      <c r="AG40" s="69">
        <v>60</v>
      </c>
      <c r="AH40" s="56">
        <f t="shared" si="2"/>
        <v>62.3</v>
      </c>
      <c r="AI40" s="57">
        <f t="shared" si="3"/>
        <v>22</v>
      </c>
      <c r="AK40" s="58"/>
    </row>
    <row r="41" spans="1:88" x14ac:dyDescent="0.25">
      <c r="A41" s="68" t="s">
        <v>49</v>
      </c>
      <c r="B41" s="63"/>
      <c r="C41" s="63">
        <v>25</v>
      </c>
      <c r="D41" s="63">
        <v>25</v>
      </c>
      <c r="E41" s="63">
        <v>25</v>
      </c>
      <c r="F41" s="63">
        <v>25</v>
      </c>
      <c r="G41" s="63">
        <v>25</v>
      </c>
      <c r="H41" s="63">
        <v>30</v>
      </c>
      <c r="I41" s="63">
        <v>30</v>
      </c>
      <c r="J41" s="63">
        <v>30</v>
      </c>
      <c r="K41" s="63">
        <v>30</v>
      </c>
      <c r="L41" s="50">
        <v>30</v>
      </c>
      <c r="M41" s="50">
        <v>30</v>
      </c>
      <c r="N41" s="50">
        <v>30</v>
      </c>
      <c r="O41" s="50">
        <v>30</v>
      </c>
      <c r="P41" s="50">
        <v>30</v>
      </c>
      <c r="Q41" s="50">
        <v>30</v>
      </c>
      <c r="R41" s="50">
        <v>29.7</v>
      </c>
      <c r="S41" s="50">
        <v>29.7</v>
      </c>
      <c r="T41" s="50">
        <v>29.7</v>
      </c>
      <c r="U41" s="50">
        <v>29.7</v>
      </c>
      <c r="V41" s="50">
        <v>29.7</v>
      </c>
      <c r="W41" s="50">
        <v>29.7</v>
      </c>
      <c r="X41" s="50">
        <v>29.6</v>
      </c>
      <c r="Y41" s="50">
        <v>29.7</v>
      </c>
      <c r="Z41" s="50">
        <v>29.7</v>
      </c>
      <c r="AA41" s="50">
        <v>29.7</v>
      </c>
      <c r="AB41" s="50">
        <v>29.7</v>
      </c>
      <c r="AC41" s="50">
        <v>29.7</v>
      </c>
      <c r="AD41" s="52">
        <v>24.9</v>
      </c>
      <c r="AE41" s="63">
        <v>25</v>
      </c>
      <c r="AF41" s="63">
        <v>10</v>
      </c>
      <c r="AG41" s="69">
        <v>30</v>
      </c>
      <c r="AH41" s="56">
        <f t="shared" si="2"/>
        <v>30</v>
      </c>
      <c r="AI41" s="57">
        <f t="shared" si="3"/>
        <v>10</v>
      </c>
      <c r="AK41" s="58"/>
    </row>
    <row r="42" spans="1:88" x14ac:dyDescent="0.25">
      <c r="A42" s="68" t="s">
        <v>50</v>
      </c>
      <c r="B42" s="63"/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/>
      <c r="C43" s="75">
        <v>17.3</v>
      </c>
      <c r="D43" s="75">
        <v>17.3</v>
      </c>
      <c r="E43" s="75">
        <v>17.3</v>
      </c>
      <c r="F43" s="75">
        <v>17.3</v>
      </c>
      <c r="G43" s="75">
        <v>17.3</v>
      </c>
      <c r="H43" s="75">
        <v>17.3</v>
      </c>
      <c r="I43" s="75">
        <v>17.3</v>
      </c>
      <c r="J43" s="75">
        <v>17.3</v>
      </c>
      <c r="K43" s="75">
        <v>17.3</v>
      </c>
      <c r="L43" s="50">
        <v>17.3</v>
      </c>
      <c r="M43" s="50">
        <v>17.3</v>
      </c>
      <c r="N43" s="50">
        <v>17.3</v>
      </c>
      <c r="O43" s="50">
        <v>17.3</v>
      </c>
      <c r="P43" s="50">
        <v>17.3</v>
      </c>
      <c r="Q43" s="50">
        <v>17.3</v>
      </c>
      <c r="R43" s="50">
        <v>17.3</v>
      </c>
      <c r="S43" s="50">
        <v>17.3</v>
      </c>
      <c r="T43" s="50">
        <v>17.3</v>
      </c>
      <c r="U43" s="50">
        <v>17.3</v>
      </c>
      <c r="V43" s="50">
        <v>17.3</v>
      </c>
      <c r="W43" s="50">
        <v>17.3</v>
      </c>
      <c r="X43" s="50">
        <v>17.399999999999999</v>
      </c>
      <c r="Y43" s="50">
        <v>17.399999999999999</v>
      </c>
      <c r="Z43" s="50">
        <v>17.399999999999999</v>
      </c>
      <c r="AA43" s="50">
        <v>17.399999999999999</v>
      </c>
      <c r="AB43" s="50">
        <v>17.399999999999999</v>
      </c>
      <c r="AC43" s="50">
        <v>17.399999999999999</v>
      </c>
      <c r="AD43" s="50">
        <v>17.5</v>
      </c>
      <c r="AE43" s="63">
        <v>12.7</v>
      </c>
      <c r="AF43" s="63">
        <v>12.8</v>
      </c>
      <c r="AG43" s="69">
        <v>24</v>
      </c>
      <c r="AH43" s="56">
        <f t="shared" si="2"/>
        <v>17.5</v>
      </c>
      <c r="AI43" s="57">
        <f t="shared" si="3"/>
        <v>12.7</v>
      </c>
      <c r="AK43" s="58"/>
    </row>
    <row r="44" spans="1:88" x14ac:dyDescent="0.25">
      <c r="A44" s="68" t="s">
        <v>52</v>
      </c>
      <c r="B44" s="63"/>
      <c r="C44" s="63">
        <v>2.5</v>
      </c>
      <c r="D44" s="63">
        <v>2.5</v>
      </c>
      <c r="E44" s="63">
        <v>2.5</v>
      </c>
      <c r="F44" s="63">
        <v>2.5</v>
      </c>
      <c r="G44" s="63">
        <v>2.5</v>
      </c>
      <c r="H44" s="63">
        <v>2.5</v>
      </c>
      <c r="I44" s="63">
        <v>2.5</v>
      </c>
      <c r="J44" s="63">
        <v>2.5</v>
      </c>
      <c r="K44" s="63">
        <v>2.5</v>
      </c>
      <c r="L44" s="50">
        <v>2.5</v>
      </c>
      <c r="M44" s="50">
        <v>2.5</v>
      </c>
      <c r="N44" s="50">
        <v>2.5</v>
      </c>
      <c r="O44" s="50">
        <v>2.5</v>
      </c>
      <c r="P44" s="50">
        <v>2.5</v>
      </c>
      <c r="Q44" s="50">
        <v>2.5</v>
      </c>
      <c r="R44" s="50">
        <v>2.5</v>
      </c>
      <c r="S44" s="50">
        <v>2.5</v>
      </c>
      <c r="T44" s="50">
        <v>2.5</v>
      </c>
      <c r="U44" s="50">
        <v>2.5</v>
      </c>
      <c r="V44" s="50">
        <v>2.5</v>
      </c>
      <c r="W44" s="50">
        <v>2.5</v>
      </c>
      <c r="X44" s="50">
        <v>2.5</v>
      </c>
      <c r="Y44" s="50">
        <v>2.5</v>
      </c>
      <c r="Z44" s="50">
        <v>2.5</v>
      </c>
      <c r="AA44" s="50">
        <v>2.5</v>
      </c>
      <c r="AB44" s="50">
        <v>2.5</v>
      </c>
      <c r="AC44" s="50">
        <v>2.5</v>
      </c>
      <c r="AD44" s="50">
        <v>2.5</v>
      </c>
      <c r="AE44" s="63">
        <v>2.5</v>
      </c>
      <c r="AF44" s="63">
        <v>2.5</v>
      </c>
      <c r="AG44" s="69">
        <v>15</v>
      </c>
      <c r="AH44" s="56">
        <f t="shared" si="2"/>
        <v>2.5</v>
      </c>
      <c r="AI44" s="57">
        <f t="shared" si="3"/>
        <v>2.5</v>
      </c>
      <c r="AK44" s="58"/>
      <c r="AL44" s="76"/>
      <c r="AO44" s="76"/>
    </row>
    <row r="45" spans="1:88" s="76" customFormat="1" x14ac:dyDescent="0.25">
      <c r="A45" s="68" t="s">
        <v>53</v>
      </c>
      <c r="B45" s="63"/>
      <c r="C45" s="63">
        <v>13</v>
      </c>
      <c r="D45" s="63">
        <v>13</v>
      </c>
      <c r="E45" s="63">
        <v>13</v>
      </c>
      <c r="F45" s="63">
        <v>13</v>
      </c>
      <c r="G45" s="63">
        <v>13</v>
      </c>
      <c r="H45" s="63">
        <v>13</v>
      </c>
      <c r="I45" s="63">
        <v>13</v>
      </c>
      <c r="J45" s="63">
        <v>13</v>
      </c>
      <c r="K45" s="63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63">
        <v>13</v>
      </c>
      <c r="AF45" s="63">
        <v>10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/>
      <c r="C46" s="75">
        <v>7</v>
      </c>
      <c r="D46" s="75">
        <v>7</v>
      </c>
      <c r="E46" s="75">
        <v>7</v>
      </c>
      <c r="F46" s="75">
        <v>7</v>
      </c>
      <c r="G46" s="75">
        <v>7</v>
      </c>
      <c r="H46" s="75">
        <v>7</v>
      </c>
      <c r="I46" s="75">
        <v>7</v>
      </c>
      <c r="J46" s="75">
        <v>7</v>
      </c>
      <c r="K46" s="75">
        <v>7</v>
      </c>
      <c r="L46" s="50">
        <v>12</v>
      </c>
      <c r="M46" s="50">
        <v>12</v>
      </c>
      <c r="N46" s="50">
        <v>12</v>
      </c>
      <c r="O46" s="50">
        <v>12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10</v>
      </c>
      <c r="V46" s="50">
        <v>10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3</v>
      </c>
      <c r="AD46" s="50">
        <v>7</v>
      </c>
      <c r="AE46" s="63">
        <v>7</v>
      </c>
      <c r="AF46" s="63">
        <v>7</v>
      </c>
      <c r="AG46" s="69">
        <v>14</v>
      </c>
      <c r="AH46" s="56">
        <f t="shared" si="2"/>
        <v>14</v>
      </c>
      <c r="AI46" s="57">
        <f t="shared" si="3"/>
        <v>3</v>
      </c>
      <c r="AK46" s="58"/>
    </row>
    <row r="47" spans="1:88" x14ac:dyDescent="0.25">
      <c r="A47" s="68" t="s">
        <v>55</v>
      </c>
      <c r="B47" s="63"/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/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50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4.8</v>
      </c>
      <c r="V48" s="50">
        <v>4.8</v>
      </c>
      <c r="W48" s="50">
        <v>4.8</v>
      </c>
      <c r="X48" s="50">
        <v>4.8</v>
      </c>
      <c r="Y48" s="50">
        <v>4.8</v>
      </c>
      <c r="Z48" s="50">
        <v>4.8</v>
      </c>
      <c r="AA48" s="50">
        <v>4.8</v>
      </c>
      <c r="AB48" s="50">
        <v>4.8</v>
      </c>
      <c r="AC48" s="50">
        <v>4.8</v>
      </c>
      <c r="AD48" s="50">
        <v>4.8</v>
      </c>
      <c r="AE48" s="50">
        <v>4.8</v>
      </c>
      <c r="AF48" s="50">
        <v>4.8</v>
      </c>
      <c r="AG48" s="69">
        <v>6.2</v>
      </c>
      <c r="AH48" s="56">
        <f t="shared" si="2"/>
        <v>4.8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3.54</v>
      </c>
      <c r="C50" s="74">
        <f t="shared" si="6"/>
        <v>299.94000000000005</v>
      </c>
      <c r="D50" s="74">
        <f t="shared" si="6"/>
        <v>284.94000000000005</v>
      </c>
      <c r="E50" s="74">
        <f t="shared" si="6"/>
        <v>269.44000000000005</v>
      </c>
      <c r="F50" s="74">
        <f t="shared" si="6"/>
        <v>269.44000000000005</v>
      </c>
      <c r="G50" s="74">
        <f t="shared" si="6"/>
        <v>293.94000000000005</v>
      </c>
      <c r="H50" s="74">
        <f t="shared" si="6"/>
        <v>315.6400000000001</v>
      </c>
      <c r="I50" s="74">
        <f t="shared" si="6"/>
        <v>324.74000000000007</v>
      </c>
      <c r="J50" s="74">
        <f t="shared" si="6"/>
        <v>337.74</v>
      </c>
      <c r="K50" s="74">
        <f t="shared" si="6"/>
        <v>337.74</v>
      </c>
      <c r="L50" s="74">
        <f t="shared" si="6"/>
        <v>394.74000000000007</v>
      </c>
      <c r="M50" s="74">
        <f t="shared" si="6"/>
        <v>394.74000000000007</v>
      </c>
      <c r="N50" s="74">
        <f t="shared" si="6"/>
        <v>394.74000000000007</v>
      </c>
      <c r="O50" s="74">
        <f t="shared" si="6"/>
        <v>384.74000000000007</v>
      </c>
      <c r="P50" s="74">
        <f t="shared" si="6"/>
        <v>382.74000000000007</v>
      </c>
      <c r="Q50" s="74">
        <f t="shared" si="6"/>
        <v>375.94000000000005</v>
      </c>
      <c r="R50" s="74">
        <f t="shared" si="6"/>
        <v>380.44</v>
      </c>
      <c r="S50" s="74">
        <f t="shared" si="6"/>
        <v>374.34000000000009</v>
      </c>
      <c r="T50" s="74">
        <f t="shared" si="6"/>
        <v>389.04000000000008</v>
      </c>
      <c r="U50" s="74">
        <f t="shared" si="6"/>
        <v>396.64000000000004</v>
      </c>
      <c r="V50" s="74">
        <f t="shared" si="6"/>
        <v>398.44000000000005</v>
      </c>
      <c r="W50" s="74">
        <f t="shared" si="6"/>
        <v>402.64000000000004</v>
      </c>
      <c r="X50" s="74">
        <f t="shared" si="6"/>
        <v>402.94000000000005</v>
      </c>
      <c r="Y50" s="74">
        <f t="shared" si="6"/>
        <v>402.74</v>
      </c>
      <c r="Z50" s="74">
        <f t="shared" si="6"/>
        <v>402.54</v>
      </c>
      <c r="AA50" s="74">
        <f t="shared" si="6"/>
        <v>402.54</v>
      </c>
      <c r="AB50" s="74">
        <f t="shared" si="6"/>
        <v>402.54</v>
      </c>
      <c r="AC50" s="74">
        <f t="shared" si="6"/>
        <v>357.94</v>
      </c>
      <c r="AD50" s="74">
        <f t="shared" si="6"/>
        <v>314.14000000000004</v>
      </c>
      <c r="AE50" s="74">
        <f t="shared" si="6"/>
        <v>289.04000000000002</v>
      </c>
      <c r="AF50" s="74">
        <f t="shared" si="6"/>
        <v>254.74</v>
      </c>
      <c r="AG50" s="79">
        <f>SUM(AG37:AG49)</f>
        <v>489.91</v>
      </c>
      <c r="AH50" s="56">
        <f t="shared" si="2"/>
        <v>402.94000000000005</v>
      </c>
      <c r="AI50" s="57">
        <f t="shared" si="3"/>
        <v>3.54</v>
      </c>
      <c r="AJ50" s="183">
        <f>AVERAGE(B50:AF50)</f>
        <v>343.07870967741951</v>
      </c>
      <c r="AK50" s="3">
        <f>(430-AJ50)*24</f>
        <v>2086.1109677419317</v>
      </c>
    </row>
    <row r="51" spans="1:37" x14ac:dyDescent="0.25">
      <c r="A51" s="59" t="s">
        <v>59</v>
      </c>
      <c r="B51" s="63"/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80">
        <v>0</v>
      </c>
      <c r="N51" s="80">
        <v>0</v>
      </c>
      <c r="O51" s="80">
        <v>0</v>
      </c>
      <c r="P51" s="8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60</v>
      </c>
      <c r="X51" s="50">
        <v>40</v>
      </c>
      <c r="Y51" s="50">
        <v>29.2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60</v>
      </c>
      <c r="AI51" s="57">
        <f t="shared" si="3"/>
        <v>0</v>
      </c>
      <c r="AK51" s="58"/>
    </row>
    <row r="52" spans="1:37" x14ac:dyDescent="0.25">
      <c r="A52" s="68" t="s">
        <v>60</v>
      </c>
      <c r="B52" s="63"/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80">
        <v>0</v>
      </c>
      <c r="N52" s="80">
        <v>0</v>
      </c>
      <c r="O52" s="80">
        <v>0</v>
      </c>
      <c r="P52" s="80">
        <v>0</v>
      </c>
      <c r="Q52" s="52">
        <v>0</v>
      </c>
      <c r="R52" s="50">
        <v>0</v>
      </c>
      <c r="S52" s="50">
        <v>0</v>
      </c>
      <c r="T52" s="50">
        <v>0</v>
      </c>
      <c r="U52" s="52">
        <v>0</v>
      </c>
      <c r="V52" s="52">
        <v>0</v>
      </c>
      <c r="W52" s="52">
        <v>29.4</v>
      </c>
      <c r="X52" s="52">
        <v>21</v>
      </c>
      <c r="Y52" s="52">
        <v>14.5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29.4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/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81">
        <v>0</v>
      </c>
      <c r="N53" s="81">
        <v>0</v>
      </c>
      <c r="O53" s="81">
        <v>0</v>
      </c>
      <c r="P53" s="81">
        <v>0</v>
      </c>
      <c r="Q53" s="82">
        <v>0</v>
      </c>
      <c r="R53" s="50">
        <v>0</v>
      </c>
      <c r="S53" s="50">
        <v>0</v>
      </c>
      <c r="T53" s="50">
        <v>0</v>
      </c>
      <c r="U53" s="82">
        <v>0</v>
      </c>
      <c r="V53" s="82">
        <v>0</v>
      </c>
      <c r="W53" s="82">
        <v>10.7</v>
      </c>
      <c r="X53" s="82">
        <v>7.7</v>
      </c>
      <c r="Y53" s="82">
        <v>5.3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10.7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100.10000000000001</v>
      </c>
      <c r="X54" s="74">
        <f t="shared" si="7"/>
        <v>68.7</v>
      </c>
      <c r="Y54" s="74">
        <f t="shared" si="7"/>
        <v>49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100.10000000000001</v>
      </c>
      <c r="AI54" s="57">
        <f t="shared" si="3"/>
        <v>0</v>
      </c>
      <c r="AK54" s="58"/>
    </row>
    <row r="55" spans="1:37" x14ac:dyDescent="0.25">
      <c r="A55" s="59" t="s">
        <v>63</v>
      </c>
      <c r="B55" s="50"/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84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/>
      <c r="C57" s="52">
        <v>-80</v>
      </c>
      <c r="D57" s="52">
        <v>-30</v>
      </c>
      <c r="E57" s="52">
        <v>-24</v>
      </c>
      <c r="F57" s="52">
        <v>-8</v>
      </c>
      <c r="G57" s="52">
        <v>-48</v>
      </c>
      <c r="H57" s="52">
        <v>-45</v>
      </c>
      <c r="I57" s="52">
        <v>-48</v>
      </c>
      <c r="J57" s="52">
        <v>-47</v>
      </c>
      <c r="K57" s="52">
        <v>-33.200000000000003</v>
      </c>
      <c r="L57" s="52">
        <v>-30</v>
      </c>
      <c r="M57" s="52">
        <v>-70.5</v>
      </c>
      <c r="N57" s="52">
        <v>-38.299999999999997</v>
      </c>
      <c r="O57" s="52">
        <v>-39.6</v>
      </c>
      <c r="P57" s="52">
        <v>-16.8</v>
      </c>
      <c r="Q57" s="52">
        <v>-13.4</v>
      </c>
      <c r="R57" s="52">
        <v>-6.9</v>
      </c>
      <c r="S57" s="52">
        <v>-18.100000000000001</v>
      </c>
      <c r="T57" s="52">
        <v>-20</v>
      </c>
      <c r="U57" s="52">
        <v>-27</v>
      </c>
      <c r="V57" s="52">
        <v>-10.6</v>
      </c>
      <c r="W57" s="85">
        <v>-28.1</v>
      </c>
      <c r="X57" s="85">
        <v>-34.9</v>
      </c>
      <c r="Y57" s="85">
        <v>-27.5</v>
      </c>
      <c r="Z57" s="85">
        <v>-26.7</v>
      </c>
      <c r="AA57" s="85">
        <v>-26.7</v>
      </c>
      <c r="AB57" s="52">
        <v>-28.9</v>
      </c>
      <c r="AC57" s="52">
        <v>-22</v>
      </c>
      <c r="AD57" s="52">
        <v>-28.6</v>
      </c>
      <c r="AE57" s="52">
        <v>-40</v>
      </c>
      <c r="AF57" s="52">
        <v>-35</v>
      </c>
      <c r="AG57" s="86"/>
      <c r="AH57" s="56">
        <f t="shared" si="2"/>
        <v>-6.9</v>
      </c>
      <c r="AI57" s="57">
        <f t="shared" si="3"/>
        <v>-80</v>
      </c>
      <c r="AK57" s="58"/>
    </row>
    <row r="58" spans="1:37" x14ac:dyDescent="0.25">
      <c r="A58" s="68" t="s">
        <v>66</v>
      </c>
      <c r="B58" s="60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0</v>
      </c>
      <c r="C66" s="74">
        <f t="shared" ref="C66:AF66" si="8">SUM(C55:C65)</f>
        <v>-80</v>
      </c>
      <c r="D66" s="74">
        <f t="shared" si="8"/>
        <v>-30</v>
      </c>
      <c r="E66" s="74">
        <f t="shared" si="8"/>
        <v>-24</v>
      </c>
      <c r="F66" s="74">
        <f t="shared" si="8"/>
        <v>-8</v>
      </c>
      <c r="G66" s="74">
        <f t="shared" si="8"/>
        <v>-48</v>
      </c>
      <c r="H66" s="74">
        <f t="shared" si="8"/>
        <v>-45</v>
      </c>
      <c r="I66" s="74">
        <f t="shared" si="8"/>
        <v>-48</v>
      </c>
      <c r="J66" s="74">
        <f t="shared" si="8"/>
        <v>-47</v>
      </c>
      <c r="K66" s="74">
        <f t="shared" si="8"/>
        <v>-33.200000000000003</v>
      </c>
      <c r="L66" s="74">
        <f t="shared" si="8"/>
        <v>-30</v>
      </c>
      <c r="M66" s="74">
        <f t="shared" si="8"/>
        <v>-70.5</v>
      </c>
      <c r="N66" s="74">
        <f t="shared" si="8"/>
        <v>-38.299999999999997</v>
      </c>
      <c r="O66" s="74">
        <f t="shared" si="8"/>
        <v>-39.6</v>
      </c>
      <c r="P66" s="74">
        <f t="shared" si="8"/>
        <v>-16.8</v>
      </c>
      <c r="Q66" s="74">
        <f t="shared" si="8"/>
        <v>-13.4</v>
      </c>
      <c r="R66" s="74">
        <f t="shared" si="8"/>
        <v>-6.9</v>
      </c>
      <c r="S66" s="74">
        <f t="shared" si="8"/>
        <v>-18.100000000000001</v>
      </c>
      <c r="T66" s="74">
        <f t="shared" si="8"/>
        <v>-20</v>
      </c>
      <c r="U66" s="74">
        <f t="shared" si="8"/>
        <v>-27</v>
      </c>
      <c r="V66" s="74">
        <f t="shared" si="8"/>
        <v>-10.6</v>
      </c>
      <c r="W66" s="74">
        <f t="shared" si="8"/>
        <v>-28.1</v>
      </c>
      <c r="X66" s="74">
        <f t="shared" si="8"/>
        <v>-34.9</v>
      </c>
      <c r="Y66" s="74">
        <f t="shared" si="8"/>
        <v>-27.5</v>
      </c>
      <c r="Z66" s="74">
        <f t="shared" si="8"/>
        <v>-26.7</v>
      </c>
      <c r="AA66" s="74">
        <f t="shared" si="8"/>
        <v>-26.7</v>
      </c>
      <c r="AB66" s="74">
        <f t="shared" si="8"/>
        <v>-28.9</v>
      </c>
      <c r="AC66" s="74">
        <f t="shared" si="8"/>
        <v>-22</v>
      </c>
      <c r="AD66" s="74">
        <f t="shared" si="8"/>
        <v>-28.6</v>
      </c>
      <c r="AE66" s="74">
        <f t="shared" si="8"/>
        <v>-40</v>
      </c>
      <c r="AF66" s="74">
        <f t="shared" si="8"/>
        <v>-35</v>
      </c>
      <c r="AG66" s="79">
        <f>SUM(AG55:AG65)</f>
        <v>0</v>
      </c>
      <c r="AH66" s="56">
        <f t="shared" si="2"/>
        <v>0</v>
      </c>
      <c r="AI66" s="57">
        <f t="shared" si="3"/>
        <v>-80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3.54</v>
      </c>
      <c r="C71" s="90">
        <f t="shared" ref="C71:AG71" si="10">C66+C54+C50+C36+C70</f>
        <v>811.24</v>
      </c>
      <c r="D71" s="90">
        <f t="shared" si="10"/>
        <v>806.1400000000001</v>
      </c>
      <c r="E71" s="90">
        <f t="shared" si="10"/>
        <v>796.6400000000001</v>
      </c>
      <c r="F71" s="90">
        <f t="shared" si="10"/>
        <v>812.6400000000001</v>
      </c>
      <c r="G71" s="90">
        <f t="shared" si="10"/>
        <v>857.1400000000001</v>
      </c>
      <c r="H71" s="90">
        <f t="shared" si="10"/>
        <v>892.84000000000015</v>
      </c>
      <c r="I71" s="90">
        <f t="shared" si="10"/>
        <v>928.94</v>
      </c>
      <c r="J71" s="90">
        <f t="shared" si="10"/>
        <v>951.94</v>
      </c>
      <c r="K71" s="90">
        <f t="shared" si="10"/>
        <v>983.74</v>
      </c>
      <c r="L71" s="90">
        <f t="shared" si="10"/>
        <v>1046.94</v>
      </c>
      <c r="M71" s="90">
        <f t="shared" si="10"/>
        <v>1026.44</v>
      </c>
      <c r="N71" s="90">
        <f t="shared" si="10"/>
        <v>1030.6400000000001</v>
      </c>
      <c r="O71" s="90">
        <f t="shared" si="10"/>
        <v>1019.3400000000001</v>
      </c>
      <c r="P71" s="90">
        <f t="shared" si="10"/>
        <v>1040.1400000000001</v>
      </c>
      <c r="Q71" s="90">
        <f t="shared" si="10"/>
        <v>996.74000000000012</v>
      </c>
      <c r="R71" s="90">
        <f t="shared" si="10"/>
        <v>1040.54</v>
      </c>
      <c r="S71" s="90">
        <f t="shared" si="10"/>
        <v>1032.74</v>
      </c>
      <c r="T71" s="90">
        <f t="shared" si="10"/>
        <v>1026.7400000000002</v>
      </c>
      <c r="U71" s="90">
        <f t="shared" si="10"/>
        <v>1070.8400000000001</v>
      </c>
      <c r="V71" s="90">
        <f t="shared" si="10"/>
        <v>1148.1399999999999</v>
      </c>
      <c r="W71" s="90">
        <f t="shared" si="10"/>
        <v>1254.1400000000001</v>
      </c>
      <c r="X71" s="90">
        <f t="shared" si="10"/>
        <v>1277.3400000000001</v>
      </c>
      <c r="Y71" s="90">
        <f t="shared" si="10"/>
        <v>1235.74</v>
      </c>
      <c r="Z71" s="90">
        <f t="shared" si="10"/>
        <v>1122.44</v>
      </c>
      <c r="AA71" s="90">
        <f t="shared" si="10"/>
        <v>1107.44</v>
      </c>
      <c r="AB71" s="90">
        <f t="shared" si="10"/>
        <v>1085.24</v>
      </c>
      <c r="AC71" s="90">
        <f t="shared" si="10"/>
        <v>1001.94</v>
      </c>
      <c r="AD71" s="90">
        <f t="shared" si="10"/>
        <v>922.83999999999992</v>
      </c>
      <c r="AE71" s="90">
        <f t="shared" si="10"/>
        <v>871.83999999999992</v>
      </c>
      <c r="AF71" s="90">
        <f t="shared" si="10"/>
        <v>842.54</v>
      </c>
      <c r="AG71" s="90">
        <f t="shared" si="10"/>
        <v>2083.14</v>
      </c>
      <c r="AH71" s="56">
        <f t="shared" si="2"/>
        <v>1277.3400000000001</v>
      </c>
      <c r="AI71" s="57">
        <f t="shared" si="3"/>
        <v>3.54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3.54</v>
      </c>
      <c r="C73" s="90">
        <f t="shared" ref="C73:AF73" si="11">C70+C66+C54+C50+C36+C72</f>
        <v>811.24</v>
      </c>
      <c r="D73" s="90">
        <f t="shared" si="11"/>
        <v>806.1400000000001</v>
      </c>
      <c r="E73" s="90">
        <f t="shared" si="11"/>
        <v>796.6400000000001</v>
      </c>
      <c r="F73" s="90">
        <f t="shared" si="11"/>
        <v>812.6400000000001</v>
      </c>
      <c r="G73" s="90">
        <f t="shared" si="11"/>
        <v>857.1400000000001</v>
      </c>
      <c r="H73" s="90">
        <f t="shared" si="11"/>
        <v>892.84000000000015</v>
      </c>
      <c r="I73" s="90">
        <f t="shared" si="11"/>
        <v>928.94</v>
      </c>
      <c r="J73" s="90">
        <f t="shared" si="11"/>
        <v>951.94</v>
      </c>
      <c r="K73" s="90">
        <f t="shared" si="11"/>
        <v>983.74</v>
      </c>
      <c r="L73" s="90">
        <f t="shared" si="11"/>
        <v>1046.94</v>
      </c>
      <c r="M73" s="90">
        <f t="shared" si="11"/>
        <v>1026.44</v>
      </c>
      <c r="N73" s="90">
        <f t="shared" si="11"/>
        <v>1030.6400000000001</v>
      </c>
      <c r="O73" s="90">
        <f t="shared" si="11"/>
        <v>1019.3400000000001</v>
      </c>
      <c r="P73" s="90">
        <f t="shared" si="11"/>
        <v>1040.1400000000001</v>
      </c>
      <c r="Q73" s="90">
        <f t="shared" si="11"/>
        <v>996.74000000000012</v>
      </c>
      <c r="R73" s="90">
        <f t="shared" si="11"/>
        <v>1040.54</v>
      </c>
      <c r="S73" s="90">
        <f t="shared" si="11"/>
        <v>1032.74</v>
      </c>
      <c r="T73" s="90">
        <f t="shared" si="11"/>
        <v>1026.7400000000002</v>
      </c>
      <c r="U73" s="90">
        <f t="shared" si="11"/>
        <v>1070.8400000000001</v>
      </c>
      <c r="V73" s="90">
        <f t="shared" si="11"/>
        <v>1148.1399999999999</v>
      </c>
      <c r="W73" s="90">
        <f t="shared" si="11"/>
        <v>1254.1400000000001</v>
      </c>
      <c r="X73" s="90">
        <f t="shared" si="11"/>
        <v>1277.3400000000001</v>
      </c>
      <c r="Y73" s="90">
        <f t="shared" si="11"/>
        <v>1235.74</v>
      </c>
      <c r="Z73" s="90">
        <f t="shared" si="11"/>
        <v>1122.44</v>
      </c>
      <c r="AA73" s="90">
        <f t="shared" si="11"/>
        <v>1107.44</v>
      </c>
      <c r="AB73" s="90">
        <f t="shared" si="11"/>
        <v>1085.24</v>
      </c>
      <c r="AC73" s="90">
        <f t="shared" si="11"/>
        <v>1001.94</v>
      </c>
      <c r="AD73" s="90">
        <f t="shared" si="11"/>
        <v>922.83999999999992</v>
      </c>
      <c r="AE73" s="90">
        <f t="shared" si="11"/>
        <v>871.83999999999992</v>
      </c>
      <c r="AF73" s="90">
        <f t="shared" si="11"/>
        <v>842.54</v>
      </c>
      <c r="AG73" s="79">
        <f>AG70+AG66+AG54+AG50+AG36+AG72</f>
        <v>2083.14</v>
      </c>
      <c r="AH73" s="56">
        <f t="shared" si="2"/>
        <v>1277.3400000000001</v>
      </c>
      <c r="AI73" s="57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0</v>
      </c>
      <c r="C77" s="60">
        <f t="shared" ref="C77:AF77" si="15">IF(C57&lt;0,C57*-1,0)</f>
        <v>80</v>
      </c>
      <c r="D77" s="60">
        <f t="shared" si="15"/>
        <v>30</v>
      </c>
      <c r="E77" s="60">
        <f t="shared" si="15"/>
        <v>24</v>
      </c>
      <c r="F77" s="60">
        <f t="shared" si="15"/>
        <v>8</v>
      </c>
      <c r="G77" s="60">
        <f t="shared" si="15"/>
        <v>48</v>
      </c>
      <c r="H77" s="60">
        <f t="shared" si="15"/>
        <v>45</v>
      </c>
      <c r="I77" s="60">
        <f t="shared" si="15"/>
        <v>48</v>
      </c>
      <c r="J77" s="60">
        <f t="shared" si="15"/>
        <v>47</v>
      </c>
      <c r="K77" s="60">
        <f t="shared" si="15"/>
        <v>33.200000000000003</v>
      </c>
      <c r="L77" s="60">
        <f t="shared" si="15"/>
        <v>30</v>
      </c>
      <c r="M77" s="60">
        <f t="shared" si="15"/>
        <v>70.5</v>
      </c>
      <c r="N77" s="60">
        <f t="shared" si="15"/>
        <v>38.299999999999997</v>
      </c>
      <c r="O77" s="60">
        <f t="shared" si="15"/>
        <v>39.6</v>
      </c>
      <c r="P77" s="60">
        <f t="shared" si="15"/>
        <v>16.8</v>
      </c>
      <c r="Q77" s="60">
        <f t="shared" si="15"/>
        <v>13.4</v>
      </c>
      <c r="R77" s="60">
        <f t="shared" si="15"/>
        <v>6.9</v>
      </c>
      <c r="S77" s="60">
        <f t="shared" si="15"/>
        <v>18.100000000000001</v>
      </c>
      <c r="T77" s="60">
        <f t="shared" si="15"/>
        <v>20</v>
      </c>
      <c r="U77" s="60">
        <f t="shared" si="15"/>
        <v>27</v>
      </c>
      <c r="V77" s="60">
        <f t="shared" si="15"/>
        <v>10.6</v>
      </c>
      <c r="W77" s="60">
        <f t="shared" si="15"/>
        <v>28.1</v>
      </c>
      <c r="X77" s="60">
        <f t="shared" si="15"/>
        <v>34.9</v>
      </c>
      <c r="Y77" s="60">
        <f t="shared" si="15"/>
        <v>27.5</v>
      </c>
      <c r="Z77" s="60">
        <f t="shared" si="15"/>
        <v>26.7</v>
      </c>
      <c r="AA77" s="60">
        <f t="shared" si="15"/>
        <v>26.7</v>
      </c>
      <c r="AB77" s="60">
        <f t="shared" si="15"/>
        <v>28.9</v>
      </c>
      <c r="AC77" s="60">
        <f t="shared" si="15"/>
        <v>22</v>
      </c>
      <c r="AD77" s="60">
        <f t="shared" si="15"/>
        <v>28.6</v>
      </c>
      <c r="AE77" s="60">
        <f t="shared" si="15"/>
        <v>40</v>
      </c>
      <c r="AF77" s="60">
        <f t="shared" si="15"/>
        <v>35</v>
      </c>
      <c r="AG77" s="93"/>
      <c r="AH77" s="56">
        <f t="shared" ref="AH77:AH89" si="16">MAX(B77:AF77)</f>
        <v>80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0</v>
      </c>
      <c r="C80" s="74">
        <f t="shared" si="19"/>
        <v>80</v>
      </c>
      <c r="D80" s="74">
        <f t="shared" si="19"/>
        <v>30</v>
      </c>
      <c r="E80" s="74">
        <f t="shared" si="19"/>
        <v>24</v>
      </c>
      <c r="F80" s="74">
        <f t="shared" si="19"/>
        <v>8</v>
      </c>
      <c r="G80" s="74">
        <f t="shared" si="19"/>
        <v>48</v>
      </c>
      <c r="H80" s="74">
        <f t="shared" si="19"/>
        <v>45</v>
      </c>
      <c r="I80" s="74">
        <f t="shared" si="19"/>
        <v>48</v>
      </c>
      <c r="J80" s="74">
        <f t="shared" si="19"/>
        <v>47</v>
      </c>
      <c r="K80" s="74">
        <f t="shared" si="19"/>
        <v>33.200000000000003</v>
      </c>
      <c r="L80" s="74">
        <f t="shared" si="19"/>
        <v>30</v>
      </c>
      <c r="M80" s="74">
        <f t="shared" si="19"/>
        <v>70.5</v>
      </c>
      <c r="N80" s="74">
        <f t="shared" si="19"/>
        <v>38.299999999999997</v>
      </c>
      <c r="O80" s="74">
        <f t="shared" si="19"/>
        <v>39.6</v>
      </c>
      <c r="P80" s="74">
        <f t="shared" si="19"/>
        <v>16.8</v>
      </c>
      <c r="Q80" s="74">
        <f t="shared" si="19"/>
        <v>13.4</v>
      </c>
      <c r="R80" s="74">
        <f t="shared" si="19"/>
        <v>6.9</v>
      </c>
      <c r="S80" s="74">
        <f t="shared" si="19"/>
        <v>18.100000000000001</v>
      </c>
      <c r="T80" s="74">
        <f t="shared" si="19"/>
        <v>20</v>
      </c>
      <c r="U80" s="74">
        <f t="shared" si="19"/>
        <v>27</v>
      </c>
      <c r="V80" s="74">
        <f t="shared" si="19"/>
        <v>10.6</v>
      </c>
      <c r="W80" s="74">
        <f t="shared" si="19"/>
        <v>28.1</v>
      </c>
      <c r="X80" s="74">
        <f t="shared" si="19"/>
        <v>34.9</v>
      </c>
      <c r="Y80" s="74">
        <f t="shared" si="19"/>
        <v>27.5</v>
      </c>
      <c r="Z80" s="74">
        <f t="shared" si="19"/>
        <v>26.7</v>
      </c>
      <c r="AA80" s="74">
        <f t="shared" si="19"/>
        <v>26.7</v>
      </c>
      <c r="AB80" s="74">
        <f t="shared" si="19"/>
        <v>28.9</v>
      </c>
      <c r="AC80" s="74">
        <f t="shared" si="19"/>
        <v>22</v>
      </c>
      <c r="AD80" s="74">
        <f t="shared" si="19"/>
        <v>28.6</v>
      </c>
      <c r="AE80" s="74">
        <f t="shared" si="19"/>
        <v>40</v>
      </c>
      <c r="AF80" s="74">
        <f t="shared" si="19"/>
        <v>35</v>
      </c>
      <c r="AG80" s="79">
        <f t="shared" si="19"/>
        <v>0</v>
      </c>
      <c r="AH80" s="56">
        <f t="shared" si="16"/>
        <v>80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7.08</v>
      </c>
      <c r="C81" s="74">
        <f t="shared" si="20"/>
        <v>1782.48</v>
      </c>
      <c r="D81" s="74">
        <f t="shared" si="20"/>
        <v>1672.2800000000002</v>
      </c>
      <c r="E81" s="74">
        <f t="shared" si="20"/>
        <v>1641.2800000000002</v>
      </c>
      <c r="F81" s="74">
        <f t="shared" si="20"/>
        <v>1641.2800000000002</v>
      </c>
      <c r="G81" s="74">
        <f t="shared" si="20"/>
        <v>1810.2800000000002</v>
      </c>
      <c r="H81" s="74">
        <f t="shared" si="20"/>
        <v>1875.6800000000003</v>
      </c>
      <c r="I81" s="74">
        <f t="shared" si="20"/>
        <v>1953.88</v>
      </c>
      <c r="J81" s="74">
        <f t="shared" si="20"/>
        <v>1997.88</v>
      </c>
      <c r="K81" s="74">
        <f t="shared" si="20"/>
        <v>2033.88</v>
      </c>
      <c r="L81" s="74">
        <f t="shared" si="20"/>
        <v>2153.88</v>
      </c>
      <c r="M81" s="74">
        <f t="shared" si="20"/>
        <v>2193.88</v>
      </c>
      <c r="N81" s="74">
        <f t="shared" si="20"/>
        <v>2137.8800000000006</v>
      </c>
      <c r="O81" s="74">
        <f t="shared" si="20"/>
        <v>2117.88</v>
      </c>
      <c r="P81" s="74">
        <f t="shared" si="20"/>
        <v>2113.8800000000006</v>
      </c>
      <c r="Q81" s="74">
        <f t="shared" si="20"/>
        <v>2020.2800000000004</v>
      </c>
      <c r="R81" s="74">
        <f t="shared" si="20"/>
        <v>2094.88</v>
      </c>
      <c r="S81" s="74">
        <f t="shared" si="20"/>
        <v>2101.6799999999998</v>
      </c>
      <c r="T81" s="74">
        <f t="shared" si="20"/>
        <v>2093.4800000000005</v>
      </c>
      <c r="U81" s="74">
        <f t="shared" si="20"/>
        <v>2195.6800000000003</v>
      </c>
      <c r="V81" s="74">
        <f t="shared" si="20"/>
        <v>2317.4799999999996</v>
      </c>
      <c r="W81" s="74">
        <f t="shared" si="20"/>
        <v>2564.48</v>
      </c>
      <c r="X81" s="74">
        <f t="shared" si="20"/>
        <v>2624.4800000000005</v>
      </c>
      <c r="Y81" s="74">
        <f t="shared" si="20"/>
        <v>2526.48</v>
      </c>
      <c r="Z81" s="74">
        <f t="shared" si="20"/>
        <v>2298.2799999999997</v>
      </c>
      <c r="AA81" s="74">
        <f t="shared" si="20"/>
        <v>2268.2799999999997</v>
      </c>
      <c r="AB81" s="74">
        <f t="shared" si="20"/>
        <v>2228.2800000000002</v>
      </c>
      <c r="AC81" s="74">
        <f t="shared" si="20"/>
        <v>2047.88</v>
      </c>
      <c r="AD81" s="74">
        <f t="shared" si="20"/>
        <v>1902.8799999999997</v>
      </c>
      <c r="AE81" s="74">
        <f t="shared" si="20"/>
        <v>1823.6799999999998</v>
      </c>
      <c r="AF81" s="74">
        <f t="shared" si="20"/>
        <v>1755.08</v>
      </c>
      <c r="AG81" s="79">
        <f t="shared" si="20"/>
        <v>4238.08</v>
      </c>
      <c r="AH81" s="56">
        <f t="shared" si="16"/>
        <v>2624.4800000000005</v>
      </c>
      <c r="AI81" s="57">
        <f t="shared" si="17"/>
        <v>7.08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/>
      <c r="C82" s="96">
        <v>50</v>
      </c>
      <c r="D82" s="96">
        <v>49.99</v>
      </c>
      <c r="E82" s="96">
        <v>50.05</v>
      </c>
      <c r="F82" s="96">
        <v>50.05</v>
      </c>
      <c r="G82" s="96">
        <v>49.85</v>
      </c>
      <c r="H82" s="96">
        <v>49.936999999999998</v>
      </c>
      <c r="I82" s="96">
        <v>49.973999999999997</v>
      </c>
      <c r="J82" s="96">
        <v>49.972000000000001</v>
      </c>
      <c r="K82" s="96">
        <v>50.021000000000001</v>
      </c>
      <c r="L82" s="96">
        <v>50.094999999999999</v>
      </c>
      <c r="M82" s="96">
        <v>50.094999999999999</v>
      </c>
      <c r="N82" s="96">
        <v>50.024000000000001</v>
      </c>
      <c r="O82" s="96">
        <v>49.957000000000001</v>
      </c>
      <c r="P82" s="96">
        <v>49.695</v>
      </c>
      <c r="Q82" s="96">
        <v>49.883000000000003</v>
      </c>
      <c r="R82" s="96">
        <v>50.054000000000002</v>
      </c>
      <c r="S82" s="96">
        <v>49.88</v>
      </c>
      <c r="T82" s="96">
        <v>49.88</v>
      </c>
      <c r="U82" s="96">
        <v>49.905000000000001</v>
      </c>
      <c r="V82" s="96">
        <v>50.03</v>
      </c>
      <c r="W82" s="96">
        <v>50.01</v>
      </c>
      <c r="X82" s="96">
        <v>49.9</v>
      </c>
      <c r="Y82" s="96">
        <v>50.03</v>
      </c>
      <c r="Z82" s="96">
        <v>50.03</v>
      </c>
      <c r="AA82" s="96">
        <v>50.031999999999996</v>
      </c>
      <c r="AB82" s="96">
        <v>49.997999999999998</v>
      </c>
      <c r="AC82" s="96">
        <v>49.956000000000003</v>
      </c>
      <c r="AD82" s="96">
        <v>50.08</v>
      </c>
      <c r="AE82" s="96">
        <v>50.02</v>
      </c>
      <c r="AF82" s="97">
        <v>49.97</v>
      </c>
      <c r="AG82" s="98"/>
      <c r="AH82" s="56">
        <f t="shared" si="16"/>
        <v>50.094999999999999</v>
      </c>
      <c r="AI82" s="57">
        <f t="shared" si="17"/>
        <v>49.695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/>
      <c r="C83" s="52">
        <v>124</v>
      </c>
      <c r="D83" s="52">
        <v>123.8</v>
      </c>
      <c r="E83" s="52">
        <v>124</v>
      </c>
      <c r="F83" s="52">
        <v>123.7</v>
      </c>
      <c r="G83" s="52">
        <v>124.2</v>
      </c>
      <c r="H83" s="52">
        <v>122.8</v>
      </c>
      <c r="I83" s="52">
        <v>122.6</v>
      </c>
      <c r="J83" s="52">
        <v>122.1</v>
      </c>
      <c r="K83" s="52">
        <v>122.8</v>
      </c>
      <c r="L83" s="52">
        <v>123</v>
      </c>
      <c r="M83" s="52">
        <v>123.3</v>
      </c>
      <c r="N83" s="52">
        <v>122.5</v>
      </c>
      <c r="O83" s="52">
        <v>123.8</v>
      </c>
      <c r="P83" s="52">
        <v>121.9</v>
      </c>
      <c r="Q83" s="52">
        <v>122</v>
      </c>
      <c r="R83" s="52">
        <v>123.4</v>
      </c>
      <c r="S83" s="52">
        <v>123</v>
      </c>
      <c r="T83" s="52">
        <v>123</v>
      </c>
      <c r="U83" s="100">
        <v>124.5</v>
      </c>
      <c r="V83" s="100">
        <v>124.6</v>
      </c>
      <c r="W83" s="100">
        <v>125.5</v>
      </c>
      <c r="X83" s="100">
        <v>126.3</v>
      </c>
      <c r="Y83" s="100">
        <v>126.4</v>
      </c>
      <c r="Z83" s="100">
        <v>125.9</v>
      </c>
      <c r="AA83" s="52">
        <v>124.6</v>
      </c>
      <c r="AB83" s="52">
        <v>123.9</v>
      </c>
      <c r="AC83" s="52">
        <v>125.9</v>
      </c>
      <c r="AD83" s="52">
        <v>126.4</v>
      </c>
      <c r="AE83" s="52">
        <v>124.8</v>
      </c>
      <c r="AF83" s="101">
        <v>123.4</v>
      </c>
      <c r="AG83" s="102"/>
      <c r="AH83" s="56">
        <f t="shared" si="16"/>
        <v>126.4</v>
      </c>
      <c r="AI83" s="57">
        <f t="shared" si="17"/>
        <v>121.9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/>
      <c r="C84" s="52">
        <v>129</v>
      </c>
      <c r="D84" s="52">
        <v>128.80000000000001</v>
      </c>
      <c r="E84" s="52">
        <v>128</v>
      </c>
      <c r="F84" s="52">
        <v>129.1</v>
      </c>
      <c r="G84" s="52">
        <v>129</v>
      </c>
      <c r="H84" s="52">
        <v>126.6</v>
      </c>
      <c r="I84" s="52">
        <v>126.2</v>
      </c>
      <c r="J84" s="52">
        <v>125.8</v>
      </c>
      <c r="K84" s="52">
        <v>126.9</v>
      </c>
      <c r="L84" s="52">
        <v>127</v>
      </c>
      <c r="M84" s="52">
        <v>126.6</v>
      </c>
      <c r="N84" s="52">
        <v>126.3</v>
      </c>
      <c r="O84" s="52">
        <v>127.6</v>
      </c>
      <c r="P84" s="52">
        <v>126.1</v>
      </c>
      <c r="Q84" s="52">
        <v>125.9</v>
      </c>
      <c r="R84" s="52">
        <v>128</v>
      </c>
      <c r="S84" s="52">
        <v>127.4</v>
      </c>
      <c r="T84" s="52">
        <v>127.4</v>
      </c>
      <c r="U84" s="100">
        <v>128.9</v>
      </c>
      <c r="V84" s="100">
        <v>128.5</v>
      </c>
      <c r="W84" s="100">
        <v>129.1</v>
      </c>
      <c r="X84" s="100">
        <v>129.69999999999999</v>
      </c>
      <c r="Y84" s="100">
        <v>129.80000000000001</v>
      </c>
      <c r="Z84" s="100">
        <v>129.69999999999999</v>
      </c>
      <c r="AA84" s="52">
        <v>128.9</v>
      </c>
      <c r="AB84" s="52">
        <v>128.80000000000001</v>
      </c>
      <c r="AC84" s="52">
        <v>130.6</v>
      </c>
      <c r="AD84" s="52">
        <v>131.19999999999999</v>
      </c>
      <c r="AE84" s="52">
        <v>129.5</v>
      </c>
      <c r="AF84" s="101">
        <v>128.5</v>
      </c>
      <c r="AG84" s="102"/>
      <c r="AH84" s="56">
        <f t="shared" si="16"/>
        <v>131.19999999999999</v>
      </c>
      <c r="AI84" s="57">
        <f t="shared" si="17"/>
        <v>125.8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100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100"/>
      <c r="Y86" s="100"/>
      <c r="Z86" s="100"/>
      <c r="AA86" s="52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/>
      <c r="C87" s="104">
        <v>133</v>
      </c>
      <c r="D87" s="104">
        <v>131.19999999999999</v>
      </c>
      <c r="E87" s="104">
        <v>132</v>
      </c>
      <c r="F87" s="104">
        <v>132.5</v>
      </c>
      <c r="G87" s="104">
        <v>133</v>
      </c>
      <c r="H87" s="104">
        <v>131.5</v>
      </c>
      <c r="I87" s="104">
        <v>131.69999999999999</v>
      </c>
      <c r="J87" s="104">
        <v>132.80000000000001</v>
      </c>
      <c r="K87" s="104">
        <v>121.5</v>
      </c>
      <c r="L87" s="104">
        <v>133</v>
      </c>
      <c r="M87" s="104">
        <v>130.9</v>
      </c>
      <c r="N87" s="104">
        <v>133.30000000000001</v>
      </c>
      <c r="O87" s="104">
        <v>132.9</v>
      </c>
      <c r="P87" s="104">
        <v>134.80000000000001</v>
      </c>
      <c r="Q87" s="104">
        <v>132.1</v>
      </c>
      <c r="R87" s="104">
        <v>132.1</v>
      </c>
      <c r="S87" s="104">
        <v>132</v>
      </c>
      <c r="T87" s="104">
        <v>132</v>
      </c>
      <c r="U87" s="104">
        <v>134.1</v>
      </c>
      <c r="V87" s="104">
        <v>135.19999999999999</v>
      </c>
      <c r="W87" s="104">
        <v>131.6</v>
      </c>
      <c r="X87" s="100">
        <v>134.19999999999999</v>
      </c>
      <c r="Y87" s="100">
        <v>134.9</v>
      </c>
      <c r="Z87" s="100">
        <v>133.5</v>
      </c>
      <c r="AA87" s="104">
        <v>133.5</v>
      </c>
      <c r="AB87" s="104">
        <v>133.5</v>
      </c>
      <c r="AC87" s="104">
        <v>133.80000000000001</v>
      </c>
      <c r="AD87" s="104">
        <v>134.9</v>
      </c>
      <c r="AE87" s="104">
        <v>132.4</v>
      </c>
      <c r="AF87" s="105">
        <v>131.6</v>
      </c>
      <c r="AG87" s="106"/>
      <c r="AH87" s="56">
        <f t="shared" si="16"/>
        <v>135.19999999999999</v>
      </c>
      <c r="AI87" s="57">
        <f t="shared" si="17"/>
        <v>121.5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/>
      <c r="C88" s="52">
        <v>133</v>
      </c>
      <c r="D88" s="52">
        <v>130.19999999999999</v>
      </c>
      <c r="E88" s="52">
        <v>131</v>
      </c>
      <c r="F88" s="52">
        <v>132</v>
      </c>
      <c r="G88" s="52">
        <v>130.5</v>
      </c>
      <c r="H88" s="52">
        <v>130.9</v>
      </c>
      <c r="I88" s="52">
        <v>130.9</v>
      </c>
      <c r="J88" s="52">
        <v>131.5</v>
      </c>
      <c r="K88" s="52">
        <v>132</v>
      </c>
      <c r="L88" s="52">
        <v>130</v>
      </c>
      <c r="M88" s="52">
        <v>126.6</v>
      </c>
      <c r="N88" s="52">
        <v>130.6</v>
      </c>
      <c r="O88" s="52">
        <v>132</v>
      </c>
      <c r="P88" s="52">
        <v>134</v>
      </c>
      <c r="Q88" s="52">
        <v>128.9</v>
      </c>
      <c r="R88" s="52">
        <v>130.1</v>
      </c>
      <c r="S88" s="52">
        <v>128.9</v>
      </c>
      <c r="T88" s="52">
        <v>128.9</v>
      </c>
      <c r="U88" s="52">
        <v>131.6</v>
      </c>
      <c r="V88" s="52">
        <v>133.6</v>
      </c>
      <c r="W88" s="52">
        <v>131</v>
      </c>
      <c r="X88" s="100">
        <v>131.19999999999999</v>
      </c>
      <c r="Y88" s="100">
        <v>134.4</v>
      </c>
      <c r="Z88" s="100">
        <v>130.19999999999999</v>
      </c>
      <c r="AA88" s="52">
        <v>132</v>
      </c>
      <c r="AB88" s="52">
        <v>131.6</v>
      </c>
      <c r="AC88" s="52">
        <v>132.5</v>
      </c>
      <c r="AD88" s="52">
        <v>135.69999999999999</v>
      </c>
      <c r="AE88" s="52">
        <v>130.30000000000001</v>
      </c>
      <c r="AF88" s="101">
        <v>130.30000000000001</v>
      </c>
      <c r="AG88" s="102"/>
      <c r="AH88" s="56">
        <f t="shared" si="16"/>
        <v>135.69999999999999</v>
      </c>
      <c r="AI88" s="57">
        <f t="shared" si="17"/>
        <v>126.6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/>
      <c r="C89" s="107">
        <v>64.5</v>
      </c>
      <c r="D89" s="107">
        <v>65.400000000000006</v>
      </c>
      <c r="E89" s="107">
        <v>65.400000000000006</v>
      </c>
      <c r="F89" s="107">
        <v>65.400000000000006</v>
      </c>
      <c r="G89" s="107">
        <v>65.400000000000006</v>
      </c>
      <c r="H89" s="107">
        <v>64.2</v>
      </c>
      <c r="I89" s="107">
        <v>64.2</v>
      </c>
      <c r="J89" s="107">
        <v>64.2</v>
      </c>
      <c r="K89" s="107">
        <v>64.8</v>
      </c>
      <c r="L89" s="107">
        <v>64.7</v>
      </c>
      <c r="M89" s="107">
        <v>64.5</v>
      </c>
      <c r="N89" s="107">
        <v>64.3</v>
      </c>
      <c r="O89" s="107">
        <v>65</v>
      </c>
      <c r="P89" s="107">
        <v>64.2</v>
      </c>
      <c r="Q89" s="107">
        <v>63.9</v>
      </c>
      <c r="R89" s="107">
        <v>65.3</v>
      </c>
      <c r="S89" s="107">
        <v>65</v>
      </c>
      <c r="T89" s="107">
        <v>65</v>
      </c>
      <c r="U89" s="107">
        <v>66</v>
      </c>
      <c r="V89" s="107">
        <v>65.5</v>
      </c>
      <c r="W89" s="107">
        <v>65.8</v>
      </c>
      <c r="X89" s="107">
        <v>66.2</v>
      </c>
      <c r="Y89" s="107">
        <v>66.400000000000006</v>
      </c>
      <c r="Z89" s="107">
        <v>66.400000000000006</v>
      </c>
      <c r="AA89" s="107">
        <v>65.900000000000006</v>
      </c>
      <c r="AB89" s="107">
        <v>66</v>
      </c>
      <c r="AC89" s="107">
        <v>66.8</v>
      </c>
      <c r="AD89" s="107">
        <v>67</v>
      </c>
      <c r="AE89" s="107">
        <v>65.900000000000006</v>
      </c>
      <c r="AF89" s="108">
        <v>65.5</v>
      </c>
      <c r="AG89" s="109"/>
      <c r="AH89" s="56">
        <f t="shared" si="16"/>
        <v>67</v>
      </c>
      <c r="AI89" s="57">
        <f t="shared" si="17"/>
        <v>63.9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34.840000000000003</v>
      </c>
      <c r="C91" s="114">
        <f t="shared" ref="C91:AF91" si="21">SUM(C14,C17,C20:C21,C40,C42:C43,C45,C47,C92:C95,C100,C106,C112,C121,C123,C135,C142,C145:C146,C153,C155,C157,C161:C163,C165:C167,C172,C178:C179,C181:C183,C191,C196)</f>
        <v>175.73999999999998</v>
      </c>
      <c r="D91" s="114">
        <f t="shared" si="21"/>
        <v>161.73999999999998</v>
      </c>
      <c r="E91" s="114">
        <f t="shared" si="21"/>
        <v>156.73999999999998</v>
      </c>
      <c r="F91" s="115">
        <f t="shared" si="21"/>
        <v>134.73999999999998</v>
      </c>
      <c r="G91" s="115">
        <f t="shared" si="21"/>
        <v>173.73999999999998</v>
      </c>
      <c r="H91" s="115">
        <f t="shared" si="21"/>
        <v>200.53999999999996</v>
      </c>
      <c r="I91" s="115">
        <f t="shared" si="21"/>
        <v>214.54</v>
      </c>
      <c r="J91" s="115">
        <f t="shared" si="21"/>
        <v>235.44</v>
      </c>
      <c r="K91" s="115">
        <f t="shared" si="21"/>
        <v>244.23999999999998</v>
      </c>
      <c r="L91" s="115">
        <f t="shared" si="21"/>
        <v>257.33999999999997</v>
      </c>
      <c r="M91" s="115">
        <f t="shared" si="21"/>
        <v>245.73999999999995</v>
      </c>
      <c r="N91" s="115">
        <f t="shared" si="21"/>
        <v>248.83999999999997</v>
      </c>
      <c r="O91" s="115">
        <f t="shared" si="21"/>
        <v>236.23999999999998</v>
      </c>
      <c r="P91" s="115">
        <f t="shared" si="21"/>
        <v>230.73999999999998</v>
      </c>
      <c r="Q91" s="115">
        <f t="shared" si="21"/>
        <v>227.33999999999997</v>
      </c>
      <c r="R91" s="115">
        <f t="shared" si="21"/>
        <v>230.23999999999998</v>
      </c>
      <c r="S91" s="115">
        <f t="shared" si="21"/>
        <v>241.34</v>
      </c>
      <c r="T91" s="115">
        <f t="shared" si="21"/>
        <v>237.53999999999994</v>
      </c>
      <c r="U91" s="115">
        <f t="shared" si="21"/>
        <v>248.83999999999997</v>
      </c>
      <c r="V91" s="115">
        <f t="shared" si="21"/>
        <v>284.64</v>
      </c>
      <c r="W91" s="115">
        <f t="shared" si="21"/>
        <v>285.84000000000003</v>
      </c>
      <c r="X91" s="115">
        <f t="shared" si="21"/>
        <v>316.74</v>
      </c>
      <c r="Y91" s="115">
        <f t="shared" si="21"/>
        <v>299.34000000000003</v>
      </c>
      <c r="Z91" s="115">
        <f t="shared" si="21"/>
        <v>278.14000000000004</v>
      </c>
      <c r="AA91" s="115">
        <f t="shared" si="21"/>
        <v>253.23999999999995</v>
      </c>
      <c r="AB91" s="115">
        <f t="shared" si="21"/>
        <v>238.33999999999997</v>
      </c>
      <c r="AC91" s="115">
        <f t="shared" si="21"/>
        <v>207.53999999999996</v>
      </c>
      <c r="AD91" s="115">
        <f t="shared" si="21"/>
        <v>162.83999999999997</v>
      </c>
      <c r="AE91" s="115">
        <f t="shared" si="21"/>
        <v>149.34</v>
      </c>
      <c r="AF91" s="115">
        <f t="shared" si="21"/>
        <v>123.14</v>
      </c>
      <c r="AG91" s="116"/>
      <c r="AH91" s="56">
        <f>MAX(B91:AF91)</f>
        <v>316.74</v>
      </c>
      <c r="AI91" s="57">
        <f>MIN(B91:AF91)</f>
        <v>34.840000000000003</v>
      </c>
    </row>
    <row r="92" spans="1:88" x14ac:dyDescent="0.25">
      <c r="A92" s="117" t="s">
        <v>96</v>
      </c>
      <c r="B92" s="60"/>
      <c r="C92" s="60">
        <v>44</v>
      </c>
      <c r="D92" s="60">
        <v>46</v>
      </c>
      <c r="E92" s="60">
        <v>48</v>
      </c>
      <c r="F92" s="60">
        <v>46</v>
      </c>
      <c r="G92" s="118">
        <v>45</v>
      </c>
      <c r="H92" s="118">
        <v>46.8</v>
      </c>
      <c r="I92" s="118">
        <v>47.9</v>
      </c>
      <c r="J92" s="118">
        <v>52.2</v>
      </c>
      <c r="K92" s="118">
        <v>45.5</v>
      </c>
      <c r="L92" s="54">
        <v>46.3</v>
      </c>
      <c r="M92" s="118">
        <v>45.1</v>
      </c>
      <c r="N92" s="118">
        <v>55.7</v>
      </c>
      <c r="O92" s="118">
        <v>44.1</v>
      </c>
      <c r="P92" s="118">
        <v>44.5</v>
      </c>
      <c r="Q92" s="118">
        <v>53</v>
      </c>
      <c r="R92" s="118">
        <v>43</v>
      </c>
      <c r="S92" s="118">
        <v>44.4</v>
      </c>
      <c r="T92" s="118">
        <v>56.3</v>
      </c>
      <c r="U92" s="54">
        <v>48.5</v>
      </c>
      <c r="V92" s="54">
        <v>40.1</v>
      </c>
      <c r="W92" s="54">
        <v>41.1</v>
      </c>
      <c r="X92" s="54">
        <v>16.3</v>
      </c>
      <c r="Y92" s="54">
        <v>31.6</v>
      </c>
      <c r="Z92" s="54">
        <v>39.5</v>
      </c>
      <c r="AA92" s="54">
        <v>43.1</v>
      </c>
      <c r="AB92" s="54">
        <v>46.7</v>
      </c>
      <c r="AC92" s="54">
        <v>39.799999999999997</v>
      </c>
      <c r="AD92" s="54">
        <v>34.700000000000003</v>
      </c>
      <c r="AE92" s="54">
        <v>24.9</v>
      </c>
      <c r="AF92" s="119">
        <v>21.9</v>
      </c>
      <c r="AG92" s="120">
        <v>75</v>
      </c>
      <c r="AH92" s="56">
        <f t="shared" ref="AH92:AH97" si="22">IF(ABS(MAX(B92:AF92))&gt;ABS(MIN(B92:AF92)),MAX(B92:AF92),MIN(B92:AF92))</f>
        <v>56.3</v>
      </c>
      <c r="AI92" s="121">
        <f t="shared" ref="AI92:AI97" si="23">INDEX($B$9:$AF$9,1,MATCH(AH92,B92:AF92,0))</f>
        <v>0.66666666666666696</v>
      </c>
    </row>
    <row r="93" spans="1:88" x14ac:dyDescent="0.25">
      <c r="A93" s="122" t="s">
        <v>97</v>
      </c>
      <c r="B93" s="62"/>
      <c r="C93" s="62">
        <v>-90</v>
      </c>
      <c r="D93" s="62">
        <v>-90</v>
      </c>
      <c r="E93" s="62">
        <v>-88</v>
      </c>
      <c r="F93" s="62">
        <v>-85</v>
      </c>
      <c r="G93" s="62">
        <v>-65</v>
      </c>
      <c r="H93" s="62">
        <v>-47</v>
      </c>
      <c r="I93" s="62">
        <v>-37</v>
      </c>
      <c r="J93" s="62">
        <v>-28</v>
      </c>
      <c r="K93" s="62">
        <v>-47</v>
      </c>
      <c r="L93" s="62">
        <v>-57</v>
      </c>
      <c r="M93" s="62">
        <v>-64.3</v>
      </c>
      <c r="N93" s="62">
        <v>-66</v>
      </c>
      <c r="O93" s="62">
        <v>-64</v>
      </c>
      <c r="P93" s="62">
        <v>-66</v>
      </c>
      <c r="Q93" s="62">
        <v>-70</v>
      </c>
      <c r="R93" s="62">
        <v>-68</v>
      </c>
      <c r="S93" s="62">
        <f>-27.9-33.7</f>
        <v>-61.6</v>
      </c>
      <c r="T93" s="62">
        <f>-31-37.3</f>
        <v>-68.3</v>
      </c>
      <c r="U93" s="62">
        <v>-62</v>
      </c>
      <c r="V93" s="62">
        <f>-22.4-28.4</f>
        <v>-50.8</v>
      </c>
      <c r="W93" s="62">
        <f>-22.4-28.4</f>
        <v>-50.8</v>
      </c>
      <c r="X93" s="62">
        <v>-36.6</v>
      </c>
      <c r="Y93" s="62">
        <f>-17.6-26.1</f>
        <v>-43.7</v>
      </c>
      <c r="Z93" s="62">
        <f>-20.7-28.2</f>
        <v>-48.9</v>
      </c>
      <c r="AA93" s="52">
        <v>-63</v>
      </c>
      <c r="AB93" s="52">
        <v>-68.900000000000006</v>
      </c>
      <c r="AC93" s="52">
        <v>-69.900000000000006</v>
      </c>
      <c r="AD93" s="52">
        <f>-35-43</f>
        <v>-78</v>
      </c>
      <c r="AE93" s="52">
        <f>-36.4-43.3</f>
        <v>-79.699999999999989</v>
      </c>
      <c r="AF93" s="123">
        <f>-40.2-47.9</f>
        <v>-88.1</v>
      </c>
      <c r="AG93" s="120">
        <v>240</v>
      </c>
      <c r="AH93" s="56">
        <f t="shared" si="22"/>
        <v>-90</v>
      </c>
      <c r="AI93" s="121">
        <f t="shared" si="23"/>
        <v>8.3333333333333301E-2</v>
      </c>
    </row>
    <row r="94" spans="1:88" x14ac:dyDescent="0.25">
      <c r="A94" s="122" t="s">
        <v>98</v>
      </c>
      <c r="B94" s="62"/>
      <c r="C94" s="62">
        <v>-14</v>
      </c>
      <c r="D94" s="62">
        <v>-15</v>
      </c>
      <c r="E94" s="62">
        <v>-16</v>
      </c>
      <c r="F94" s="62">
        <v>-14</v>
      </c>
      <c r="G94" s="62">
        <v>-2</v>
      </c>
      <c r="H94" s="62">
        <v>-2</v>
      </c>
      <c r="I94" s="62">
        <v>0.9</v>
      </c>
      <c r="J94" s="62">
        <v>3.5</v>
      </c>
      <c r="K94" s="62">
        <v>2.4</v>
      </c>
      <c r="L94" s="62">
        <v>0.7</v>
      </c>
      <c r="M94" s="62">
        <v>3.5</v>
      </c>
      <c r="N94" s="62">
        <v>6.2</v>
      </c>
      <c r="O94" s="62">
        <v>9.6</v>
      </c>
      <c r="P94" s="62">
        <v>1.1000000000000001</v>
      </c>
      <c r="Q94" s="62">
        <v>-0.9</v>
      </c>
      <c r="R94" s="62">
        <v>-5.3</v>
      </c>
      <c r="S94" s="62">
        <v>-4</v>
      </c>
      <c r="T94" s="62">
        <v>-2.9</v>
      </c>
      <c r="U94" s="62">
        <v>2.6</v>
      </c>
      <c r="V94" s="62">
        <v>9.8000000000000007</v>
      </c>
      <c r="W94" s="62">
        <v>9.8000000000000007</v>
      </c>
      <c r="X94" s="62">
        <v>29.4</v>
      </c>
      <c r="Y94" s="62">
        <v>20.3</v>
      </c>
      <c r="Z94" s="62">
        <v>7.3</v>
      </c>
      <c r="AA94" s="52">
        <v>1.1000000000000001</v>
      </c>
      <c r="AB94" s="52">
        <v>-3.1</v>
      </c>
      <c r="AC94" s="52">
        <v>2.2999999999999998</v>
      </c>
      <c r="AD94" s="52">
        <v>-5.3</v>
      </c>
      <c r="AE94" s="52">
        <v>-8.6</v>
      </c>
      <c r="AF94" s="123">
        <v>-7.1</v>
      </c>
      <c r="AG94" s="120">
        <v>60</v>
      </c>
      <c r="AH94" s="56">
        <f t="shared" si="22"/>
        <v>29.4</v>
      </c>
      <c r="AI94" s="121">
        <f t="shared" si="23"/>
        <v>0.77083333333333337</v>
      </c>
    </row>
    <row r="95" spans="1:88" x14ac:dyDescent="0.25">
      <c r="A95" s="124" t="s">
        <v>99</v>
      </c>
      <c r="B95" s="65"/>
      <c r="C95" s="65">
        <v>25</v>
      </c>
      <c r="D95" s="65">
        <v>25</v>
      </c>
      <c r="E95" s="65">
        <v>25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35.6</v>
      </c>
      <c r="L95" s="65">
        <v>29.6</v>
      </c>
      <c r="M95" s="65">
        <v>23.7</v>
      </c>
      <c r="N95" s="65">
        <v>18.2</v>
      </c>
      <c r="O95" s="65">
        <v>21.8</v>
      </c>
      <c r="P95" s="65">
        <v>26.4</v>
      </c>
      <c r="Q95" s="65">
        <v>13.8</v>
      </c>
      <c r="R95" s="65">
        <v>29.4</v>
      </c>
      <c r="S95" s="65">
        <v>31.3</v>
      </c>
      <c r="T95" s="65">
        <v>20.5</v>
      </c>
      <c r="U95" s="65">
        <v>30.1</v>
      </c>
      <c r="V95" s="65">
        <v>45.6</v>
      </c>
      <c r="W95" s="65">
        <v>45.6</v>
      </c>
      <c r="X95" s="65">
        <v>67.599999999999994</v>
      </c>
      <c r="Y95" s="65">
        <v>50.9</v>
      </c>
      <c r="Z95" s="65">
        <v>39.9</v>
      </c>
      <c r="AA95" s="125">
        <v>31.7</v>
      </c>
      <c r="AB95" s="125">
        <v>23.3</v>
      </c>
      <c r="AC95" s="125">
        <v>10.4</v>
      </c>
      <c r="AD95" s="125">
        <v>-1.5</v>
      </c>
      <c r="AE95" s="125">
        <v>3.8</v>
      </c>
      <c r="AF95" s="126">
        <v>0</v>
      </c>
      <c r="AG95" s="127">
        <v>120</v>
      </c>
      <c r="AH95" s="56">
        <f t="shared" si="22"/>
        <v>67.599999999999994</v>
      </c>
      <c r="AI95" s="121">
        <f t="shared" si="23"/>
        <v>0.77083333333333337</v>
      </c>
    </row>
    <row r="96" spans="1:88" x14ac:dyDescent="0.25">
      <c r="A96" s="124" t="s">
        <v>100</v>
      </c>
      <c r="B96" s="65"/>
      <c r="C96" s="65">
        <v>8</v>
      </c>
      <c r="D96" s="65">
        <v>20</v>
      </c>
      <c r="E96" s="65">
        <v>22</v>
      </c>
      <c r="F96" s="65">
        <v>23</v>
      </c>
      <c r="G96" s="65">
        <v>32</v>
      </c>
      <c r="H96" s="65">
        <v>36.799999999999997</v>
      </c>
      <c r="I96" s="65">
        <v>41.8</v>
      </c>
      <c r="J96" s="65">
        <v>48.7</v>
      </c>
      <c r="K96" s="65">
        <v>41.2</v>
      </c>
      <c r="L96" s="65">
        <v>38.9</v>
      </c>
      <c r="M96" s="65">
        <v>37</v>
      </c>
      <c r="N96" s="65">
        <v>34.5</v>
      </c>
      <c r="O96" s="65">
        <v>38</v>
      </c>
      <c r="P96" s="65">
        <v>40.799999999999997</v>
      </c>
      <c r="Q96" s="65">
        <v>35.299999999999997</v>
      </c>
      <c r="R96" s="65">
        <v>45.4</v>
      </c>
      <c r="S96" s="65">
        <v>40.9</v>
      </c>
      <c r="T96" s="65">
        <v>41.1</v>
      </c>
      <c r="U96" s="65">
        <v>43.9</v>
      </c>
      <c r="V96" s="65">
        <v>50.5</v>
      </c>
      <c r="W96" s="65">
        <v>50.5</v>
      </c>
      <c r="X96" s="65">
        <v>64.400000000000006</v>
      </c>
      <c r="Y96" s="65">
        <v>51.8</v>
      </c>
      <c r="Z96" s="65">
        <v>44.2</v>
      </c>
      <c r="AA96" s="125">
        <v>43.1</v>
      </c>
      <c r="AB96" s="125">
        <v>36.299999999999997</v>
      </c>
      <c r="AC96" s="125">
        <v>36.5</v>
      </c>
      <c r="AD96" s="125">
        <v>30</v>
      </c>
      <c r="AE96" s="125">
        <v>37.4</v>
      </c>
      <c r="AF96" s="126">
        <v>55.1</v>
      </c>
      <c r="AG96" s="127"/>
      <c r="AH96" s="56">
        <f t="shared" si="22"/>
        <v>64.400000000000006</v>
      </c>
      <c r="AI96" s="121">
        <f t="shared" si="23"/>
        <v>0.77083333333333337</v>
      </c>
    </row>
    <row r="97" spans="1:37" ht="15.75" thickBot="1" x14ac:dyDescent="0.3">
      <c r="A97" s="124" t="s">
        <v>101</v>
      </c>
      <c r="B97" s="65"/>
      <c r="C97" s="65">
        <v>31</v>
      </c>
      <c r="D97" s="65">
        <v>30</v>
      </c>
      <c r="E97" s="65">
        <v>41</v>
      </c>
      <c r="F97" s="65">
        <v>43.5</v>
      </c>
      <c r="G97" s="65">
        <v>43</v>
      </c>
      <c r="H97" s="65">
        <v>34.299999999999997</v>
      </c>
      <c r="I97" s="65">
        <v>35.200000000000003</v>
      </c>
      <c r="J97" s="65">
        <v>31</v>
      </c>
      <c r="K97" s="65">
        <v>28.8</v>
      </c>
      <c r="L97" s="65">
        <v>30.8</v>
      </c>
      <c r="M97" s="65">
        <v>38.200000000000003</v>
      </c>
      <c r="N97" s="65">
        <v>29.3</v>
      </c>
      <c r="O97" s="65">
        <v>39.4</v>
      </c>
      <c r="P97" s="65">
        <v>29.1</v>
      </c>
      <c r="Q97" s="65">
        <v>28.2</v>
      </c>
      <c r="R97" s="65">
        <v>41.7</v>
      </c>
      <c r="S97" s="65">
        <v>36.700000000000003</v>
      </c>
      <c r="T97" s="65">
        <v>26.5</v>
      </c>
      <c r="U97" s="65">
        <v>31.5</v>
      </c>
      <c r="V97" s="65">
        <v>38.1</v>
      </c>
      <c r="W97" s="65">
        <v>38.1</v>
      </c>
      <c r="X97" s="65">
        <v>70.5</v>
      </c>
      <c r="Y97" s="65">
        <v>53.7</v>
      </c>
      <c r="Z97" s="65">
        <v>48.3</v>
      </c>
      <c r="AA97" s="125">
        <v>41</v>
      </c>
      <c r="AB97" s="125">
        <v>41.7</v>
      </c>
      <c r="AC97" s="125">
        <v>43.1</v>
      </c>
      <c r="AD97" s="125">
        <v>42.8</v>
      </c>
      <c r="AE97" s="125">
        <v>51.4</v>
      </c>
      <c r="AF97" s="126">
        <v>51.2</v>
      </c>
      <c r="AG97" s="128"/>
      <c r="AH97" s="56">
        <f t="shared" si="22"/>
        <v>70.5</v>
      </c>
      <c r="AI97" s="121">
        <f t="shared" si="23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1046.94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5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2078/07/5)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2078/07/5)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3.54</v>
      </c>
      <c r="U211" s="173">
        <f t="shared" si="52"/>
        <v>811.24</v>
      </c>
      <c r="V211" s="173">
        <f t="shared" si="52"/>
        <v>806.1400000000001</v>
      </c>
      <c r="W211" s="173">
        <f t="shared" si="52"/>
        <v>796.6400000000001</v>
      </c>
      <c r="X211" s="173">
        <f t="shared" si="52"/>
        <v>812.6400000000001</v>
      </c>
      <c r="Y211" s="173">
        <f t="shared" si="52"/>
        <v>857.1400000000001</v>
      </c>
      <c r="Z211" s="173">
        <f t="shared" si="52"/>
        <v>892.84000000000015</v>
      </c>
      <c r="AA211" s="173">
        <f t="shared" si="52"/>
        <v>928.94</v>
      </c>
      <c r="AB211" s="173">
        <f t="shared" si="52"/>
        <v>951.94</v>
      </c>
      <c r="AC211" s="173">
        <f t="shared" si="52"/>
        <v>983.74</v>
      </c>
      <c r="AD211" s="173">
        <f t="shared" si="52"/>
        <v>1046.94</v>
      </c>
      <c r="AE211" s="173">
        <f t="shared" si="52"/>
        <v>1026.44</v>
      </c>
      <c r="AF211" s="173">
        <f t="shared" si="52"/>
        <v>1030.6400000000001</v>
      </c>
      <c r="AG211" s="173">
        <f t="shared" si="52"/>
        <v>1019.3400000000001</v>
      </c>
      <c r="AH211" s="173">
        <f t="shared" si="52"/>
        <v>1040.1400000000001</v>
      </c>
      <c r="AI211" s="173">
        <f t="shared" si="52"/>
        <v>996.74000000000012</v>
      </c>
      <c r="AJ211" s="173">
        <f t="shared" si="52"/>
        <v>1040.54</v>
      </c>
      <c r="AK211" s="173">
        <f t="shared" si="52"/>
        <v>1032.74</v>
      </c>
      <c r="AL211" s="173">
        <f t="shared" si="52"/>
        <v>1026.7400000000002</v>
      </c>
      <c r="AM211" s="173">
        <f t="shared" si="52"/>
        <v>1070.8400000000001</v>
      </c>
      <c r="AN211" s="173">
        <f t="shared" si="52"/>
        <v>1148.1399999999999</v>
      </c>
      <c r="AO211" s="173">
        <f t="shared" si="52"/>
        <v>1254.1400000000001</v>
      </c>
      <c r="AP211" s="173">
        <f t="shared" si="52"/>
        <v>1277.3400000000001</v>
      </c>
      <c r="AQ211" s="173">
        <f t="shared" si="52"/>
        <v>1235.74</v>
      </c>
      <c r="AR211" s="173">
        <f t="shared" si="52"/>
        <v>1122.44</v>
      </c>
      <c r="AS211" s="173">
        <f t="shared" si="52"/>
        <v>1107.44</v>
      </c>
      <c r="AT211" s="173">
        <f t="shared" si="52"/>
        <v>1085.24</v>
      </c>
      <c r="AU211" s="173">
        <f t="shared" si="52"/>
        <v>1001.94</v>
      </c>
      <c r="AV211" s="173">
        <f t="shared" si="52"/>
        <v>922.83999999999992</v>
      </c>
      <c r="AW211" s="173">
        <f t="shared" si="52"/>
        <v>871.83999999999992</v>
      </c>
      <c r="AX211" s="173">
        <f t="shared" si="52"/>
        <v>842.54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389" priority="270">
      <formula>S$9&gt;=20/24</formula>
    </cfRule>
    <cfRule type="expression" dxfId="9388" priority="271">
      <formula>AND(S$9&gt;=14/24,S$9&lt;20/24)</formula>
    </cfRule>
    <cfRule type="expression" dxfId="9387" priority="272">
      <formula>AND(S$9&gt;=8/24,S$9&lt;14/24)</formula>
    </cfRule>
    <cfRule type="expression" dxfId="9386" priority="273">
      <formula>S$9&lt;8/24</formula>
    </cfRule>
  </conditionalFormatting>
  <conditionalFormatting sqref="B8:AF10 AA79:AF79 B79:Q79 B54:AF54 B80:AF80 C191:AF197 AE55:AF58 B66:AF70 B55:C56 T210:AX210 B61:B65 Q37 Q40 AA82:AF89 B72:AF76 B78:AF78 B57:B59 C57:C65 D55:K65 L37:P40 L11:Q13 Q38:T39 L35:V35 L15:V29 P46:V46 L56:V65 X83:Z89 R11:AC11 AC12:AC13 W17:AB29 U38:AD40 L51:AF53 AD41 AD11:AF13 AC15:AF29 L31:V31 L30:AF30">
    <cfRule type="expression" dxfId="9385" priority="266">
      <formula>B$9&gt;=20/24</formula>
    </cfRule>
    <cfRule type="expression" dxfId="9384" priority="267">
      <formula>AND(B$9&gt;=14/24,B$9&lt;20/24)</formula>
    </cfRule>
    <cfRule type="expression" dxfId="9383" priority="268">
      <formula>AND(B$9&gt;=8/24,B$9&lt;14/24)</formula>
    </cfRule>
    <cfRule type="expression" dxfId="9382" priority="269">
      <formula>B$9&lt;8/24</formula>
    </cfRule>
  </conditionalFormatting>
  <conditionalFormatting sqref="B189:AF189">
    <cfRule type="expression" dxfId="9381" priority="262">
      <formula>B$9&gt;=20/24</formula>
    </cfRule>
    <cfRule type="expression" dxfId="9380" priority="263">
      <formula>AND(B$9&gt;=14/24,B$9&lt;20/24)</formula>
    </cfRule>
    <cfRule type="expression" dxfId="9379" priority="264">
      <formula>AND(B$9&gt;=8/24,B$9&lt;14/24)</formula>
    </cfRule>
    <cfRule type="expression" dxfId="9378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9377" priority="257">
      <formula>L$9&gt;=20/24</formula>
    </cfRule>
    <cfRule type="expression" dxfId="9376" priority="258">
      <formula>AND(L$9&gt;=14/24,L$9&lt;20/24)</formula>
    </cfRule>
    <cfRule type="expression" dxfId="9375" priority="259">
      <formula>AND(L$9&gt;=8/24,L$9&lt;14/24)</formula>
    </cfRule>
    <cfRule type="expression" dxfId="9374" priority="260">
      <formula>L$9&lt;8/24</formula>
    </cfRule>
  </conditionalFormatting>
  <conditionalFormatting sqref="L41:Q41">
    <cfRule type="expression" dxfId="9373" priority="253">
      <formula>L$9&gt;=20/24</formula>
    </cfRule>
    <cfRule type="expression" dxfId="9372" priority="254">
      <formula>AND(L$9&gt;=14/24,L$9&lt;20/24)</formula>
    </cfRule>
    <cfRule type="expression" dxfId="9371" priority="255">
      <formula>AND(L$9&gt;=8/24,L$9&lt;14/24)</formula>
    </cfRule>
    <cfRule type="expression" dxfId="9370" priority="256">
      <formula>L$9&lt;8/24</formula>
    </cfRule>
  </conditionalFormatting>
  <conditionalFormatting sqref="R37:AD37">
    <cfRule type="expression" dxfId="9369" priority="245">
      <formula>R$9&gt;=20/24</formula>
    </cfRule>
    <cfRule type="expression" dxfId="9368" priority="246">
      <formula>AND(R$9&gt;=14/24,R$9&lt;20/24)</formula>
    </cfRule>
    <cfRule type="expression" dxfId="9367" priority="247">
      <formula>AND(R$9&gt;=8/24,R$9&lt;14/24)</formula>
    </cfRule>
    <cfRule type="expression" dxfId="9366" priority="248">
      <formula>R$9&lt;8/24</formula>
    </cfRule>
  </conditionalFormatting>
  <conditionalFormatting sqref="R55:AD55">
    <cfRule type="expression" dxfId="9365" priority="241">
      <formula>R$9&gt;=20/24</formula>
    </cfRule>
    <cfRule type="expression" dxfId="9364" priority="242">
      <formula>AND(R$9&gt;=14/24,R$9&lt;20/24)</formula>
    </cfRule>
    <cfRule type="expression" dxfId="9363" priority="243">
      <formula>AND(R$9&gt;=8/24,R$9&lt;14/24)</formula>
    </cfRule>
    <cfRule type="expression" dxfId="9362" priority="244">
      <formula>R$9&lt;8/24</formula>
    </cfRule>
  </conditionalFormatting>
  <conditionalFormatting sqref="R79:Z79">
    <cfRule type="expression" dxfId="9361" priority="237">
      <formula>R$9&gt;=20/24</formula>
    </cfRule>
    <cfRule type="expression" dxfId="9360" priority="238">
      <formula>AND(R$9&gt;=14/24,R$9&lt;20/24)</formula>
    </cfRule>
    <cfRule type="expression" dxfId="9359" priority="239">
      <formula>AND(R$9&gt;=8/24,R$9&lt;14/24)</formula>
    </cfRule>
    <cfRule type="expression" dxfId="9358" priority="240">
      <formula>R$9&lt;8/24</formula>
    </cfRule>
  </conditionalFormatting>
  <conditionalFormatting sqref="U82:Z82">
    <cfRule type="expression" dxfId="9357" priority="233">
      <formula>U$9&gt;=20/24</formula>
    </cfRule>
    <cfRule type="expression" dxfId="9356" priority="234">
      <formula>AND(U$9&gt;=14/24,U$9&lt;20/24)</formula>
    </cfRule>
    <cfRule type="expression" dxfId="9355" priority="235">
      <formula>AND(U$9&gt;=8/24,U$9&lt;14/24)</formula>
    </cfRule>
    <cfRule type="expression" dxfId="9354" priority="236">
      <formula>U$9&lt;8/24</formula>
    </cfRule>
  </conditionalFormatting>
  <conditionalFormatting sqref="L33:V33">
    <cfRule type="expression" dxfId="9353" priority="229">
      <formula>L$9&gt;=20/24</formula>
    </cfRule>
    <cfRule type="expression" dxfId="9352" priority="230">
      <formula>AND(L$9&gt;=14/24,L$9&lt;20/24)</formula>
    </cfRule>
    <cfRule type="expression" dxfId="9351" priority="231">
      <formula>AND(L$9&gt;=8/24,L$9&lt;14/24)</formula>
    </cfRule>
    <cfRule type="expression" dxfId="9350" priority="232">
      <formula>L$9&lt;8/24</formula>
    </cfRule>
  </conditionalFormatting>
  <conditionalFormatting sqref="L47:V47">
    <cfRule type="expression" dxfId="9349" priority="225">
      <formula>L$9&gt;=20/24</formula>
    </cfRule>
    <cfRule type="expression" dxfId="9348" priority="226">
      <formula>AND(L$9&gt;=14/24,L$9&lt;20/24)</formula>
    </cfRule>
    <cfRule type="expression" dxfId="9347" priority="227">
      <formula>AND(L$9&gt;=8/24,L$9&lt;14/24)</formula>
    </cfRule>
    <cfRule type="expression" dxfId="9346" priority="228">
      <formula>L$9&lt;8/24</formula>
    </cfRule>
  </conditionalFormatting>
  <conditionalFormatting sqref="L48:Z48">
    <cfRule type="expression" dxfId="9345" priority="221">
      <formula>L$9&gt;=20/24</formula>
    </cfRule>
    <cfRule type="expression" dxfId="9344" priority="222">
      <formula>AND(L$9&gt;=14/24,L$9&lt;20/24)</formula>
    </cfRule>
    <cfRule type="expression" dxfId="9343" priority="223">
      <formula>AND(L$9&gt;=8/24,L$9&lt;14/24)</formula>
    </cfRule>
    <cfRule type="expression" dxfId="9342" priority="224">
      <formula>L$9&lt;8/24</formula>
    </cfRule>
  </conditionalFormatting>
  <conditionalFormatting sqref="L43:V46">
    <cfRule type="expression" dxfId="9341" priority="217">
      <formula>L$9&gt;=20/24</formula>
    </cfRule>
    <cfRule type="expression" dxfId="9340" priority="218">
      <formula>AND(L$9&gt;=14/24,L$9&lt;20/24)</formula>
    </cfRule>
    <cfRule type="expression" dxfId="9339" priority="219">
      <formula>AND(L$9&gt;=8/24,L$9&lt;14/24)</formula>
    </cfRule>
    <cfRule type="expression" dxfId="9338" priority="220">
      <formula>L$9&lt;8/24</formula>
    </cfRule>
  </conditionalFormatting>
  <conditionalFormatting sqref="W35:AF35">
    <cfRule type="expression" dxfId="9337" priority="213">
      <formula>W$9&gt;=20/24</formula>
    </cfRule>
    <cfRule type="expression" dxfId="9336" priority="214">
      <formula>AND(W$9&gt;=14/24,W$9&lt;20/24)</formula>
    </cfRule>
    <cfRule type="expression" dxfId="9335" priority="215">
      <formula>AND(W$9&gt;=8/24,W$9&lt;14/24)</formula>
    </cfRule>
    <cfRule type="expression" dxfId="9334" priority="216">
      <formula>W$9&lt;8/24</formula>
    </cfRule>
  </conditionalFormatting>
  <conditionalFormatting sqref="W31:AF31 W33:AF33">
    <cfRule type="expression" dxfId="9333" priority="209">
      <formula>W$9&gt;=20/24</formula>
    </cfRule>
    <cfRule type="expression" dxfId="9332" priority="210">
      <formula>AND(W$9&gt;=14/24,W$9&lt;20/24)</formula>
    </cfRule>
    <cfRule type="expression" dxfId="9331" priority="211">
      <formula>AND(W$9&gt;=8/24,W$9&lt;14/24)</formula>
    </cfRule>
    <cfRule type="expression" dxfId="9330" priority="212">
      <formula>W$9&lt;8/24</formula>
    </cfRule>
  </conditionalFormatting>
  <conditionalFormatting sqref="R40:T41 U41:AC41 R43:AD46">
    <cfRule type="expression" dxfId="9329" priority="205">
      <formula>R$9&gt;=20/24</formula>
    </cfRule>
    <cfRule type="expression" dxfId="9328" priority="206">
      <formula>AND(R$9&gt;=14/24,R$9&lt;20/24)</formula>
    </cfRule>
    <cfRule type="expression" dxfId="9327" priority="207">
      <formula>AND(R$9&gt;=8/24,R$9&lt;14/24)</formula>
    </cfRule>
    <cfRule type="expression" dxfId="9326" priority="208">
      <formula>R$9&lt;8/24</formula>
    </cfRule>
  </conditionalFormatting>
  <conditionalFormatting sqref="R47:AD47">
    <cfRule type="expression" dxfId="9325" priority="201">
      <formula>R$9&gt;=20/24</formula>
    </cfRule>
    <cfRule type="expression" dxfId="9324" priority="202">
      <formula>AND(R$9&gt;=14/24,R$9&lt;20/24)</formula>
    </cfRule>
    <cfRule type="expression" dxfId="9323" priority="203">
      <formula>AND(R$9&gt;=8/24,R$9&lt;14/24)</formula>
    </cfRule>
    <cfRule type="expression" dxfId="9322" priority="204">
      <formula>R$9&lt;8/24</formula>
    </cfRule>
  </conditionalFormatting>
  <conditionalFormatting sqref="R48:AF48">
    <cfRule type="expression" dxfId="9321" priority="197">
      <formula>R$9&gt;=20/24</formula>
    </cfRule>
    <cfRule type="expression" dxfId="9320" priority="198">
      <formula>AND(R$9&gt;=14/24,R$9&lt;20/24)</formula>
    </cfRule>
    <cfRule type="expression" dxfId="9319" priority="199">
      <formula>AND(R$9&gt;=8/24,R$9&lt;14/24)</formula>
    </cfRule>
    <cfRule type="expression" dxfId="9318" priority="200">
      <formula>R$9&lt;8/24</formula>
    </cfRule>
  </conditionalFormatting>
  <conditionalFormatting sqref="AE59:AF65 W58:AD65">
    <cfRule type="expression" dxfId="9317" priority="193">
      <formula>W$9&gt;=20/24</formula>
    </cfRule>
    <cfRule type="expression" dxfId="9316" priority="194">
      <formula>AND(W$9&gt;=14/24,W$9&lt;20/24)</formula>
    </cfRule>
    <cfRule type="expression" dxfId="9315" priority="195">
      <formula>AND(W$9&gt;=8/24,W$9&lt;14/24)</formula>
    </cfRule>
    <cfRule type="expression" dxfId="9314" priority="196">
      <formula>W$9&lt;8/24</formula>
    </cfRule>
  </conditionalFormatting>
  <conditionalFormatting sqref="AA92:AF95">
    <cfRule type="expression" dxfId="9313" priority="189">
      <formula>AA$9&gt;=20/24</formula>
    </cfRule>
    <cfRule type="expression" dxfId="9312" priority="190">
      <formula>AND(AA$9&gt;=14/24,AA$9&lt;20/24)</formula>
    </cfRule>
    <cfRule type="expression" dxfId="9311" priority="191">
      <formula>AND(AA$9&gt;=8/24,AA$9&lt;14/24)</formula>
    </cfRule>
    <cfRule type="expression" dxfId="9310" priority="192">
      <formula>AA$9&lt;8/24</formula>
    </cfRule>
  </conditionalFormatting>
  <conditionalFormatting sqref="B60">
    <cfRule type="expression" dxfId="9309" priority="185">
      <formula>B$9&gt;=20/24</formula>
    </cfRule>
    <cfRule type="expression" dxfId="9308" priority="186">
      <formula>AND(B$9&gt;=14/24,B$9&lt;20/24)</formula>
    </cfRule>
    <cfRule type="expression" dxfId="9307" priority="187">
      <formula>AND(B$9&gt;=8/24,B$9&lt;14/24)</formula>
    </cfRule>
    <cfRule type="expression" dxfId="9306" priority="188">
      <formula>B$9&lt;8/24</formula>
    </cfRule>
  </conditionalFormatting>
  <conditionalFormatting sqref="U92:Z95">
    <cfRule type="expression" dxfId="9305" priority="181">
      <formula>U$9&gt;=20/24</formula>
    </cfRule>
    <cfRule type="expression" dxfId="9304" priority="182">
      <formula>AND(U$9&gt;=14/24,U$9&lt;20/24)</formula>
    </cfRule>
    <cfRule type="expression" dxfId="9303" priority="183">
      <formula>AND(U$9&gt;=8/24,U$9&lt;14/24)</formula>
    </cfRule>
    <cfRule type="expression" dxfId="9302" priority="184">
      <formula>U$9&lt;8/24</formula>
    </cfRule>
  </conditionalFormatting>
  <conditionalFormatting sqref="AG49 B11:Q13 B15:V29 R11:AC11 AC12:AC13 W17:AB29 AD11:AF13 AC15:AF29 B33:AF41 B43:AF54 B30:AF31">
    <cfRule type="expression" dxfId="9301" priority="180">
      <formula>B11&gt;$AG11</formula>
    </cfRule>
  </conditionalFormatting>
  <conditionalFormatting sqref="A98:A154 A82:A95 A11:A13 A15:A31 A43:A70 A78:A80 A72:A76 A33:A41 A167:A198">
    <cfRule type="expression" dxfId="9300" priority="179">
      <formula>$AH11=0</formula>
    </cfRule>
  </conditionalFormatting>
  <conditionalFormatting sqref="AA96:AF96">
    <cfRule type="expression" dxfId="9299" priority="175">
      <formula>AA$9&gt;=20/24</formula>
    </cfRule>
    <cfRule type="expression" dxfId="9298" priority="176">
      <formula>AND(AA$9&gt;=14/24,AA$9&lt;20/24)</formula>
    </cfRule>
    <cfRule type="expression" dxfId="9297" priority="177">
      <formula>AND(AA$9&gt;=8/24,AA$9&lt;14/24)</formula>
    </cfRule>
    <cfRule type="expression" dxfId="9296" priority="178">
      <formula>AA$9&lt;8/24</formula>
    </cfRule>
  </conditionalFormatting>
  <conditionalFormatting sqref="U96:Z96">
    <cfRule type="expression" dxfId="9295" priority="171">
      <formula>U$9&gt;=20/24</formula>
    </cfRule>
    <cfRule type="expression" dxfId="9294" priority="172">
      <formula>AND(U$9&gt;=14/24,U$9&lt;20/24)</formula>
    </cfRule>
    <cfRule type="expression" dxfId="9293" priority="173">
      <formula>AND(U$9&gt;=8/24,U$9&lt;14/24)</formula>
    </cfRule>
    <cfRule type="expression" dxfId="9292" priority="174">
      <formula>U$9&lt;8/24</formula>
    </cfRule>
  </conditionalFormatting>
  <conditionalFormatting sqref="A96">
    <cfRule type="expression" dxfId="9291" priority="170">
      <formula>$AH96=0</formula>
    </cfRule>
  </conditionalFormatting>
  <conditionalFormatting sqref="C34:AF34">
    <cfRule type="expression" dxfId="9290" priority="166">
      <formula>C$9&gt;=20/24</formula>
    </cfRule>
    <cfRule type="expression" dxfId="9289" priority="167">
      <formula>AND(C$9&gt;=14/24,C$9&lt;20/24)</formula>
    </cfRule>
    <cfRule type="expression" dxfId="9288" priority="168">
      <formula>AND(C$9&gt;=8/24,C$9&lt;14/24)</formula>
    </cfRule>
    <cfRule type="expression" dxfId="9287" priority="169">
      <formula>C$9&lt;8/24</formula>
    </cfRule>
  </conditionalFormatting>
  <conditionalFormatting sqref="W34:AF34">
    <cfRule type="expression" dxfId="9286" priority="162">
      <formula>W$9&gt;=20/24</formula>
    </cfRule>
    <cfRule type="expression" dxfId="9285" priority="163">
      <formula>AND(W$9&gt;=14/24,W$9&lt;20/24)</formula>
    </cfRule>
    <cfRule type="expression" dxfId="9284" priority="164">
      <formula>AND(W$9&gt;=8/24,W$9&lt;14/24)</formula>
    </cfRule>
    <cfRule type="expression" dxfId="9283" priority="165">
      <formula>W$9&lt;8/24</formula>
    </cfRule>
  </conditionalFormatting>
  <conditionalFormatting sqref="B34">
    <cfRule type="expression" dxfId="9282" priority="158">
      <formula>B$9&gt;=20/24</formula>
    </cfRule>
    <cfRule type="expression" dxfId="9281" priority="159">
      <formula>AND(B$9&gt;=14/24,B$9&lt;20/24)</formula>
    </cfRule>
    <cfRule type="expression" dxfId="9280" priority="160">
      <formula>AND(B$9&gt;=8/24,B$9&lt;14/24)</formula>
    </cfRule>
    <cfRule type="expression" dxfId="9279" priority="161">
      <formula>B$9&lt;8/24</formula>
    </cfRule>
  </conditionalFormatting>
  <conditionalFormatting sqref="AL31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32:V32">
    <cfRule type="expression" dxfId="9278" priority="141">
      <formula>L$9&gt;=20/24</formula>
    </cfRule>
    <cfRule type="expression" dxfId="9277" priority="142">
      <formula>AND(L$9&gt;=14/24,L$9&lt;20/24)</formula>
    </cfRule>
    <cfRule type="expression" dxfId="9276" priority="143">
      <formula>AND(L$9&gt;=8/24,L$9&lt;14/24)</formula>
    </cfRule>
    <cfRule type="expression" dxfId="9275" priority="144">
      <formula>L$9&lt;8/24</formula>
    </cfRule>
  </conditionalFormatting>
  <conditionalFormatting sqref="W32:AF32">
    <cfRule type="expression" dxfId="9274" priority="137">
      <formula>W$9&gt;=20/24</formula>
    </cfRule>
    <cfRule type="expression" dxfId="9273" priority="138">
      <formula>AND(W$9&gt;=14/24,W$9&lt;20/24)</formula>
    </cfRule>
    <cfRule type="expression" dxfId="9272" priority="139">
      <formula>AND(W$9&gt;=8/24,W$9&lt;14/24)</formula>
    </cfRule>
    <cfRule type="expression" dxfId="9271" priority="140">
      <formula>W$9&lt;8/24</formula>
    </cfRule>
  </conditionalFormatting>
  <conditionalFormatting sqref="B32:AF32">
    <cfRule type="expression" dxfId="9270" priority="136">
      <formula>B32&gt;$AG32</formula>
    </cfRule>
  </conditionalFormatting>
  <conditionalFormatting sqref="A32">
    <cfRule type="expression" dxfId="9269" priority="135">
      <formula>$AH32=0</formula>
    </cfRule>
  </conditionalFormatting>
  <conditionalFormatting sqref="B81:AF81">
    <cfRule type="expression" dxfId="9268" priority="131">
      <formula>B$9&gt;=20/24</formula>
    </cfRule>
    <cfRule type="expression" dxfId="9267" priority="132">
      <formula>AND(B$9&gt;=14/24,B$9&lt;20/24)</formula>
    </cfRule>
    <cfRule type="expression" dxfId="9266" priority="133">
      <formula>AND(B$9&gt;=8/24,B$9&lt;14/24)</formula>
    </cfRule>
    <cfRule type="expression" dxfId="9265" priority="134">
      <formula>B$9&lt;8/24</formula>
    </cfRule>
  </conditionalFormatting>
  <conditionalFormatting sqref="A81">
    <cfRule type="expression" dxfId="9264" priority="130">
      <formula>$AH81=0</formula>
    </cfRule>
  </conditionalFormatting>
  <conditionalFormatting sqref="AC14:AF14">
    <cfRule type="expression" dxfId="9263" priority="126">
      <formula>AC$9&gt;=20/24</formula>
    </cfRule>
    <cfRule type="expression" dxfId="9262" priority="127">
      <formula>AND(AC$9&gt;=14/24,AC$9&lt;20/24)</formula>
    </cfRule>
    <cfRule type="expression" dxfId="9261" priority="128">
      <formula>AND(AC$9&gt;=8/24,AC$9&lt;14/24)</formula>
    </cfRule>
    <cfRule type="expression" dxfId="9260" priority="129">
      <formula>AC$9&lt;8/24</formula>
    </cfRule>
  </conditionalFormatting>
  <conditionalFormatting sqref="L14:Q14">
    <cfRule type="expression" dxfId="9259" priority="122">
      <formula>L$9&gt;=20/24</formula>
    </cfRule>
    <cfRule type="expression" dxfId="9258" priority="123">
      <formula>AND(L$9&gt;=14/24,L$9&lt;20/24)</formula>
    </cfRule>
    <cfRule type="expression" dxfId="9257" priority="124">
      <formula>AND(L$9&gt;=8/24,L$9&lt;14/24)</formula>
    </cfRule>
    <cfRule type="expression" dxfId="9256" priority="125">
      <formula>L$9&lt;8/24</formula>
    </cfRule>
  </conditionalFormatting>
  <conditionalFormatting sqref="B14:Q14 AC14:AF14">
    <cfRule type="expression" dxfId="9255" priority="121">
      <formula>B14&gt;$AG14</formula>
    </cfRule>
  </conditionalFormatting>
  <conditionalFormatting sqref="A14">
    <cfRule type="expression" dxfId="9254" priority="120">
      <formula>$AH14=0</formula>
    </cfRule>
  </conditionalFormatting>
  <conditionalFormatting sqref="A161:A166">
    <cfRule type="expression" dxfId="9253" priority="119">
      <formula>$AH161=0</formula>
    </cfRule>
  </conditionalFormatting>
  <conditionalFormatting sqref="A155:A160">
    <cfRule type="expression" dxfId="9252" priority="118">
      <formula>$AH155=0</formula>
    </cfRule>
  </conditionalFormatting>
  <conditionalFormatting sqref="AD42">
    <cfRule type="expression" dxfId="9251" priority="114">
      <formula>AD$9&gt;=20/24</formula>
    </cfRule>
    <cfRule type="expression" dxfId="9250" priority="115">
      <formula>AND(AD$9&gt;=14/24,AD$9&lt;20/24)</formula>
    </cfRule>
    <cfRule type="expression" dxfId="9249" priority="116">
      <formula>AND(AD$9&gt;=8/24,AD$9&lt;14/24)</formula>
    </cfRule>
    <cfRule type="expression" dxfId="9248" priority="117">
      <formula>AD$9&lt;8/24</formula>
    </cfRule>
  </conditionalFormatting>
  <conditionalFormatting sqref="L42:Q42">
    <cfRule type="expression" dxfId="9247" priority="110">
      <formula>L$9&gt;=20/24</formula>
    </cfRule>
    <cfRule type="expression" dxfId="9246" priority="111">
      <formula>AND(L$9&gt;=14/24,L$9&lt;20/24)</formula>
    </cfRule>
    <cfRule type="expression" dxfId="9245" priority="112">
      <formula>AND(L$9&gt;=8/24,L$9&lt;14/24)</formula>
    </cfRule>
    <cfRule type="expression" dxfId="9244" priority="113">
      <formula>L$9&lt;8/24</formula>
    </cfRule>
  </conditionalFormatting>
  <conditionalFormatting sqref="R42:AC42">
    <cfRule type="expression" dxfId="9243" priority="106">
      <formula>R$9&gt;=20/24</formula>
    </cfRule>
    <cfRule type="expression" dxfId="9242" priority="107">
      <formula>AND(R$9&gt;=14/24,R$9&lt;20/24)</formula>
    </cfRule>
    <cfRule type="expression" dxfId="9241" priority="108">
      <formula>AND(R$9&gt;=8/24,R$9&lt;14/24)</formula>
    </cfRule>
    <cfRule type="expression" dxfId="9240" priority="109">
      <formula>R$9&lt;8/24</formula>
    </cfRule>
  </conditionalFormatting>
  <conditionalFormatting sqref="B42:AF42">
    <cfRule type="expression" dxfId="9239" priority="105">
      <formula>B42&gt;$AG42</formula>
    </cfRule>
  </conditionalFormatting>
  <conditionalFormatting sqref="A42">
    <cfRule type="expression" dxfId="9238" priority="104">
      <formula>$AH42=0</formula>
    </cfRule>
  </conditionalFormatting>
  <conditionalFormatting sqref="B77:AF77">
    <cfRule type="expression" dxfId="9237" priority="100">
      <formula>B$9&gt;=20/24</formula>
    </cfRule>
    <cfRule type="expression" dxfId="9236" priority="101">
      <formula>AND(B$9&gt;=14/24,B$9&lt;20/24)</formula>
    </cfRule>
    <cfRule type="expression" dxfId="9235" priority="102">
      <formula>AND(B$9&gt;=8/24,B$9&lt;14/24)</formula>
    </cfRule>
    <cfRule type="expression" dxfId="9234" priority="103">
      <formula>B$9&lt;8/24</formula>
    </cfRule>
  </conditionalFormatting>
  <conditionalFormatting sqref="A77">
    <cfRule type="expression" dxfId="9233" priority="99">
      <formula>$AH77=0</formula>
    </cfRule>
  </conditionalFormatting>
  <conditionalFormatting sqref="B71:AG71">
    <cfRule type="expression" dxfId="9232" priority="95">
      <formula>B$9&gt;=20/24</formula>
    </cfRule>
    <cfRule type="expression" dxfId="9231" priority="96">
      <formula>AND(B$9&gt;=14/24,B$9&lt;20/24)</formula>
    </cfRule>
    <cfRule type="expression" dxfId="9230" priority="97">
      <formula>AND(B$9&gt;=8/24,B$9&lt;14/24)</formula>
    </cfRule>
    <cfRule type="expression" dxfId="9229" priority="98">
      <formula>B$9&lt;8/24</formula>
    </cfRule>
  </conditionalFormatting>
  <conditionalFormatting sqref="A71">
    <cfRule type="expression" dxfId="9228" priority="94">
      <formula>$AH71=0</formula>
    </cfRule>
  </conditionalFormatting>
  <conditionalFormatting sqref="AL32:AL33 AL7:AL30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U83:W89">
    <cfRule type="expression" dxfId="9227" priority="86">
      <formula>U$9&gt;=20/24</formula>
    </cfRule>
    <cfRule type="expression" dxfId="9226" priority="87">
      <formula>AND(U$9&gt;=14/24,U$9&lt;20/24)</formula>
    </cfRule>
    <cfRule type="expression" dxfId="9225" priority="88">
      <formula>AND(U$9&gt;=8/24,U$9&lt;14/24)</formula>
    </cfRule>
    <cfRule type="expression" dxfId="9224" priority="89">
      <formula>U$9&lt;8/24</formula>
    </cfRule>
  </conditionalFormatting>
  <conditionalFormatting sqref="B82:Q89 R83:T89">
    <cfRule type="expression" dxfId="9223" priority="82">
      <formula>B$9&gt;=20/24</formula>
    </cfRule>
    <cfRule type="expression" dxfId="9222" priority="83">
      <formula>AND(B$9&gt;=14/24,B$9&lt;20/24)</formula>
    </cfRule>
    <cfRule type="expression" dxfId="9221" priority="84">
      <formula>AND(B$9&gt;=8/24,B$9&lt;14/24)</formula>
    </cfRule>
    <cfRule type="expression" dxfId="9220" priority="85">
      <formula>B$9&lt;8/24</formula>
    </cfRule>
  </conditionalFormatting>
  <conditionalFormatting sqref="R82:T82">
    <cfRule type="expression" dxfId="9219" priority="78">
      <formula>R$9&gt;=20/24</formula>
    </cfRule>
    <cfRule type="expression" dxfId="9218" priority="79">
      <formula>AND(R$9&gt;=14/24,R$9&lt;20/24)</formula>
    </cfRule>
    <cfRule type="expression" dxfId="9217" priority="80">
      <formula>AND(R$9&gt;=8/24,R$9&lt;14/24)</formula>
    </cfRule>
    <cfRule type="expression" dxfId="9216" priority="81">
      <formula>R$9&lt;8/24</formula>
    </cfRule>
  </conditionalFormatting>
  <conditionalFormatting sqref="G93:L95 B92:F95">
    <cfRule type="expression" dxfId="9215" priority="74">
      <formula>B$9&gt;=20/24</formula>
    </cfRule>
    <cfRule type="expression" dxfId="9214" priority="75">
      <formula>AND(B$9&gt;=14/24,B$9&lt;20/24)</formula>
    </cfRule>
    <cfRule type="expression" dxfId="9213" priority="76">
      <formula>AND(B$9&gt;=8/24,B$9&lt;14/24)</formula>
    </cfRule>
    <cfRule type="expression" dxfId="9212" priority="77">
      <formula>B$9&lt;8/24</formula>
    </cfRule>
  </conditionalFormatting>
  <conditionalFormatting sqref="M93:Q95 N92:Q92">
    <cfRule type="expression" dxfId="9211" priority="70">
      <formula>M$9&gt;=20/24</formula>
    </cfRule>
    <cfRule type="expression" dxfId="9210" priority="71">
      <formula>AND(M$9&gt;=14/24,M$9&lt;20/24)</formula>
    </cfRule>
    <cfRule type="expression" dxfId="9209" priority="72">
      <formula>AND(M$9&gt;=8/24,M$9&lt;14/24)</formula>
    </cfRule>
    <cfRule type="expression" dxfId="9208" priority="73">
      <formula>M$9&lt;8/24</formula>
    </cfRule>
  </conditionalFormatting>
  <conditionalFormatting sqref="R92:T95">
    <cfRule type="expression" dxfId="9207" priority="66">
      <formula>R$9&gt;=20/24</formula>
    </cfRule>
    <cfRule type="expression" dxfId="9206" priority="67">
      <formula>AND(R$9&gt;=14/24,R$9&lt;20/24)</formula>
    </cfRule>
    <cfRule type="expression" dxfId="9205" priority="68">
      <formula>AND(R$9&gt;=8/24,R$9&lt;14/24)</formula>
    </cfRule>
    <cfRule type="expression" dxfId="9204" priority="69">
      <formula>R$9&lt;8/24</formula>
    </cfRule>
  </conditionalFormatting>
  <conditionalFormatting sqref="B96:L96">
    <cfRule type="expression" dxfId="9203" priority="62">
      <formula>B$9&gt;=20/24</formula>
    </cfRule>
    <cfRule type="expression" dxfId="9202" priority="63">
      <formula>AND(B$9&gt;=14/24,B$9&lt;20/24)</formula>
    </cfRule>
    <cfRule type="expression" dxfId="9201" priority="64">
      <formula>AND(B$9&gt;=8/24,B$9&lt;14/24)</formula>
    </cfRule>
    <cfRule type="expression" dxfId="9200" priority="65">
      <formula>B$9&lt;8/24</formula>
    </cfRule>
  </conditionalFormatting>
  <conditionalFormatting sqref="M96:Q96">
    <cfRule type="expression" dxfId="9199" priority="58">
      <formula>M$9&gt;=20/24</formula>
    </cfRule>
    <cfRule type="expression" dxfId="9198" priority="59">
      <formula>AND(M$9&gt;=14/24,M$9&lt;20/24)</formula>
    </cfRule>
    <cfRule type="expression" dxfId="9197" priority="60">
      <formula>AND(M$9&gt;=8/24,M$9&lt;14/24)</formula>
    </cfRule>
    <cfRule type="expression" dxfId="9196" priority="61">
      <formula>M$9&lt;8/24</formula>
    </cfRule>
  </conditionalFormatting>
  <conditionalFormatting sqref="R96:T96">
    <cfRule type="expression" dxfId="9195" priority="54">
      <formula>R$9&gt;=20/24</formula>
    </cfRule>
    <cfRule type="expression" dxfId="9194" priority="55">
      <formula>AND(R$9&gt;=14/24,R$9&lt;20/24)</formula>
    </cfRule>
    <cfRule type="expression" dxfId="9193" priority="56">
      <formula>AND(R$9&gt;=8/24,R$9&lt;14/24)</formula>
    </cfRule>
    <cfRule type="expression" dxfId="9192" priority="57">
      <formula>R$9&lt;8/24</formula>
    </cfRule>
  </conditionalFormatting>
  <conditionalFormatting sqref="L92:M92">
    <cfRule type="expression" dxfId="9191" priority="50">
      <formula>L$9&gt;=20/24</formula>
    </cfRule>
    <cfRule type="expression" dxfId="9190" priority="51">
      <formula>AND(L$9&gt;=14/24,L$9&lt;20/24)</formula>
    </cfRule>
    <cfRule type="expression" dxfId="9189" priority="52">
      <formula>AND(L$9&gt;=8/24,L$9&lt;14/24)</formula>
    </cfRule>
    <cfRule type="expression" dxfId="9188" priority="53">
      <formula>L$9&lt;8/24</formula>
    </cfRule>
  </conditionalFormatting>
  <conditionalFormatting sqref="G92:K92">
    <cfRule type="expression" dxfId="9187" priority="46">
      <formula>G$9&gt;=20/24</formula>
    </cfRule>
    <cfRule type="expression" dxfId="9186" priority="47">
      <formula>AND(G$9&gt;=14/24,G$9&lt;20/24)</formula>
    </cfRule>
    <cfRule type="expression" dxfId="9185" priority="48">
      <formula>AND(G$9&gt;=8/24,G$9&lt;14/24)</formula>
    </cfRule>
    <cfRule type="expression" dxfId="9184" priority="49">
      <formula>G$9&lt;8/24</formula>
    </cfRule>
  </conditionalFormatting>
  <conditionalFormatting sqref="U92:Z92">
    <cfRule type="expression" dxfId="9183" priority="42">
      <formula>U$9&gt;=20/24</formula>
    </cfRule>
    <cfRule type="expression" dxfId="9182" priority="43">
      <formula>AND(U$9&gt;=14/24,U$9&lt;20/24)</formula>
    </cfRule>
    <cfRule type="expression" dxfId="9181" priority="44">
      <formula>AND(U$9&gt;=8/24,U$9&lt;14/24)</formula>
    </cfRule>
    <cfRule type="expression" dxfId="9180" priority="45">
      <formula>U$9&lt;8/24</formula>
    </cfRule>
  </conditionalFormatting>
  <conditionalFormatting sqref="M92:T92">
    <cfRule type="expression" dxfId="9179" priority="38">
      <formula>M$9&gt;=20/24</formula>
    </cfRule>
    <cfRule type="expression" dxfId="9178" priority="39">
      <formula>AND(M$9&gt;=14/24,M$9&lt;20/24)</formula>
    </cfRule>
    <cfRule type="expression" dxfId="9177" priority="40">
      <formula>AND(M$9&gt;=8/24,M$9&lt;14/24)</formula>
    </cfRule>
    <cfRule type="expression" dxfId="9176" priority="41">
      <formula>M$9&lt;8/24</formula>
    </cfRule>
  </conditionalFormatting>
  <conditionalFormatting sqref="AA97:AF97">
    <cfRule type="expression" dxfId="9175" priority="34">
      <formula>AA$9&gt;=20/24</formula>
    </cfRule>
    <cfRule type="expression" dxfId="9174" priority="35">
      <formula>AND(AA$9&gt;=14/24,AA$9&lt;20/24)</formula>
    </cfRule>
    <cfRule type="expression" dxfId="9173" priority="36">
      <formula>AND(AA$9&gt;=8/24,AA$9&lt;14/24)</formula>
    </cfRule>
    <cfRule type="expression" dxfId="9172" priority="37">
      <formula>AA$9&lt;8/24</formula>
    </cfRule>
  </conditionalFormatting>
  <conditionalFormatting sqref="U97:Z97">
    <cfRule type="expression" dxfId="9171" priority="30">
      <formula>U$9&gt;=20/24</formula>
    </cfRule>
    <cfRule type="expression" dxfId="9170" priority="31">
      <formula>AND(U$9&gt;=14/24,U$9&lt;20/24)</formula>
    </cfRule>
    <cfRule type="expression" dxfId="9169" priority="32">
      <formula>AND(U$9&gt;=8/24,U$9&lt;14/24)</formula>
    </cfRule>
    <cfRule type="expression" dxfId="9168" priority="33">
      <formula>U$9&lt;8/24</formula>
    </cfRule>
  </conditionalFormatting>
  <conditionalFormatting sqref="A97">
    <cfRule type="expression" dxfId="9167" priority="29">
      <formula>$AH97=0</formula>
    </cfRule>
  </conditionalFormatting>
  <conditionalFormatting sqref="B97:L97">
    <cfRule type="expression" dxfId="9166" priority="25">
      <formula>B$9&gt;=20/24</formula>
    </cfRule>
    <cfRule type="expression" dxfId="9165" priority="26">
      <formula>AND(B$9&gt;=14/24,B$9&lt;20/24)</formula>
    </cfRule>
    <cfRule type="expression" dxfId="9164" priority="27">
      <formula>AND(B$9&gt;=8/24,B$9&lt;14/24)</formula>
    </cfRule>
    <cfRule type="expression" dxfId="9163" priority="28">
      <formula>B$9&lt;8/24</formula>
    </cfRule>
  </conditionalFormatting>
  <conditionalFormatting sqref="M97:Q97">
    <cfRule type="expression" dxfId="9162" priority="21">
      <formula>M$9&gt;=20/24</formula>
    </cfRule>
    <cfRule type="expression" dxfId="9161" priority="22">
      <formula>AND(M$9&gt;=14/24,M$9&lt;20/24)</formula>
    </cfRule>
    <cfRule type="expression" dxfId="9160" priority="23">
      <formula>AND(M$9&gt;=8/24,M$9&lt;14/24)</formula>
    </cfRule>
    <cfRule type="expression" dxfId="9159" priority="24">
      <formula>M$9&lt;8/24</formula>
    </cfRule>
  </conditionalFormatting>
  <conditionalFormatting sqref="R97:T97">
    <cfRule type="expression" dxfId="9158" priority="17">
      <formula>R$9&gt;=20/24</formula>
    </cfRule>
    <cfRule type="expression" dxfId="9157" priority="18">
      <formula>AND(R$9&gt;=14/24,R$9&lt;20/24)</formula>
    </cfRule>
    <cfRule type="expression" dxfId="9156" priority="19">
      <formula>AND(R$9&gt;=8/24,R$9&lt;14/24)</formula>
    </cfRule>
    <cfRule type="expression" dxfId="9155" priority="20">
      <formula>R$9&lt;8/24</formula>
    </cfRule>
  </conditionalFormatting>
  <conditionalFormatting sqref="R12:V14 W12:AB15">
    <cfRule type="expression" dxfId="9154" priority="13">
      <formula>R$9&gt;=20/24</formula>
    </cfRule>
    <cfRule type="expression" dxfId="9153" priority="14">
      <formula>AND(R$9&gt;=14/24,R$9&lt;20/24)</formula>
    </cfRule>
    <cfRule type="expression" dxfId="9152" priority="15">
      <formula>AND(R$9&gt;=8/24,R$9&lt;14/24)</formula>
    </cfRule>
    <cfRule type="expression" dxfId="9151" priority="16">
      <formula>R$9&lt;8/24</formula>
    </cfRule>
  </conditionalFormatting>
  <conditionalFormatting sqref="W16:AB16">
    <cfRule type="expression" dxfId="9150" priority="9">
      <formula>W$9&gt;=20/24</formula>
    </cfRule>
    <cfRule type="expression" dxfId="9149" priority="10">
      <formula>AND(W$9&gt;=14/24,W$9&lt;20/24)</formula>
    </cfRule>
    <cfRule type="expression" dxfId="9148" priority="11">
      <formula>AND(W$9&gt;=8/24,W$9&lt;14/24)</formula>
    </cfRule>
    <cfRule type="expression" dxfId="9147" priority="12">
      <formula>W$9&lt;8/24</formula>
    </cfRule>
  </conditionalFormatting>
  <conditionalFormatting sqref="R12:AB12">
    <cfRule type="expression" dxfId="9146" priority="5">
      <formula>R$9&gt;=20/24</formula>
    </cfRule>
    <cfRule type="expression" dxfId="9145" priority="6">
      <formula>AND(R$9&gt;=14/24,R$9&lt;20/24)</formula>
    </cfRule>
    <cfRule type="expression" dxfId="9144" priority="7">
      <formula>AND(R$9&gt;=8/24,R$9&lt;14/24)</formula>
    </cfRule>
    <cfRule type="expression" dxfId="9143" priority="8">
      <formula>R$9&lt;8/24</formula>
    </cfRule>
  </conditionalFormatting>
  <conditionalFormatting sqref="AB56:AD57">
    <cfRule type="expression" dxfId="9142" priority="1">
      <formula>AB$9&gt;=20/24</formula>
    </cfRule>
    <cfRule type="expression" dxfId="9141" priority="2">
      <formula>AND(AB$9&gt;=14/24,AB$9&lt;20/24)</formula>
    </cfRule>
    <cfRule type="expression" dxfId="9140" priority="3">
      <formula>AND(AB$9&gt;=8/24,AB$9&lt;14/24)</formula>
    </cfRule>
    <cfRule type="expression" dxfId="9139" priority="4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97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K2" t="s">
        <v>218</v>
      </c>
      <c r="AL2" s="185">
        <f>AK11</f>
        <v>6243.4064516129029</v>
      </c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K3" t="s">
        <v>219</v>
      </c>
      <c r="AL3" s="185">
        <f>AK12+AK14</f>
        <v>520.25806451612948</v>
      </c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2078/07/6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K4" t="s">
        <v>220</v>
      </c>
      <c r="AL4" s="30">
        <f>AK50</f>
        <v>3051.5303225806433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-26</v>
      </c>
      <c r="C5" s="32">
        <f t="shared" ref="C5:AF5" si="0">C66</f>
        <v>-55</v>
      </c>
      <c r="D5" s="32">
        <f t="shared" si="0"/>
        <v>10.199999999999999</v>
      </c>
      <c r="E5" s="32">
        <f t="shared" si="0"/>
        <v>-33.9</v>
      </c>
      <c r="F5" s="32">
        <f t="shared" si="0"/>
        <v>0</v>
      </c>
      <c r="G5" s="32">
        <f t="shared" si="0"/>
        <v>-25.1</v>
      </c>
      <c r="H5" s="32">
        <f t="shared" si="0"/>
        <v>-41.4</v>
      </c>
      <c r="I5" s="32">
        <f t="shared" si="0"/>
        <v>-27</v>
      </c>
      <c r="J5" s="32">
        <f t="shared" si="0"/>
        <v>-37.299999999999997</v>
      </c>
      <c r="K5" s="32">
        <f t="shared" si="0"/>
        <v>-28.5</v>
      </c>
      <c r="L5" s="32">
        <f t="shared" si="0"/>
        <v>-29.9</v>
      </c>
      <c r="M5" s="32">
        <f t="shared" si="0"/>
        <v>-49</v>
      </c>
      <c r="N5" s="32">
        <f t="shared" si="0"/>
        <v>-87.1</v>
      </c>
      <c r="O5" s="32">
        <f t="shared" si="0"/>
        <v>-98.7</v>
      </c>
      <c r="P5" s="32">
        <f t="shared" si="0"/>
        <v>-37.5</v>
      </c>
      <c r="Q5" s="32">
        <f t="shared" si="0"/>
        <v>-54</v>
      </c>
      <c r="R5" s="32">
        <f t="shared" si="0"/>
        <v>-51.5</v>
      </c>
      <c r="S5" s="32">
        <f t="shared" si="0"/>
        <v>-2.9</v>
      </c>
      <c r="T5" s="32">
        <f t="shared" si="0"/>
        <v>-16.100000000000001</v>
      </c>
      <c r="U5" s="32">
        <f t="shared" si="0"/>
        <v>-44</v>
      </c>
      <c r="V5" s="32">
        <f t="shared" si="0"/>
        <v>-13.7</v>
      </c>
      <c r="W5" s="32">
        <f t="shared" si="0"/>
        <v>-1.2</v>
      </c>
      <c r="X5" s="32">
        <f t="shared" si="0"/>
        <v>-50.4</v>
      </c>
      <c r="Y5" s="32">
        <f t="shared" si="0"/>
        <v>-57.2</v>
      </c>
      <c r="Z5" s="32">
        <f t="shared" si="0"/>
        <v>-3</v>
      </c>
      <c r="AA5" s="32">
        <f t="shared" si="0"/>
        <v>-35</v>
      </c>
      <c r="AB5" s="32">
        <f t="shared" si="0"/>
        <v>-29</v>
      </c>
      <c r="AC5" s="32">
        <f t="shared" si="0"/>
        <v>-20.3</v>
      </c>
      <c r="AD5" s="32">
        <f t="shared" si="0"/>
        <v>-51.4</v>
      </c>
      <c r="AE5" s="32">
        <f t="shared" si="0"/>
        <v>-18.7</v>
      </c>
      <c r="AF5" s="32">
        <f t="shared" si="0"/>
        <v>-49.6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987MW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>
        <f>SUM(AL2:AL4)</f>
        <v>9815.1948387096763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Load=790</v>
      </c>
      <c r="B7" s="37">
        <f t="shared" ref="B7:AF7" si="1">B73</f>
        <v>860.64</v>
      </c>
      <c r="C7" s="37">
        <f t="shared" si="1"/>
        <v>835.64</v>
      </c>
      <c r="D7" s="37">
        <f t="shared" si="1"/>
        <v>804.83999999999992</v>
      </c>
      <c r="E7" s="37">
        <f t="shared" si="1"/>
        <v>803.2399999999999</v>
      </c>
      <c r="F7" s="37">
        <f t="shared" si="1"/>
        <v>837.13999999999987</v>
      </c>
      <c r="G7" s="37">
        <f t="shared" si="1"/>
        <v>862.04</v>
      </c>
      <c r="H7" s="37">
        <f t="shared" si="1"/>
        <v>885.64</v>
      </c>
      <c r="I7" s="37">
        <f t="shared" si="1"/>
        <v>905.54</v>
      </c>
      <c r="J7" s="37">
        <f t="shared" si="1"/>
        <v>931.84</v>
      </c>
      <c r="K7" s="37">
        <f t="shared" si="1"/>
        <v>965.74</v>
      </c>
      <c r="L7" s="37">
        <f>L73</f>
        <v>922.04000000000019</v>
      </c>
      <c r="M7" s="37">
        <f t="shared" si="1"/>
        <v>987.34000000000015</v>
      </c>
      <c r="N7" s="37">
        <f t="shared" si="1"/>
        <v>941.1400000000001</v>
      </c>
      <c r="O7" s="37">
        <f t="shared" si="1"/>
        <v>919.24</v>
      </c>
      <c r="P7" s="37">
        <f t="shared" si="1"/>
        <v>906.34</v>
      </c>
      <c r="Q7" s="37">
        <f t="shared" si="1"/>
        <v>883.43999999999994</v>
      </c>
      <c r="R7" s="37">
        <f t="shared" si="1"/>
        <v>895.74</v>
      </c>
      <c r="S7" s="37">
        <f t="shared" si="1"/>
        <v>869.43999999999994</v>
      </c>
      <c r="T7" s="37">
        <f t="shared" si="1"/>
        <v>922.44</v>
      </c>
      <c r="U7" s="37">
        <f t="shared" si="1"/>
        <v>964.74</v>
      </c>
      <c r="V7" s="37">
        <f t="shared" si="1"/>
        <v>1044.44</v>
      </c>
      <c r="W7" s="37">
        <f t="shared" si="1"/>
        <v>1115.04</v>
      </c>
      <c r="X7" s="37">
        <f t="shared" si="1"/>
        <v>1082.54</v>
      </c>
      <c r="Y7" s="37">
        <f t="shared" si="1"/>
        <v>1061.1399999999999</v>
      </c>
      <c r="Z7" s="37">
        <f t="shared" si="1"/>
        <v>1061.04</v>
      </c>
      <c r="AA7" s="37">
        <f t="shared" si="1"/>
        <v>1051.54</v>
      </c>
      <c r="AB7" s="37">
        <f t="shared" si="1"/>
        <v>1012.54</v>
      </c>
      <c r="AC7" s="37">
        <f t="shared" si="1"/>
        <v>947.44</v>
      </c>
      <c r="AD7" s="37">
        <f t="shared" si="1"/>
        <v>867.74</v>
      </c>
      <c r="AE7" s="37">
        <f t="shared" si="1"/>
        <v>807.04</v>
      </c>
      <c r="AF7" s="37">
        <f t="shared" si="1"/>
        <v>790.24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120</v>
      </c>
      <c r="C11" s="54">
        <v>120</v>
      </c>
      <c r="D11" s="49">
        <v>60</v>
      </c>
      <c r="E11" s="49">
        <v>80</v>
      </c>
      <c r="F11" s="49">
        <v>80</v>
      </c>
      <c r="G11" s="49">
        <v>120</v>
      </c>
      <c r="H11" s="49">
        <v>140</v>
      </c>
      <c r="I11" s="49">
        <v>140</v>
      </c>
      <c r="J11" s="49">
        <v>140</v>
      </c>
      <c r="K11" s="49">
        <v>160</v>
      </c>
      <c r="L11" s="50">
        <v>100</v>
      </c>
      <c r="M11" s="50">
        <v>120</v>
      </c>
      <c r="N11" s="50">
        <v>100</v>
      </c>
      <c r="O11" s="50">
        <v>100</v>
      </c>
      <c r="P11" s="50">
        <v>100</v>
      </c>
      <c r="Q11" s="51">
        <v>100</v>
      </c>
      <c r="R11" s="52">
        <v>100</v>
      </c>
      <c r="S11" s="52">
        <v>115</v>
      </c>
      <c r="T11" s="52">
        <v>150</v>
      </c>
      <c r="U11" s="52">
        <v>160</v>
      </c>
      <c r="V11" s="52">
        <v>200</v>
      </c>
      <c r="W11" s="52">
        <v>240</v>
      </c>
      <c r="X11" s="52">
        <v>250</v>
      </c>
      <c r="Y11" s="52">
        <v>270</v>
      </c>
      <c r="Z11" s="52">
        <v>230</v>
      </c>
      <c r="AA11" s="54">
        <v>230.6</v>
      </c>
      <c r="AB11" s="54">
        <v>170</v>
      </c>
      <c r="AC11" s="54">
        <v>140</v>
      </c>
      <c r="AD11" s="54">
        <v>120</v>
      </c>
      <c r="AE11" s="54">
        <v>80</v>
      </c>
      <c r="AF11" s="54">
        <v>100</v>
      </c>
      <c r="AG11" s="55">
        <v>456</v>
      </c>
      <c r="AH11" s="56">
        <f>MAX(B11:AF11)</f>
        <v>270</v>
      </c>
      <c r="AI11" s="57">
        <f>MIN(B11:AF11)</f>
        <v>60</v>
      </c>
      <c r="AJ11" s="1">
        <f>AVERAGE(B11:AF11)</f>
        <v>139.85806451612905</v>
      </c>
      <c r="AK11" s="185">
        <f>(400-AJ11)*24</f>
        <v>6243.4064516129029</v>
      </c>
      <c r="AL11" s="30"/>
      <c r="AM11" s="185">
        <f>(400-L11)</f>
        <v>300</v>
      </c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50</v>
      </c>
      <c r="I12" s="49">
        <v>50</v>
      </c>
      <c r="J12" s="49">
        <v>50</v>
      </c>
      <c r="K12" s="49">
        <v>50</v>
      </c>
      <c r="L12" s="49">
        <v>50</v>
      </c>
      <c r="M12" s="49">
        <v>60</v>
      </c>
      <c r="N12" s="49">
        <v>60</v>
      </c>
      <c r="O12" s="49">
        <v>60</v>
      </c>
      <c r="P12" s="49">
        <v>40</v>
      </c>
      <c r="Q12" s="49">
        <v>40</v>
      </c>
      <c r="R12" s="60">
        <v>40</v>
      </c>
      <c r="S12" s="60">
        <v>40</v>
      </c>
      <c r="T12" s="60">
        <v>40</v>
      </c>
      <c r="U12" s="60">
        <v>40</v>
      </c>
      <c r="V12" s="60">
        <v>40</v>
      </c>
      <c r="W12" s="60">
        <v>50</v>
      </c>
      <c r="X12" s="60">
        <v>40</v>
      </c>
      <c r="Y12" s="60">
        <v>40</v>
      </c>
      <c r="Z12" s="60">
        <v>40</v>
      </c>
      <c r="AA12" s="50">
        <v>40</v>
      </c>
      <c r="AB12" s="50">
        <v>40</v>
      </c>
      <c r="AC12" s="50">
        <v>40</v>
      </c>
      <c r="AD12" s="50">
        <v>40</v>
      </c>
      <c r="AE12" s="50">
        <v>40</v>
      </c>
      <c r="AF12" s="50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1">
        <f>AVERAGE(B12:AF12)</f>
        <v>43.87096774193548</v>
      </c>
      <c r="AK12" s="185">
        <f>(60-AJ12)*24</f>
        <v>387.09677419354847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25</v>
      </c>
      <c r="C13" s="50">
        <v>25</v>
      </c>
      <c r="D13" s="49">
        <v>25</v>
      </c>
      <c r="E13" s="49">
        <v>25</v>
      </c>
      <c r="F13" s="49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50">
        <v>25</v>
      </c>
      <c r="U13" s="62">
        <v>25</v>
      </c>
      <c r="V13" s="62">
        <v>25</v>
      </c>
      <c r="W13" s="62">
        <v>25</v>
      </c>
      <c r="X13" s="62">
        <v>25</v>
      </c>
      <c r="Y13" s="62">
        <v>25</v>
      </c>
      <c r="Z13" s="62">
        <v>25</v>
      </c>
      <c r="AA13" s="50">
        <v>25</v>
      </c>
      <c r="AB13" s="50">
        <v>25</v>
      </c>
      <c r="AC13" s="50">
        <v>25</v>
      </c>
      <c r="AD13" s="50">
        <v>25</v>
      </c>
      <c r="AE13" s="50">
        <v>25</v>
      </c>
      <c r="AF13" s="50">
        <v>25</v>
      </c>
      <c r="AG13" s="61">
        <v>52.4</v>
      </c>
      <c r="AH13" s="56">
        <f t="shared" si="2"/>
        <v>25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40.700000000000003</v>
      </c>
      <c r="C14" s="50">
        <v>40.700000000000003</v>
      </c>
      <c r="D14" s="63">
        <v>40.700000000000003</v>
      </c>
      <c r="E14" s="63">
        <v>40.700000000000003</v>
      </c>
      <c r="F14" s="63">
        <v>40.700000000000003</v>
      </c>
      <c r="G14" s="63">
        <v>40.700000000000003</v>
      </c>
      <c r="H14" s="63">
        <v>40.700000000000003</v>
      </c>
      <c r="I14" s="63">
        <v>40.700000000000003</v>
      </c>
      <c r="J14" s="63">
        <v>40.700000000000003</v>
      </c>
      <c r="K14" s="63">
        <v>40.700000000000003</v>
      </c>
      <c r="L14" s="50">
        <v>41.7</v>
      </c>
      <c r="M14" s="50">
        <v>41.7</v>
      </c>
      <c r="N14" s="50">
        <v>41.7</v>
      </c>
      <c r="O14" s="50">
        <v>41.7</v>
      </c>
      <c r="P14" s="50">
        <v>37</v>
      </c>
      <c r="Q14" s="50">
        <v>37.799999999999997</v>
      </c>
      <c r="R14" s="50">
        <v>37.799999999999997</v>
      </c>
      <c r="S14" s="50">
        <v>37.799999999999997</v>
      </c>
      <c r="T14" s="50">
        <v>37.799999999999997</v>
      </c>
      <c r="U14" s="50">
        <v>37.799999999999997</v>
      </c>
      <c r="V14" s="50">
        <v>37.799999999999997</v>
      </c>
      <c r="W14" s="50">
        <v>37.700000000000003</v>
      </c>
      <c r="X14" s="50">
        <v>37.799999999999997</v>
      </c>
      <c r="Y14" s="50">
        <v>37.799999999999997</v>
      </c>
      <c r="Z14" s="50">
        <v>37.799999999999997</v>
      </c>
      <c r="AA14" s="50">
        <v>41.8</v>
      </c>
      <c r="AB14" s="50">
        <v>41.8</v>
      </c>
      <c r="AC14" s="50">
        <v>41.8</v>
      </c>
      <c r="AD14" s="50">
        <v>36</v>
      </c>
      <c r="AE14" s="50">
        <v>36</v>
      </c>
      <c r="AF14" s="50">
        <v>36.9</v>
      </c>
      <c r="AG14" s="64">
        <v>45</v>
      </c>
      <c r="AH14" s="56">
        <f t="shared" si="2"/>
        <v>41.8</v>
      </c>
      <c r="AI14" s="57">
        <f t="shared" si="3"/>
        <v>36</v>
      </c>
      <c r="AJ14" s="1">
        <f>AVERAGE(B14:AF14)</f>
        <v>39.451612903225794</v>
      </c>
      <c r="AK14" s="185">
        <f>(45-AJ14)*24</f>
        <v>133.16129032258095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0">
        <v>26</v>
      </c>
      <c r="C15" s="50">
        <v>26</v>
      </c>
      <c r="D15" s="49">
        <v>26</v>
      </c>
      <c r="E15" s="49">
        <v>26</v>
      </c>
      <c r="F15" s="49">
        <v>26</v>
      </c>
      <c r="G15" s="49">
        <v>26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50">
        <v>26</v>
      </c>
      <c r="X15" s="50">
        <v>26</v>
      </c>
      <c r="Y15" s="50">
        <v>26</v>
      </c>
      <c r="Z15" s="50">
        <v>26</v>
      </c>
      <c r="AA15" s="50">
        <v>20</v>
      </c>
      <c r="AB15" s="50">
        <v>20</v>
      </c>
      <c r="AC15" s="50">
        <v>20</v>
      </c>
      <c r="AD15" s="50">
        <v>20</v>
      </c>
      <c r="AE15" s="50">
        <v>20</v>
      </c>
      <c r="AF15" s="50">
        <v>20</v>
      </c>
      <c r="AG15" s="61">
        <v>45</v>
      </c>
      <c r="AH15" s="56">
        <f t="shared" si="2"/>
        <v>26</v>
      </c>
      <c r="AI15" s="57">
        <f t="shared" si="3"/>
        <v>20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12.5</v>
      </c>
      <c r="C16" s="50">
        <v>12.5</v>
      </c>
      <c r="D16" s="49">
        <v>12.5</v>
      </c>
      <c r="E16" s="49">
        <v>12.5</v>
      </c>
      <c r="F16" s="49">
        <v>12.5</v>
      </c>
      <c r="G16" s="49">
        <v>12.5</v>
      </c>
      <c r="H16" s="49">
        <v>12.5</v>
      </c>
      <c r="I16" s="49">
        <v>12.5</v>
      </c>
      <c r="J16" s="49">
        <v>12.5</v>
      </c>
      <c r="K16" s="49">
        <v>12.5</v>
      </c>
      <c r="L16" s="50">
        <v>12.5</v>
      </c>
      <c r="M16" s="50">
        <v>12.5</v>
      </c>
      <c r="N16" s="50">
        <v>12.5</v>
      </c>
      <c r="O16" s="50">
        <v>22</v>
      </c>
      <c r="P16" s="50">
        <v>22</v>
      </c>
      <c r="Q16" s="50">
        <v>22</v>
      </c>
      <c r="R16" s="50">
        <v>22</v>
      </c>
      <c r="S16" s="50">
        <v>22</v>
      </c>
      <c r="T16" s="50">
        <v>22</v>
      </c>
      <c r="U16" s="50">
        <v>22</v>
      </c>
      <c r="V16" s="50">
        <v>22</v>
      </c>
      <c r="W16" s="50">
        <v>22</v>
      </c>
      <c r="X16" s="50">
        <v>22</v>
      </c>
      <c r="Y16" s="50">
        <v>22</v>
      </c>
      <c r="Z16" s="50">
        <v>22</v>
      </c>
      <c r="AA16" s="50">
        <v>22</v>
      </c>
      <c r="AB16" s="50">
        <v>22</v>
      </c>
      <c r="AC16" s="50">
        <v>22</v>
      </c>
      <c r="AD16" s="50">
        <v>22</v>
      </c>
      <c r="AE16" s="50">
        <v>12.5</v>
      </c>
      <c r="AF16" s="50">
        <v>12.5</v>
      </c>
      <c r="AG16" s="61">
        <v>42</v>
      </c>
      <c r="AH16" s="56">
        <f t="shared" si="2"/>
        <v>22</v>
      </c>
      <c r="AI16" s="57">
        <f t="shared" si="3"/>
        <v>12.5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25</v>
      </c>
      <c r="C17" s="50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26</v>
      </c>
      <c r="AB17" s="50">
        <v>26</v>
      </c>
      <c r="AC17" s="50">
        <v>20</v>
      </c>
      <c r="AD17" s="50">
        <v>20</v>
      </c>
      <c r="AE17" s="50">
        <v>20</v>
      </c>
      <c r="AF17" s="50">
        <v>20</v>
      </c>
      <c r="AG17" s="61">
        <v>36</v>
      </c>
      <c r="AH17" s="56">
        <f t="shared" si="2"/>
        <v>26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20.399999999999999</v>
      </c>
      <c r="C18" s="50">
        <v>20.399999999999999</v>
      </c>
      <c r="D18" s="49">
        <v>20.399999999999999</v>
      </c>
      <c r="E18" s="49">
        <v>20.399999999999999</v>
      </c>
      <c r="F18" s="49">
        <v>20.399999999999999</v>
      </c>
      <c r="G18" s="49">
        <v>20.399999999999999</v>
      </c>
      <c r="H18" s="49">
        <v>20.399999999999999</v>
      </c>
      <c r="I18" s="49">
        <v>20.399999999999999</v>
      </c>
      <c r="J18" s="49">
        <v>20.399999999999999</v>
      </c>
      <c r="K18" s="49">
        <v>20.399999999999999</v>
      </c>
      <c r="L18" s="50">
        <v>20.8</v>
      </c>
      <c r="M18" s="50">
        <v>21.1</v>
      </c>
      <c r="N18" s="50">
        <v>21.8</v>
      </c>
      <c r="O18" s="50">
        <v>21.8</v>
      </c>
      <c r="P18" s="50">
        <v>21.8</v>
      </c>
      <c r="Q18" s="50">
        <v>22.3</v>
      </c>
      <c r="R18" s="50">
        <v>22.4</v>
      </c>
      <c r="S18" s="50">
        <v>22.4</v>
      </c>
      <c r="T18" s="50">
        <v>22.4</v>
      </c>
      <c r="U18" s="50">
        <v>22.4</v>
      </c>
      <c r="V18" s="50">
        <v>22.4</v>
      </c>
      <c r="W18" s="50">
        <v>22.4</v>
      </c>
      <c r="X18" s="50">
        <v>22.4</v>
      </c>
      <c r="Y18" s="50">
        <v>22.4</v>
      </c>
      <c r="Z18" s="50">
        <v>22.4</v>
      </c>
      <c r="AA18" s="50">
        <v>22.4</v>
      </c>
      <c r="AB18" s="50">
        <v>24.1</v>
      </c>
      <c r="AC18" s="50">
        <v>23.6</v>
      </c>
      <c r="AD18" s="50">
        <v>23.6</v>
      </c>
      <c r="AE18" s="50">
        <v>21.2</v>
      </c>
      <c r="AF18" s="50">
        <v>21.2</v>
      </c>
      <c r="AG18" s="61">
        <v>30</v>
      </c>
      <c r="AH18" s="56">
        <f t="shared" si="2"/>
        <v>24.1</v>
      </c>
      <c r="AI18" s="57">
        <f t="shared" si="3"/>
        <v>20.399999999999999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6.2</v>
      </c>
      <c r="C19" s="50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11</v>
      </c>
      <c r="C20" s="50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22</v>
      </c>
      <c r="C21" s="50">
        <v>22</v>
      </c>
      <c r="D21" s="49">
        <v>17</v>
      </c>
      <c r="E21" s="49">
        <v>17</v>
      </c>
      <c r="F21" s="49">
        <v>17</v>
      </c>
      <c r="G21" s="49">
        <v>17</v>
      </c>
      <c r="H21" s="49">
        <v>17</v>
      </c>
      <c r="I21" s="49">
        <v>17</v>
      </c>
      <c r="J21" s="49">
        <v>17</v>
      </c>
      <c r="K21" s="49">
        <v>17</v>
      </c>
      <c r="L21" s="50">
        <v>17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17</v>
      </c>
      <c r="AF21" s="50">
        <v>17</v>
      </c>
      <c r="AG21" s="61">
        <v>25</v>
      </c>
      <c r="AH21" s="56">
        <f t="shared" si="2"/>
        <v>22</v>
      </c>
      <c r="AI21" s="57">
        <f t="shared" si="3"/>
        <v>17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19</v>
      </c>
      <c r="C22" s="50">
        <v>19</v>
      </c>
      <c r="D22" s="49">
        <v>19</v>
      </c>
      <c r="E22" s="49">
        <v>19</v>
      </c>
      <c r="F22" s="49">
        <v>19</v>
      </c>
      <c r="G22" s="49">
        <v>19</v>
      </c>
      <c r="H22" s="49">
        <v>19</v>
      </c>
      <c r="I22" s="49">
        <v>19</v>
      </c>
      <c r="J22" s="49">
        <v>19</v>
      </c>
      <c r="K22" s="49">
        <v>19</v>
      </c>
      <c r="L22" s="50">
        <v>19</v>
      </c>
      <c r="M22" s="50">
        <v>19</v>
      </c>
      <c r="N22" s="50">
        <v>19</v>
      </c>
      <c r="O22" s="50">
        <v>19</v>
      </c>
      <c r="P22" s="50">
        <v>19</v>
      </c>
      <c r="Q22" s="50">
        <v>19</v>
      </c>
      <c r="R22" s="50">
        <v>19</v>
      </c>
      <c r="S22" s="50">
        <v>19</v>
      </c>
      <c r="T22" s="50">
        <v>19</v>
      </c>
      <c r="U22" s="50">
        <v>19</v>
      </c>
      <c r="V22" s="50">
        <v>19</v>
      </c>
      <c r="W22" s="50">
        <v>19</v>
      </c>
      <c r="X22" s="50">
        <v>19</v>
      </c>
      <c r="Y22" s="50">
        <v>19</v>
      </c>
      <c r="Z22" s="50">
        <v>19</v>
      </c>
      <c r="AA22" s="50">
        <v>19</v>
      </c>
      <c r="AB22" s="50">
        <v>19</v>
      </c>
      <c r="AC22" s="50">
        <v>19</v>
      </c>
      <c r="AD22" s="50">
        <v>19</v>
      </c>
      <c r="AE22" s="50">
        <v>19</v>
      </c>
      <c r="AF22" s="50">
        <v>19</v>
      </c>
      <c r="AG22" s="61">
        <v>25</v>
      </c>
      <c r="AH22" s="56">
        <f t="shared" si="2"/>
        <v>19</v>
      </c>
      <c r="AI22" s="57">
        <f t="shared" si="3"/>
        <v>19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22</v>
      </c>
      <c r="C23" s="50">
        <v>22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18</v>
      </c>
      <c r="J23" s="49">
        <v>18</v>
      </c>
      <c r="K23" s="49">
        <v>18</v>
      </c>
      <c r="L23" s="50">
        <v>18</v>
      </c>
      <c r="M23" s="50">
        <v>22</v>
      </c>
      <c r="N23" s="50">
        <v>22</v>
      </c>
      <c r="O23" s="50">
        <v>22</v>
      </c>
      <c r="P23" s="50">
        <v>22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20</v>
      </c>
      <c r="AB23" s="50">
        <v>22</v>
      </c>
      <c r="AC23" s="50">
        <v>21</v>
      </c>
      <c r="AD23" s="50">
        <v>21</v>
      </c>
      <c r="AE23" s="50">
        <v>18</v>
      </c>
      <c r="AF23" s="50">
        <v>18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11</v>
      </c>
      <c r="C24" s="50">
        <v>11</v>
      </c>
      <c r="D24" s="49">
        <v>11</v>
      </c>
      <c r="E24" s="49">
        <v>11</v>
      </c>
      <c r="F24" s="49">
        <v>11</v>
      </c>
      <c r="G24" s="49">
        <v>11</v>
      </c>
      <c r="H24" s="49">
        <v>11</v>
      </c>
      <c r="I24" s="49">
        <v>11</v>
      </c>
      <c r="J24" s="49">
        <v>11</v>
      </c>
      <c r="K24" s="49">
        <v>11</v>
      </c>
      <c r="L24" s="50">
        <v>11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11</v>
      </c>
      <c r="AF24" s="50">
        <v>11</v>
      </c>
      <c r="AG24" s="61">
        <v>24.2</v>
      </c>
      <c r="AH24" s="56">
        <f t="shared" si="2"/>
        <v>22</v>
      </c>
      <c r="AI24" s="57">
        <f t="shared" si="3"/>
        <v>11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14</v>
      </c>
      <c r="C25" s="50">
        <v>14</v>
      </c>
      <c r="D25" s="50">
        <v>14</v>
      </c>
      <c r="E25" s="50">
        <v>14</v>
      </c>
      <c r="F25" s="50">
        <v>14</v>
      </c>
      <c r="G25" s="50">
        <v>14</v>
      </c>
      <c r="H25" s="50">
        <v>14</v>
      </c>
      <c r="I25" s="50">
        <v>14</v>
      </c>
      <c r="J25" s="50">
        <v>14</v>
      </c>
      <c r="K25" s="50">
        <v>14</v>
      </c>
      <c r="L25" s="50">
        <v>14</v>
      </c>
      <c r="M25" s="50">
        <v>14</v>
      </c>
      <c r="N25" s="50">
        <v>14</v>
      </c>
      <c r="O25" s="50">
        <v>14</v>
      </c>
      <c r="P25" s="50">
        <v>14</v>
      </c>
      <c r="Q25" s="50">
        <v>14</v>
      </c>
      <c r="R25" s="50">
        <v>14</v>
      </c>
      <c r="S25" s="50">
        <v>14</v>
      </c>
      <c r="T25" s="50">
        <v>14</v>
      </c>
      <c r="U25" s="50">
        <v>14</v>
      </c>
      <c r="V25" s="50">
        <v>14</v>
      </c>
      <c r="W25" s="50">
        <v>14</v>
      </c>
      <c r="X25" s="50">
        <v>14</v>
      </c>
      <c r="Y25" s="50">
        <v>14</v>
      </c>
      <c r="Z25" s="50">
        <v>14</v>
      </c>
      <c r="AA25" s="50">
        <v>15</v>
      </c>
      <c r="AB25" s="50">
        <v>15</v>
      </c>
      <c r="AC25" s="50">
        <v>8</v>
      </c>
      <c r="AD25" s="50">
        <v>8</v>
      </c>
      <c r="AE25" s="50">
        <v>8</v>
      </c>
      <c r="AF25" s="50">
        <v>5</v>
      </c>
      <c r="AG25" s="61">
        <v>20</v>
      </c>
      <c r="AH25" s="56">
        <f>MAX(B25:AF25)</f>
        <v>15</v>
      </c>
      <c r="AI25" s="57">
        <f>MIN(B25:AF25)</f>
        <v>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61">
        <v>23.5</v>
      </c>
      <c r="AH26" s="56">
        <f t="shared" si="2"/>
        <v>14</v>
      </c>
      <c r="AI26" s="57">
        <f t="shared" si="3"/>
        <v>14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6</v>
      </c>
      <c r="U27" s="50">
        <v>6</v>
      </c>
      <c r="V27" s="50">
        <v>6</v>
      </c>
      <c r="W27" s="50">
        <v>6</v>
      </c>
      <c r="X27" s="50">
        <v>6</v>
      </c>
      <c r="Y27" s="50">
        <v>6</v>
      </c>
      <c r="Z27" s="50">
        <v>6</v>
      </c>
      <c r="AA27" s="50">
        <v>6</v>
      </c>
      <c r="AB27" s="50">
        <v>6</v>
      </c>
      <c r="AC27" s="50">
        <v>6</v>
      </c>
      <c r="AD27" s="50">
        <v>6</v>
      </c>
      <c r="AE27" s="50">
        <v>6</v>
      </c>
      <c r="AF27" s="50">
        <v>6</v>
      </c>
      <c r="AG27" s="61">
        <v>22.2</v>
      </c>
      <c r="AH27" s="56">
        <f t="shared" si="2"/>
        <v>6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170</v>
      </c>
      <c r="C34" s="63">
        <v>170</v>
      </c>
      <c r="D34" s="63">
        <v>170</v>
      </c>
      <c r="E34" s="63">
        <v>170</v>
      </c>
      <c r="F34" s="63">
        <v>170</v>
      </c>
      <c r="G34" s="63">
        <v>170</v>
      </c>
      <c r="H34" s="63">
        <v>170</v>
      </c>
      <c r="I34" s="63">
        <v>170</v>
      </c>
      <c r="J34" s="63">
        <v>170</v>
      </c>
      <c r="K34" s="63">
        <v>170</v>
      </c>
      <c r="L34" s="63">
        <v>170</v>
      </c>
      <c r="M34" s="63">
        <v>170</v>
      </c>
      <c r="N34" s="63">
        <v>170</v>
      </c>
      <c r="O34" s="63">
        <v>170</v>
      </c>
      <c r="P34" s="63">
        <v>170</v>
      </c>
      <c r="Q34" s="63">
        <v>170</v>
      </c>
      <c r="R34" s="63">
        <v>170</v>
      </c>
      <c r="S34" s="63">
        <v>170</v>
      </c>
      <c r="T34" s="63">
        <v>170</v>
      </c>
      <c r="U34" s="63">
        <v>170</v>
      </c>
      <c r="V34" s="63">
        <v>170</v>
      </c>
      <c r="W34" s="63">
        <v>170</v>
      </c>
      <c r="X34" s="63">
        <v>170</v>
      </c>
      <c r="Y34" s="63">
        <v>170</v>
      </c>
      <c r="Z34" s="63">
        <v>170</v>
      </c>
      <c r="AA34" s="63">
        <v>170</v>
      </c>
      <c r="AB34" s="63">
        <v>170</v>
      </c>
      <c r="AC34" s="63">
        <v>170</v>
      </c>
      <c r="AD34" s="63">
        <v>170</v>
      </c>
      <c r="AE34" s="63">
        <v>170</v>
      </c>
      <c r="AF34" s="63">
        <v>170</v>
      </c>
      <c r="AG34" s="69">
        <v>85</v>
      </c>
      <c r="AH34" s="56">
        <f t="shared" si="2"/>
        <v>170</v>
      </c>
      <c r="AI34" s="57">
        <f t="shared" si="3"/>
        <v>170</v>
      </c>
      <c r="AK34" s="58"/>
    </row>
    <row r="35" spans="1:88" ht="15.75" thickBot="1" x14ac:dyDescent="0.3">
      <c r="A35" s="71" t="s">
        <v>43</v>
      </c>
      <c r="B35" s="72"/>
      <c r="C35" s="63"/>
      <c r="D35" s="63"/>
      <c r="E35" s="63"/>
      <c r="F35" s="63"/>
      <c r="G35" s="63"/>
      <c r="H35" s="63"/>
      <c r="I35" s="63"/>
      <c r="J35" s="63"/>
      <c r="K35" s="63"/>
      <c r="L35" s="72">
        <v>106</v>
      </c>
      <c r="M35" s="72">
        <v>106</v>
      </c>
      <c r="N35" s="72">
        <v>105.6</v>
      </c>
      <c r="O35" s="72">
        <v>106</v>
      </c>
      <c r="P35" s="72">
        <v>106</v>
      </c>
      <c r="Q35" s="72">
        <v>105.9</v>
      </c>
      <c r="R35" s="72">
        <v>120</v>
      </c>
      <c r="S35" s="72">
        <f>62+58</f>
        <v>120</v>
      </c>
      <c r="T35" s="72">
        <f>62+58</f>
        <v>120</v>
      </c>
      <c r="U35" s="72">
        <v>113</v>
      </c>
      <c r="V35" s="72">
        <v>113</v>
      </c>
      <c r="W35" s="72">
        <v>113</v>
      </c>
      <c r="X35" s="72">
        <v>113</v>
      </c>
      <c r="Y35" s="72">
        <v>113</v>
      </c>
      <c r="Z35" s="72">
        <v>113</v>
      </c>
      <c r="AA35" s="72">
        <v>113</v>
      </c>
      <c r="AB35" s="72"/>
      <c r="AC35" s="72"/>
      <c r="AD35" s="72"/>
      <c r="AE35" s="63"/>
      <c r="AF35" s="63"/>
      <c r="AG35" s="69">
        <v>240</v>
      </c>
      <c r="AH35" s="56">
        <f t="shared" si="2"/>
        <v>120</v>
      </c>
      <c r="AI35" s="57">
        <f t="shared" si="3"/>
        <v>105.6</v>
      </c>
      <c r="AK35" s="58"/>
    </row>
    <row r="36" spans="1:88" ht="15.75" thickBot="1" x14ac:dyDescent="0.3">
      <c r="A36" s="73" t="s">
        <v>44</v>
      </c>
      <c r="B36" s="74">
        <f>SUM(B11:B34)</f>
        <v>622.79999999999995</v>
      </c>
      <c r="C36" s="74">
        <f t="shared" ref="C36:AF36" si="4">SUM(C11:C34)</f>
        <v>622.79999999999995</v>
      </c>
      <c r="D36" s="74">
        <f t="shared" si="4"/>
        <v>553.79999999999995</v>
      </c>
      <c r="E36" s="74">
        <f t="shared" si="4"/>
        <v>573.79999999999995</v>
      </c>
      <c r="F36" s="74">
        <f t="shared" si="4"/>
        <v>573.79999999999995</v>
      </c>
      <c r="G36" s="74">
        <f t="shared" si="4"/>
        <v>613.79999999999995</v>
      </c>
      <c r="H36" s="74">
        <f t="shared" si="4"/>
        <v>643.79999999999995</v>
      </c>
      <c r="I36" s="74">
        <f t="shared" si="4"/>
        <v>643.79999999999995</v>
      </c>
      <c r="J36" s="74">
        <f t="shared" si="4"/>
        <v>643.79999999999995</v>
      </c>
      <c r="K36" s="74">
        <f t="shared" si="4"/>
        <v>663.8</v>
      </c>
      <c r="L36" s="74">
        <f t="shared" si="4"/>
        <v>605.20000000000005</v>
      </c>
      <c r="M36" s="74">
        <f t="shared" si="4"/>
        <v>655.5</v>
      </c>
      <c r="N36" s="74">
        <f t="shared" si="4"/>
        <v>636.20000000000005</v>
      </c>
      <c r="O36" s="74">
        <f t="shared" si="4"/>
        <v>645.70000000000005</v>
      </c>
      <c r="P36" s="74">
        <f t="shared" si="4"/>
        <v>621</v>
      </c>
      <c r="Q36" s="74">
        <f t="shared" si="4"/>
        <v>620.29999999999995</v>
      </c>
      <c r="R36" s="74">
        <f t="shared" si="4"/>
        <v>620.4</v>
      </c>
      <c r="S36" s="74">
        <f t="shared" si="4"/>
        <v>635.4</v>
      </c>
      <c r="T36" s="74">
        <f t="shared" si="4"/>
        <v>676.4</v>
      </c>
      <c r="U36" s="74">
        <f t="shared" si="4"/>
        <v>686.4</v>
      </c>
      <c r="V36" s="74">
        <f t="shared" si="4"/>
        <v>726.4</v>
      </c>
      <c r="W36" s="74">
        <v>776.3</v>
      </c>
      <c r="X36" s="74">
        <f>SUM(X11:X34)</f>
        <v>776.4</v>
      </c>
      <c r="Y36" s="74">
        <f t="shared" si="4"/>
        <v>796.4</v>
      </c>
      <c r="Z36" s="74">
        <f t="shared" si="4"/>
        <v>756.4</v>
      </c>
      <c r="AA36" s="74">
        <f t="shared" si="4"/>
        <v>757</v>
      </c>
      <c r="AB36" s="74">
        <f t="shared" si="4"/>
        <v>700.1</v>
      </c>
      <c r="AC36" s="74">
        <f t="shared" si="4"/>
        <v>655.6</v>
      </c>
      <c r="AD36" s="74">
        <f t="shared" si="4"/>
        <v>629.79999999999995</v>
      </c>
      <c r="AE36" s="74">
        <f t="shared" si="4"/>
        <v>558.9</v>
      </c>
      <c r="AF36" s="74">
        <f t="shared" si="4"/>
        <v>576.79999999999995</v>
      </c>
      <c r="AG36" s="69">
        <f>SUM(AG11:AG35)</f>
        <v>1431.83</v>
      </c>
      <c r="AH36" s="56">
        <f t="shared" si="2"/>
        <v>796.4</v>
      </c>
      <c r="AI36" s="57">
        <f t="shared" si="3"/>
        <v>553.79999999999995</v>
      </c>
      <c r="AK36" s="58"/>
    </row>
    <row r="37" spans="1:88" x14ac:dyDescent="0.25">
      <c r="A37" s="59" t="s">
        <v>45</v>
      </c>
      <c r="B37" s="49">
        <v>111.4</v>
      </c>
      <c r="C37" s="63">
        <v>111.4</v>
      </c>
      <c r="D37" s="63">
        <v>92</v>
      </c>
      <c r="E37" s="63">
        <v>101.5</v>
      </c>
      <c r="F37" s="63">
        <v>101.5</v>
      </c>
      <c r="G37" s="63">
        <v>111.5</v>
      </c>
      <c r="H37" s="63">
        <v>121.4</v>
      </c>
      <c r="I37" s="63">
        <v>121.4</v>
      </c>
      <c r="J37" s="63">
        <v>133.4</v>
      </c>
      <c r="K37" s="63">
        <v>127.4</v>
      </c>
      <c r="L37" s="50">
        <v>142.80000000000001</v>
      </c>
      <c r="M37" s="50">
        <v>143</v>
      </c>
      <c r="N37" s="50">
        <v>143</v>
      </c>
      <c r="O37" s="50">
        <v>121.4</v>
      </c>
      <c r="P37" s="50">
        <v>117</v>
      </c>
      <c r="Q37" s="50">
        <v>111.8</v>
      </c>
      <c r="R37" s="50">
        <v>111.4</v>
      </c>
      <c r="S37" s="50">
        <v>91.3</v>
      </c>
      <c r="T37" s="50">
        <v>113.6</v>
      </c>
      <c r="U37" s="50">
        <v>145</v>
      </c>
      <c r="V37" s="50">
        <v>133.5</v>
      </c>
      <c r="W37" s="50">
        <v>144.19999999999999</v>
      </c>
      <c r="X37" s="50">
        <v>144.4</v>
      </c>
      <c r="Y37" s="50">
        <v>144.4</v>
      </c>
      <c r="Z37" s="50">
        <v>131.30000000000001</v>
      </c>
      <c r="AA37" s="50">
        <v>131.5</v>
      </c>
      <c r="AB37" s="50">
        <v>131.5</v>
      </c>
      <c r="AC37" s="50">
        <v>131.5</v>
      </c>
      <c r="AD37" s="50">
        <v>121.6</v>
      </c>
      <c r="AE37" s="49">
        <v>106</v>
      </c>
      <c r="AF37" s="49">
        <v>106.4</v>
      </c>
      <c r="AG37" s="64">
        <v>144</v>
      </c>
      <c r="AH37" s="56">
        <f t="shared" si="2"/>
        <v>145</v>
      </c>
      <c r="AI37" s="57">
        <f t="shared" si="3"/>
        <v>91.3</v>
      </c>
      <c r="AK37" s="58"/>
    </row>
    <row r="38" spans="1:88" x14ac:dyDescent="0.25">
      <c r="A38" s="68" t="s">
        <v>46</v>
      </c>
      <c r="B38" s="63">
        <v>25.8</v>
      </c>
      <c r="C38" s="63">
        <v>25.8</v>
      </c>
      <c r="D38" s="63">
        <v>25.8</v>
      </c>
      <c r="E38" s="63">
        <v>25.8</v>
      </c>
      <c r="F38" s="63">
        <v>25.8</v>
      </c>
      <c r="G38" s="63">
        <v>25.8</v>
      </c>
      <c r="H38" s="63">
        <v>25.8</v>
      </c>
      <c r="I38" s="63">
        <v>25.7</v>
      </c>
      <c r="J38" s="63">
        <v>25.7</v>
      </c>
      <c r="K38" s="63">
        <v>25.8</v>
      </c>
      <c r="L38" s="52">
        <v>25.7</v>
      </c>
      <c r="M38" s="52">
        <v>25.7</v>
      </c>
      <c r="N38" s="52">
        <v>34.799999999999997</v>
      </c>
      <c r="O38" s="52">
        <v>34.799999999999997</v>
      </c>
      <c r="P38" s="52">
        <v>24.8</v>
      </c>
      <c r="Q38" s="52">
        <v>24.8</v>
      </c>
      <c r="R38" s="52">
        <v>24.9</v>
      </c>
      <c r="S38" s="52">
        <v>20.5</v>
      </c>
      <c r="T38" s="52">
        <v>20.399999999999999</v>
      </c>
      <c r="U38" s="52">
        <v>20.5</v>
      </c>
      <c r="V38" s="52">
        <v>24.7</v>
      </c>
      <c r="W38" s="52">
        <v>22</v>
      </c>
      <c r="X38" s="52">
        <v>34.9</v>
      </c>
      <c r="Y38" s="52">
        <v>34.799999999999997</v>
      </c>
      <c r="Z38" s="52">
        <v>34.700000000000003</v>
      </c>
      <c r="AA38" s="52">
        <v>34.9</v>
      </c>
      <c r="AB38" s="52">
        <v>35.799999999999997</v>
      </c>
      <c r="AC38" s="52">
        <v>35.799999999999997</v>
      </c>
      <c r="AD38" s="52">
        <v>22.8</v>
      </c>
      <c r="AE38" s="63">
        <v>30.3</v>
      </c>
      <c r="AF38" s="63">
        <v>35.200000000000003</v>
      </c>
      <c r="AG38" s="69">
        <v>70</v>
      </c>
      <c r="AH38" s="56">
        <f t="shared" si="2"/>
        <v>35.799999999999997</v>
      </c>
      <c r="AI38" s="57">
        <f t="shared" si="3"/>
        <v>20.399999999999999</v>
      </c>
      <c r="AK38" s="58"/>
    </row>
    <row r="39" spans="1:88" x14ac:dyDescent="0.25">
      <c r="A39" s="68" t="s">
        <v>47</v>
      </c>
      <c r="B39" s="63">
        <v>33.4</v>
      </c>
      <c r="C39" s="63">
        <v>40.299999999999997</v>
      </c>
      <c r="D39" s="63">
        <v>35.5</v>
      </c>
      <c r="E39" s="63">
        <v>41.4</v>
      </c>
      <c r="F39" s="63">
        <v>41.4</v>
      </c>
      <c r="G39" s="63">
        <v>41.4</v>
      </c>
      <c r="H39" s="63">
        <v>41.4</v>
      </c>
      <c r="I39" s="63">
        <v>47</v>
      </c>
      <c r="J39" s="63">
        <v>54.5</v>
      </c>
      <c r="K39" s="63">
        <v>65.5</v>
      </c>
      <c r="L39" s="63">
        <v>65.5</v>
      </c>
      <c r="M39" s="52">
        <v>69.900000000000006</v>
      </c>
      <c r="N39" s="52">
        <v>61.9</v>
      </c>
      <c r="O39" s="52">
        <v>63.7</v>
      </c>
      <c r="P39" s="52">
        <v>52.4</v>
      </c>
      <c r="Q39" s="52">
        <v>68.5</v>
      </c>
      <c r="R39" s="52">
        <v>68.5</v>
      </c>
      <c r="S39" s="52">
        <v>40.1</v>
      </c>
      <c r="T39" s="52">
        <v>40.799999999999997</v>
      </c>
      <c r="U39" s="52">
        <v>40.4</v>
      </c>
      <c r="V39" s="52">
        <v>56.6</v>
      </c>
      <c r="W39" s="52">
        <v>52.2</v>
      </c>
      <c r="X39" s="52">
        <v>46.6</v>
      </c>
      <c r="Y39" s="52">
        <v>46.6</v>
      </c>
      <c r="Z39" s="52">
        <v>45.9</v>
      </c>
      <c r="AA39" s="52">
        <v>36.799999999999997</v>
      </c>
      <c r="AB39" s="52">
        <v>47.8</v>
      </c>
      <c r="AC39" s="52">
        <v>47.8</v>
      </c>
      <c r="AD39" s="52">
        <v>33.5</v>
      </c>
      <c r="AE39" s="63">
        <v>33.4</v>
      </c>
      <c r="AF39" s="63">
        <v>33.4</v>
      </c>
      <c r="AG39" s="69">
        <v>69</v>
      </c>
      <c r="AH39" s="56">
        <f t="shared" si="2"/>
        <v>69.900000000000006</v>
      </c>
      <c r="AI39" s="57">
        <f t="shared" si="3"/>
        <v>33.4</v>
      </c>
      <c r="AK39" s="58"/>
    </row>
    <row r="40" spans="1:88" x14ac:dyDescent="0.25">
      <c r="A40" s="68" t="s">
        <v>48</v>
      </c>
      <c r="B40" s="63">
        <v>30</v>
      </c>
      <c r="C40" s="63">
        <v>26.2</v>
      </c>
      <c r="D40" s="63">
        <v>23.4</v>
      </c>
      <c r="E40" s="63">
        <v>30.5</v>
      </c>
      <c r="F40" s="63">
        <v>30.5</v>
      </c>
      <c r="G40" s="63">
        <v>30.5</v>
      </c>
      <c r="H40" s="63">
        <v>30.5</v>
      </c>
      <c r="I40" s="63">
        <v>30.5</v>
      </c>
      <c r="J40" s="63">
        <v>30.5</v>
      </c>
      <c r="K40" s="63">
        <v>30.5</v>
      </c>
      <c r="L40" s="63">
        <v>30.5</v>
      </c>
      <c r="M40" s="52">
        <v>53.9</v>
      </c>
      <c r="N40" s="52">
        <v>51.4</v>
      </c>
      <c r="O40" s="52">
        <v>51.4</v>
      </c>
      <c r="P40" s="52">
        <v>27.7</v>
      </c>
      <c r="Q40" s="52">
        <v>30</v>
      </c>
      <c r="R40" s="52">
        <v>30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39.6</v>
      </c>
      <c r="AB40" s="52">
        <v>39.6</v>
      </c>
      <c r="AC40" s="52">
        <v>39.6</v>
      </c>
      <c r="AD40" s="52">
        <v>39.1</v>
      </c>
      <c r="AE40" s="63">
        <v>30</v>
      </c>
      <c r="AF40" s="63">
        <v>22.4</v>
      </c>
      <c r="AG40" s="69">
        <v>60</v>
      </c>
      <c r="AH40" s="56">
        <f t="shared" si="2"/>
        <v>53.9</v>
      </c>
      <c r="AI40" s="57">
        <f t="shared" si="3"/>
        <v>0</v>
      </c>
      <c r="AK40" s="58"/>
    </row>
    <row r="41" spans="1:88" x14ac:dyDescent="0.25">
      <c r="A41" s="68" t="s">
        <v>49</v>
      </c>
      <c r="B41" s="63">
        <v>13</v>
      </c>
      <c r="C41" s="63">
        <v>14</v>
      </c>
      <c r="D41" s="63">
        <v>14</v>
      </c>
      <c r="E41" s="63">
        <v>14</v>
      </c>
      <c r="F41" s="63">
        <v>14</v>
      </c>
      <c r="G41" s="63">
        <v>14</v>
      </c>
      <c r="H41" s="63">
        <v>14</v>
      </c>
      <c r="I41" s="63">
        <v>14</v>
      </c>
      <c r="J41" s="63">
        <v>26.2</v>
      </c>
      <c r="K41" s="63">
        <v>26.2</v>
      </c>
      <c r="L41" s="63">
        <v>26.2</v>
      </c>
      <c r="M41" s="50">
        <v>29.3</v>
      </c>
      <c r="N41" s="50">
        <v>29.3</v>
      </c>
      <c r="O41" s="50">
        <v>29.3</v>
      </c>
      <c r="P41" s="50">
        <v>29.3</v>
      </c>
      <c r="Q41" s="50">
        <v>15</v>
      </c>
      <c r="R41" s="50">
        <v>25.2</v>
      </c>
      <c r="S41" s="50">
        <v>25.2</v>
      </c>
      <c r="T41" s="50">
        <v>24.9</v>
      </c>
      <c r="U41" s="50">
        <v>29</v>
      </c>
      <c r="V41" s="50">
        <v>29.5</v>
      </c>
      <c r="W41" s="50">
        <v>29.5</v>
      </c>
      <c r="X41" s="50">
        <v>29.7</v>
      </c>
      <c r="Y41" s="50">
        <v>29.7</v>
      </c>
      <c r="Z41" s="50">
        <v>29.3</v>
      </c>
      <c r="AA41" s="52">
        <v>29.3</v>
      </c>
      <c r="AB41" s="52">
        <v>29.3</v>
      </c>
      <c r="AC41" s="52">
        <v>0</v>
      </c>
      <c r="AD41" s="52">
        <v>14.9</v>
      </c>
      <c r="AE41" s="63">
        <v>14.9</v>
      </c>
      <c r="AF41" s="63">
        <v>15</v>
      </c>
      <c r="AG41" s="69">
        <v>30</v>
      </c>
      <c r="AH41" s="56">
        <f t="shared" si="2"/>
        <v>29.7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63">
        <v>12.8</v>
      </c>
      <c r="C43" s="75">
        <v>12.7</v>
      </c>
      <c r="D43" s="75">
        <v>12.7</v>
      </c>
      <c r="E43" s="75">
        <v>12.7</v>
      </c>
      <c r="F43" s="75">
        <v>12.7</v>
      </c>
      <c r="G43" s="75">
        <v>12.7</v>
      </c>
      <c r="H43" s="75">
        <v>12.7</v>
      </c>
      <c r="I43" s="75">
        <v>12.7</v>
      </c>
      <c r="J43" s="75">
        <v>17.600000000000001</v>
      </c>
      <c r="K43" s="75">
        <v>17.600000000000001</v>
      </c>
      <c r="L43" s="50">
        <v>17.600000000000001</v>
      </c>
      <c r="M43" s="50">
        <v>17.600000000000001</v>
      </c>
      <c r="N43" s="50">
        <v>17.5</v>
      </c>
      <c r="O43" s="50">
        <v>17.5</v>
      </c>
      <c r="P43" s="50">
        <v>17.5</v>
      </c>
      <c r="Q43" s="50">
        <v>14.8</v>
      </c>
      <c r="R43" s="50">
        <v>14.6</v>
      </c>
      <c r="S43" s="50">
        <v>14.6</v>
      </c>
      <c r="T43" s="50">
        <v>17.2</v>
      </c>
      <c r="U43" s="50">
        <v>17.2</v>
      </c>
      <c r="V43" s="50">
        <v>17.2</v>
      </c>
      <c r="W43" s="50">
        <v>17.2</v>
      </c>
      <c r="X43" s="50">
        <v>17.2</v>
      </c>
      <c r="Y43" s="50">
        <v>17.2</v>
      </c>
      <c r="Z43" s="50">
        <v>17.2</v>
      </c>
      <c r="AA43" s="50">
        <v>17.2</v>
      </c>
      <c r="AB43" s="50">
        <v>17.2</v>
      </c>
      <c r="AC43" s="50">
        <v>17.2</v>
      </c>
      <c r="AD43" s="50">
        <v>17.2</v>
      </c>
      <c r="AE43" s="63">
        <v>12</v>
      </c>
      <c r="AF43" s="63">
        <v>13.4</v>
      </c>
      <c r="AG43" s="69">
        <v>24</v>
      </c>
      <c r="AH43" s="56">
        <f t="shared" si="2"/>
        <v>17.600000000000001</v>
      </c>
      <c r="AI43" s="57">
        <f t="shared" si="3"/>
        <v>12</v>
      </c>
      <c r="AK43" s="58"/>
    </row>
    <row r="44" spans="1:88" x14ac:dyDescent="0.25">
      <c r="A44" s="68" t="s">
        <v>52</v>
      </c>
      <c r="B44" s="63">
        <v>2.5</v>
      </c>
      <c r="C44" s="63">
        <v>2.5</v>
      </c>
      <c r="D44" s="63">
        <v>2.5</v>
      </c>
      <c r="E44" s="63">
        <v>2.5</v>
      </c>
      <c r="F44" s="63">
        <v>2.5</v>
      </c>
      <c r="G44" s="63">
        <v>2.5</v>
      </c>
      <c r="H44" s="63">
        <v>2.5</v>
      </c>
      <c r="I44" s="63">
        <v>2.5</v>
      </c>
      <c r="J44" s="63">
        <v>2.5</v>
      </c>
      <c r="K44" s="63">
        <v>2.5</v>
      </c>
      <c r="L44" s="50">
        <v>2.5</v>
      </c>
      <c r="M44" s="50">
        <v>2.5</v>
      </c>
      <c r="N44" s="50">
        <v>1.9</v>
      </c>
      <c r="O44" s="50">
        <v>1.9</v>
      </c>
      <c r="P44" s="50">
        <v>1.9</v>
      </c>
      <c r="Q44" s="50">
        <v>0</v>
      </c>
      <c r="R44" s="50">
        <v>0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9">
        <v>15</v>
      </c>
      <c r="AH44" s="56">
        <f t="shared" si="2"/>
        <v>3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10</v>
      </c>
      <c r="C45" s="63">
        <v>10</v>
      </c>
      <c r="D45" s="63">
        <v>10</v>
      </c>
      <c r="E45" s="63">
        <v>10</v>
      </c>
      <c r="F45" s="63">
        <v>10</v>
      </c>
      <c r="G45" s="63">
        <v>10</v>
      </c>
      <c r="H45" s="63">
        <v>10</v>
      </c>
      <c r="I45" s="63">
        <v>10</v>
      </c>
      <c r="J45" s="63">
        <v>10</v>
      </c>
      <c r="K45" s="63">
        <v>10</v>
      </c>
      <c r="L45" s="50">
        <v>10</v>
      </c>
      <c r="M45" s="50">
        <v>10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63">
        <v>13</v>
      </c>
      <c r="AF45" s="63">
        <v>10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63">
        <v>7</v>
      </c>
      <c r="C46" s="75">
        <v>7</v>
      </c>
      <c r="D46" s="75">
        <v>7</v>
      </c>
      <c r="E46" s="75">
        <v>7</v>
      </c>
      <c r="F46" s="75">
        <v>7</v>
      </c>
      <c r="G46" s="75">
        <v>7</v>
      </c>
      <c r="H46" s="75">
        <v>7</v>
      </c>
      <c r="I46" s="75">
        <v>7</v>
      </c>
      <c r="J46" s="75">
        <v>7</v>
      </c>
      <c r="K46" s="75">
        <v>7</v>
      </c>
      <c r="L46" s="50">
        <v>7</v>
      </c>
      <c r="M46" s="50">
        <v>10</v>
      </c>
      <c r="N46" s="50">
        <v>10</v>
      </c>
      <c r="O46" s="50">
        <v>10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5</v>
      </c>
      <c r="AB46" s="50">
        <v>5</v>
      </c>
      <c r="AC46" s="50">
        <v>5</v>
      </c>
      <c r="AD46" s="50">
        <v>5</v>
      </c>
      <c r="AE46" s="50">
        <v>5</v>
      </c>
      <c r="AF46" s="50">
        <v>5</v>
      </c>
      <c r="AG46" s="69">
        <v>14</v>
      </c>
      <c r="AH46" s="56">
        <f t="shared" si="2"/>
        <v>14</v>
      </c>
      <c r="AI46" s="57">
        <f t="shared" si="3"/>
        <v>5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9.9</v>
      </c>
      <c r="Y47" s="50">
        <v>9.9</v>
      </c>
      <c r="Z47" s="50">
        <v>9.9</v>
      </c>
      <c r="AA47" s="50">
        <v>9.9</v>
      </c>
      <c r="AB47" s="50">
        <v>9.9</v>
      </c>
      <c r="AC47" s="50">
        <v>9.9</v>
      </c>
      <c r="AD47" s="50">
        <v>9.9</v>
      </c>
      <c r="AE47" s="50">
        <v>9.9</v>
      </c>
      <c r="AF47" s="50">
        <v>9.9</v>
      </c>
      <c r="AG47" s="69">
        <v>10.050000000000001</v>
      </c>
      <c r="AH47" s="56">
        <f t="shared" si="2"/>
        <v>9.9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4.8</v>
      </c>
      <c r="C48" s="63">
        <v>4.8</v>
      </c>
      <c r="D48" s="63">
        <v>4.8</v>
      </c>
      <c r="E48" s="63">
        <v>4.8</v>
      </c>
      <c r="F48" s="63">
        <v>4.8</v>
      </c>
      <c r="G48" s="63">
        <v>4.8</v>
      </c>
      <c r="H48" s="63">
        <v>4.8</v>
      </c>
      <c r="I48" s="63">
        <v>4.8</v>
      </c>
      <c r="J48" s="63">
        <v>4.8</v>
      </c>
      <c r="K48" s="63">
        <v>4.8</v>
      </c>
      <c r="L48" s="50">
        <v>5.8</v>
      </c>
      <c r="M48" s="50">
        <v>5.8</v>
      </c>
      <c r="N48" s="50">
        <v>5.8</v>
      </c>
      <c r="O48" s="50">
        <v>5.8</v>
      </c>
      <c r="P48" s="50">
        <v>5.8</v>
      </c>
      <c r="Q48" s="50">
        <v>5.8</v>
      </c>
      <c r="R48" s="50">
        <v>5.8</v>
      </c>
      <c r="S48" s="50">
        <v>5.8</v>
      </c>
      <c r="T48" s="50">
        <v>5.8</v>
      </c>
      <c r="U48" s="50">
        <v>5.8</v>
      </c>
      <c r="V48" s="50">
        <v>5.8</v>
      </c>
      <c r="W48" s="50">
        <v>5.8</v>
      </c>
      <c r="X48" s="50">
        <v>5.8</v>
      </c>
      <c r="Y48" s="50">
        <v>5.8</v>
      </c>
      <c r="Z48" s="50">
        <v>5.8</v>
      </c>
      <c r="AA48" s="50">
        <v>5.8</v>
      </c>
      <c r="AB48" s="50">
        <v>5.8</v>
      </c>
      <c r="AC48" s="50">
        <v>5.8</v>
      </c>
      <c r="AD48" s="50">
        <v>5.8</v>
      </c>
      <c r="AE48" s="50">
        <v>5.8</v>
      </c>
      <c r="AF48" s="50">
        <v>5.8</v>
      </c>
      <c r="AG48" s="69">
        <v>6.2</v>
      </c>
      <c r="AH48" s="56">
        <f t="shared" si="2"/>
        <v>5.8</v>
      </c>
      <c r="AI48" s="57">
        <f t="shared" si="3"/>
        <v>4.8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>SUM(B37:B49)</f>
        <v>263.84000000000003</v>
      </c>
      <c r="C50" s="74">
        <f t="shared" ref="C50:AF50" si="6">SUM(C37:C49)</f>
        <v>267.84000000000003</v>
      </c>
      <c r="D50" s="74">
        <f t="shared" si="6"/>
        <v>240.84</v>
      </c>
      <c r="E50" s="74">
        <f t="shared" si="6"/>
        <v>263.33999999999997</v>
      </c>
      <c r="F50" s="74">
        <f t="shared" si="6"/>
        <v>263.33999999999997</v>
      </c>
      <c r="G50" s="74">
        <f t="shared" si="6"/>
        <v>273.34000000000003</v>
      </c>
      <c r="H50" s="74">
        <f t="shared" si="6"/>
        <v>283.24000000000007</v>
      </c>
      <c r="I50" s="74">
        <f t="shared" si="6"/>
        <v>288.74</v>
      </c>
      <c r="J50" s="74">
        <f t="shared" si="6"/>
        <v>325.34000000000009</v>
      </c>
      <c r="K50" s="74">
        <f t="shared" si="6"/>
        <v>330.44000000000011</v>
      </c>
      <c r="L50" s="74">
        <f t="shared" si="6"/>
        <v>346.74000000000007</v>
      </c>
      <c r="M50" s="74">
        <f t="shared" si="6"/>
        <v>380.84000000000009</v>
      </c>
      <c r="N50" s="74">
        <f t="shared" si="6"/>
        <v>382.04</v>
      </c>
      <c r="O50" s="74">
        <f t="shared" si="6"/>
        <v>362.23999999999995</v>
      </c>
      <c r="P50" s="74">
        <f t="shared" si="6"/>
        <v>312.84000000000003</v>
      </c>
      <c r="Q50" s="74">
        <f t="shared" si="6"/>
        <v>307.14</v>
      </c>
      <c r="R50" s="74">
        <f t="shared" si="6"/>
        <v>316.84000000000003</v>
      </c>
      <c r="S50" s="74">
        <f t="shared" si="6"/>
        <v>236.94</v>
      </c>
      <c r="T50" s="74">
        <f t="shared" si="6"/>
        <v>262.14000000000004</v>
      </c>
      <c r="U50" s="74">
        <f t="shared" si="6"/>
        <v>301.34000000000003</v>
      </c>
      <c r="V50" s="74">
        <f t="shared" si="6"/>
        <v>310.74</v>
      </c>
      <c r="W50" s="74">
        <f t="shared" si="6"/>
        <v>314.33999999999997</v>
      </c>
      <c r="X50" s="74">
        <f t="shared" si="6"/>
        <v>322.04000000000002</v>
      </c>
      <c r="Y50" s="74">
        <f t="shared" si="6"/>
        <v>321.94</v>
      </c>
      <c r="Z50" s="74">
        <f t="shared" si="6"/>
        <v>307.64000000000004</v>
      </c>
      <c r="AA50" s="74">
        <f t="shared" si="6"/>
        <v>329.53999999999996</v>
      </c>
      <c r="AB50" s="74">
        <f t="shared" si="6"/>
        <v>341.44</v>
      </c>
      <c r="AC50" s="74">
        <f t="shared" si="6"/>
        <v>312.14000000000004</v>
      </c>
      <c r="AD50" s="74">
        <f t="shared" si="6"/>
        <v>289.34000000000003</v>
      </c>
      <c r="AE50" s="74">
        <f t="shared" si="6"/>
        <v>266.84000000000003</v>
      </c>
      <c r="AF50" s="74">
        <f t="shared" si="6"/>
        <v>263.04000000000008</v>
      </c>
      <c r="AG50" s="79">
        <f>SUM(AG37:AG49)</f>
        <v>489.91</v>
      </c>
      <c r="AH50" s="56">
        <f t="shared" si="2"/>
        <v>382.04</v>
      </c>
      <c r="AI50" s="57">
        <f t="shared" si="3"/>
        <v>236.94</v>
      </c>
      <c r="AJ50" s="1">
        <f>AVERAGE(B50:AF50)</f>
        <v>302.85290322580653</v>
      </c>
      <c r="AK50" s="185">
        <f>(430-AJ50)*24</f>
        <v>3051.5303225806433</v>
      </c>
    </row>
    <row r="51" spans="1:37" x14ac:dyDescent="0.25">
      <c r="A51" s="59" t="s">
        <v>59</v>
      </c>
      <c r="B51" s="50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13.9</v>
      </c>
      <c r="V51" s="50">
        <v>13.9</v>
      </c>
      <c r="W51" s="50">
        <v>14.6</v>
      </c>
      <c r="X51" s="50">
        <v>25.6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25.6</v>
      </c>
      <c r="AI51" s="57">
        <f t="shared" si="3"/>
        <v>0</v>
      </c>
      <c r="AK51" s="58"/>
    </row>
    <row r="52" spans="1:37" x14ac:dyDescent="0.25">
      <c r="A52" s="68" t="s">
        <v>60</v>
      </c>
      <c r="B52" s="52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52">
        <v>0</v>
      </c>
      <c r="R52" s="50">
        <v>0</v>
      </c>
      <c r="S52" s="50">
        <v>0</v>
      </c>
      <c r="T52" s="50">
        <v>0</v>
      </c>
      <c r="U52" s="52">
        <v>5.0999999999999996</v>
      </c>
      <c r="V52" s="52">
        <v>5.0999999999999996</v>
      </c>
      <c r="W52" s="52">
        <v>8</v>
      </c>
      <c r="X52" s="52">
        <v>6.5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8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82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2">
        <v>0</v>
      </c>
      <c r="R53" s="50">
        <v>0</v>
      </c>
      <c r="S53" s="50">
        <v>0</v>
      </c>
      <c r="T53" s="50">
        <v>0</v>
      </c>
      <c r="U53" s="82">
        <v>2</v>
      </c>
      <c r="V53" s="82">
        <v>2</v>
      </c>
      <c r="W53" s="82">
        <v>3</v>
      </c>
      <c r="X53" s="82">
        <v>2.4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3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21</v>
      </c>
      <c r="V54" s="74">
        <f t="shared" si="7"/>
        <v>21</v>
      </c>
      <c r="W54" s="74">
        <f t="shared" si="7"/>
        <v>25.6</v>
      </c>
      <c r="X54" s="74">
        <f t="shared" si="7"/>
        <v>34.5</v>
      </c>
      <c r="Y54" s="74">
        <f t="shared" si="7"/>
        <v>0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34.5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50">
        <v>0</v>
      </c>
      <c r="Y56" s="50">
        <v>0</v>
      </c>
      <c r="Z56" s="5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-26</v>
      </c>
      <c r="C57" s="52">
        <v>-55</v>
      </c>
      <c r="D57" s="52">
        <v>10.199999999999999</v>
      </c>
      <c r="E57" s="52">
        <v>-33.9</v>
      </c>
      <c r="F57" s="52">
        <v>0</v>
      </c>
      <c r="G57" s="52">
        <v>-25.1</v>
      </c>
      <c r="H57" s="50">
        <v>-41.4</v>
      </c>
      <c r="I57" s="50">
        <v>-27</v>
      </c>
      <c r="J57" s="50">
        <v>-37.299999999999997</v>
      </c>
      <c r="K57" s="50">
        <v>-28.5</v>
      </c>
      <c r="L57" s="52">
        <v>-29.9</v>
      </c>
      <c r="M57" s="52">
        <v>-49</v>
      </c>
      <c r="N57" s="52">
        <v>-87.1</v>
      </c>
      <c r="O57" s="52">
        <v>-98.7</v>
      </c>
      <c r="P57" s="52">
        <v>-37.5</v>
      </c>
      <c r="Q57" s="52">
        <v>-54</v>
      </c>
      <c r="R57" s="52">
        <v>-51.5</v>
      </c>
      <c r="S57" s="52">
        <v>-2.9</v>
      </c>
      <c r="T57" s="52">
        <v>-16.100000000000001</v>
      </c>
      <c r="U57" s="52">
        <v>-44</v>
      </c>
      <c r="V57" s="52">
        <v>-13.7</v>
      </c>
      <c r="W57" s="85">
        <v>-1.2</v>
      </c>
      <c r="X57" s="52">
        <v>-50.4</v>
      </c>
      <c r="Y57" s="52">
        <v>-57.2</v>
      </c>
      <c r="Z57" s="52">
        <v>-3</v>
      </c>
      <c r="AA57" s="52">
        <v>-35</v>
      </c>
      <c r="AB57" s="52">
        <v>-29</v>
      </c>
      <c r="AC57" s="52">
        <v>-20.3</v>
      </c>
      <c r="AD57" s="52">
        <v>-51.4</v>
      </c>
      <c r="AE57" s="52">
        <v>-18.7</v>
      </c>
      <c r="AF57" s="52">
        <v>-49.6</v>
      </c>
      <c r="AG57" s="86"/>
      <c r="AH57" s="56">
        <f t="shared" si="2"/>
        <v>10.199999999999999</v>
      </c>
      <c r="AI57" s="57">
        <f t="shared" si="3"/>
        <v>-98.7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5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6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2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5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5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-26</v>
      </c>
      <c r="C66" s="74">
        <f t="shared" ref="C66:AF66" si="8">SUM(C55:C65)</f>
        <v>-55</v>
      </c>
      <c r="D66" s="74">
        <f t="shared" si="8"/>
        <v>10.199999999999999</v>
      </c>
      <c r="E66" s="74">
        <f t="shared" si="8"/>
        <v>-33.9</v>
      </c>
      <c r="F66" s="74">
        <f t="shared" si="8"/>
        <v>0</v>
      </c>
      <c r="G66" s="74">
        <f t="shared" si="8"/>
        <v>-25.1</v>
      </c>
      <c r="H66" s="74">
        <f t="shared" si="8"/>
        <v>-41.4</v>
      </c>
      <c r="I66" s="74">
        <f t="shared" si="8"/>
        <v>-27</v>
      </c>
      <c r="J66" s="74">
        <f t="shared" si="8"/>
        <v>-37.299999999999997</v>
      </c>
      <c r="K66" s="74">
        <f t="shared" si="8"/>
        <v>-28.5</v>
      </c>
      <c r="L66" s="74">
        <f t="shared" si="8"/>
        <v>-29.9</v>
      </c>
      <c r="M66" s="74">
        <f t="shared" si="8"/>
        <v>-49</v>
      </c>
      <c r="N66" s="74">
        <f t="shared" si="8"/>
        <v>-87.1</v>
      </c>
      <c r="O66" s="74">
        <f t="shared" si="8"/>
        <v>-98.7</v>
      </c>
      <c r="P66" s="74">
        <f t="shared" si="8"/>
        <v>-37.5</v>
      </c>
      <c r="Q66" s="74">
        <f t="shared" si="8"/>
        <v>-54</v>
      </c>
      <c r="R66" s="74">
        <f t="shared" si="8"/>
        <v>-51.5</v>
      </c>
      <c r="S66" s="74">
        <f t="shared" si="8"/>
        <v>-2.9</v>
      </c>
      <c r="T66" s="74">
        <f t="shared" si="8"/>
        <v>-16.100000000000001</v>
      </c>
      <c r="U66" s="74">
        <f t="shared" si="8"/>
        <v>-44</v>
      </c>
      <c r="V66" s="74">
        <f t="shared" si="8"/>
        <v>-13.7</v>
      </c>
      <c r="W66" s="74">
        <f t="shared" si="8"/>
        <v>-1.2</v>
      </c>
      <c r="X66" s="74">
        <f t="shared" si="8"/>
        <v>-50.4</v>
      </c>
      <c r="Y66" s="74">
        <f t="shared" si="8"/>
        <v>-57.2</v>
      </c>
      <c r="Z66" s="74">
        <f t="shared" si="8"/>
        <v>-3</v>
      </c>
      <c r="AA66" s="74">
        <f t="shared" si="8"/>
        <v>-35</v>
      </c>
      <c r="AB66" s="74">
        <f t="shared" si="8"/>
        <v>-29</v>
      </c>
      <c r="AC66" s="74">
        <f t="shared" si="8"/>
        <v>-20.3</v>
      </c>
      <c r="AD66" s="74">
        <f t="shared" si="8"/>
        <v>-51.4</v>
      </c>
      <c r="AE66" s="74">
        <f t="shared" si="8"/>
        <v>-18.7</v>
      </c>
      <c r="AF66" s="74">
        <f t="shared" si="8"/>
        <v>-49.6</v>
      </c>
      <c r="AG66" s="79">
        <f>SUM(AG55:AG65)</f>
        <v>0</v>
      </c>
      <c r="AH66" s="56">
        <f t="shared" si="2"/>
        <v>10.199999999999999</v>
      </c>
      <c r="AI66" s="57">
        <f t="shared" si="3"/>
        <v>-98.7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5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860.64</v>
      </c>
      <c r="C71" s="90">
        <f t="shared" ref="C71:AG71" si="10">C66+C54+C50+C36+C70</f>
        <v>835.64</v>
      </c>
      <c r="D71" s="90">
        <f t="shared" si="10"/>
        <v>804.83999999999992</v>
      </c>
      <c r="E71" s="90">
        <f t="shared" si="10"/>
        <v>803.2399999999999</v>
      </c>
      <c r="F71" s="90">
        <f t="shared" si="10"/>
        <v>837.13999999999987</v>
      </c>
      <c r="G71" s="90">
        <f t="shared" si="10"/>
        <v>862.04</v>
      </c>
      <c r="H71" s="90">
        <f t="shared" si="10"/>
        <v>885.64</v>
      </c>
      <c r="I71" s="90">
        <f t="shared" si="10"/>
        <v>905.54</v>
      </c>
      <c r="J71" s="90">
        <f t="shared" si="10"/>
        <v>931.84</v>
      </c>
      <c r="K71" s="90">
        <f t="shared" si="10"/>
        <v>965.74</v>
      </c>
      <c r="L71" s="90">
        <f t="shared" si="10"/>
        <v>922.04000000000019</v>
      </c>
      <c r="M71" s="90">
        <f t="shared" si="10"/>
        <v>987.34000000000015</v>
      </c>
      <c r="N71" s="90">
        <f t="shared" si="10"/>
        <v>931.1400000000001</v>
      </c>
      <c r="O71" s="90">
        <f t="shared" si="10"/>
        <v>909.24</v>
      </c>
      <c r="P71" s="90">
        <f t="shared" si="10"/>
        <v>896.34</v>
      </c>
      <c r="Q71" s="90">
        <f t="shared" si="10"/>
        <v>873.43999999999994</v>
      </c>
      <c r="R71" s="90">
        <f t="shared" si="10"/>
        <v>885.74</v>
      </c>
      <c r="S71" s="90">
        <f t="shared" si="10"/>
        <v>869.43999999999994</v>
      </c>
      <c r="T71" s="90">
        <f t="shared" si="10"/>
        <v>922.44</v>
      </c>
      <c r="U71" s="90">
        <f t="shared" si="10"/>
        <v>964.74</v>
      </c>
      <c r="V71" s="90">
        <f t="shared" si="10"/>
        <v>1044.44</v>
      </c>
      <c r="W71" s="90">
        <f t="shared" si="10"/>
        <v>1115.04</v>
      </c>
      <c r="X71" s="90">
        <f t="shared" si="10"/>
        <v>1082.54</v>
      </c>
      <c r="Y71" s="90">
        <f t="shared" si="10"/>
        <v>1061.1399999999999</v>
      </c>
      <c r="Z71" s="90">
        <f t="shared" si="10"/>
        <v>1061.04</v>
      </c>
      <c r="AA71" s="90">
        <f t="shared" si="10"/>
        <v>1051.54</v>
      </c>
      <c r="AB71" s="90">
        <f t="shared" si="10"/>
        <v>1012.54</v>
      </c>
      <c r="AC71" s="90">
        <f t="shared" si="10"/>
        <v>947.44</v>
      </c>
      <c r="AD71" s="90">
        <f t="shared" si="10"/>
        <v>867.74</v>
      </c>
      <c r="AE71" s="90">
        <f t="shared" si="10"/>
        <v>807.04</v>
      </c>
      <c r="AF71" s="90">
        <f t="shared" si="10"/>
        <v>790.24</v>
      </c>
      <c r="AG71" s="90">
        <f t="shared" si="10"/>
        <v>2083.14</v>
      </c>
      <c r="AH71" s="56">
        <f t="shared" si="2"/>
        <v>1115.04</v>
      </c>
      <c r="AI71" s="57">
        <f t="shared" si="3"/>
        <v>790.24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>
        <v>10</v>
      </c>
      <c r="O72" s="92">
        <v>10</v>
      </c>
      <c r="P72" s="92">
        <v>10</v>
      </c>
      <c r="Q72" s="92">
        <v>10</v>
      </c>
      <c r="R72" s="92">
        <v>10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10</v>
      </c>
      <c r="AI72" s="57">
        <f t="shared" si="3"/>
        <v>10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B70+B66+B54+B50+B36+B72</f>
        <v>860.64</v>
      </c>
      <c r="C73" s="90">
        <f t="shared" ref="C73:AF73" si="11">C70+C66+C54+C50+C36+C72</f>
        <v>835.64</v>
      </c>
      <c r="D73" s="90">
        <f t="shared" si="11"/>
        <v>804.83999999999992</v>
      </c>
      <c r="E73" s="90">
        <f t="shared" si="11"/>
        <v>803.2399999999999</v>
      </c>
      <c r="F73" s="90">
        <f t="shared" si="11"/>
        <v>837.13999999999987</v>
      </c>
      <c r="G73" s="90">
        <f t="shared" si="11"/>
        <v>862.04</v>
      </c>
      <c r="H73" s="90">
        <f t="shared" si="11"/>
        <v>885.64</v>
      </c>
      <c r="I73" s="90">
        <f t="shared" si="11"/>
        <v>905.54</v>
      </c>
      <c r="J73" s="90">
        <f t="shared" si="11"/>
        <v>931.84</v>
      </c>
      <c r="K73" s="90">
        <f t="shared" si="11"/>
        <v>965.74</v>
      </c>
      <c r="L73" s="90">
        <f t="shared" si="11"/>
        <v>922.04000000000019</v>
      </c>
      <c r="M73" s="90">
        <f t="shared" si="11"/>
        <v>987.34000000000015</v>
      </c>
      <c r="N73" s="90">
        <f t="shared" si="11"/>
        <v>941.1400000000001</v>
      </c>
      <c r="O73" s="90">
        <f t="shared" si="11"/>
        <v>919.24</v>
      </c>
      <c r="P73" s="90">
        <f t="shared" si="11"/>
        <v>906.34</v>
      </c>
      <c r="Q73" s="90">
        <f t="shared" si="11"/>
        <v>883.43999999999994</v>
      </c>
      <c r="R73" s="90">
        <f t="shared" si="11"/>
        <v>895.74</v>
      </c>
      <c r="S73" s="90">
        <f t="shared" si="11"/>
        <v>869.43999999999994</v>
      </c>
      <c r="T73" s="90">
        <f t="shared" si="11"/>
        <v>922.44</v>
      </c>
      <c r="U73" s="90">
        <f t="shared" si="11"/>
        <v>964.74</v>
      </c>
      <c r="V73" s="90">
        <f t="shared" si="11"/>
        <v>1044.44</v>
      </c>
      <c r="W73" s="90">
        <f t="shared" si="11"/>
        <v>1115.04</v>
      </c>
      <c r="X73" s="90">
        <f t="shared" si="11"/>
        <v>1082.54</v>
      </c>
      <c r="Y73" s="90">
        <f t="shared" si="11"/>
        <v>1061.1399999999999</v>
      </c>
      <c r="Z73" s="90">
        <f t="shared" si="11"/>
        <v>1061.04</v>
      </c>
      <c r="AA73" s="90">
        <f t="shared" si="11"/>
        <v>1051.54</v>
      </c>
      <c r="AB73" s="90">
        <f t="shared" si="11"/>
        <v>1012.54</v>
      </c>
      <c r="AC73" s="90">
        <f t="shared" si="11"/>
        <v>947.44</v>
      </c>
      <c r="AD73" s="90">
        <f t="shared" si="11"/>
        <v>867.74</v>
      </c>
      <c r="AE73" s="90">
        <f t="shared" si="11"/>
        <v>807.04</v>
      </c>
      <c r="AF73" s="90">
        <f t="shared" si="11"/>
        <v>790.24</v>
      </c>
      <c r="AG73" s="79">
        <f>AG70+AG66+AG54+AG50+AG36+AG72</f>
        <v>2083.14</v>
      </c>
      <c r="AH73" s="56">
        <f t="shared" si="2"/>
        <v>1115.04</v>
      </c>
      <c r="AI73" s="57">
        <f t="shared" si="3"/>
        <v>790.24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26</v>
      </c>
      <c r="C77" s="60">
        <f t="shared" ref="C77:AF77" si="15">IF(C57&lt;0,C57*-1,0)</f>
        <v>55</v>
      </c>
      <c r="D77" s="60">
        <f t="shared" si="15"/>
        <v>0</v>
      </c>
      <c r="E77" s="60">
        <f t="shared" si="15"/>
        <v>33.9</v>
      </c>
      <c r="F77" s="60">
        <f t="shared" si="15"/>
        <v>0</v>
      </c>
      <c r="G77" s="60">
        <f t="shared" si="15"/>
        <v>25.1</v>
      </c>
      <c r="H77" s="60">
        <f t="shared" si="15"/>
        <v>41.4</v>
      </c>
      <c r="I77" s="60">
        <f t="shared" si="15"/>
        <v>27</v>
      </c>
      <c r="J77" s="60">
        <f t="shared" si="15"/>
        <v>37.299999999999997</v>
      </c>
      <c r="K77" s="60">
        <f t="shared" si="15"/>
        <v>28.5</v>
      </c>
      <c r="L77" s="60">
        <f t="shared" si="15"/>
        <v>29.9</v>
      </c>
      <c r="M77" s="60">
        <f t="shared" si="15"/>
        <v>49</v>
      </c>
      <c r="N77" s="60">
        <f t="shared" si="15"/>
        <v>87.1</v>
      </c>
      <c r="O77" s="60">
        <f t="shared" si="15"/>
        <v>98.7</v>
      </c>
      <c r="P77" s="60">
        <f t="shared" si="15"/>
        <v>37.5</v>
      </c>
      <c r="Q77" s="60">
        <f t="shared" si="15"/>
        <v>54</v>
      </c>
      <c r="R77" s="60">
        <f t="shared" si="15"/>
        <v>51.5</v>
      </c>
      <c r="S77" s="60">
        <f t="shared" si="15"/>
        <v>2.9</v>
      </c>
      <c r="T77" s="60">
        <f t="shared" si="15"/>
        <v>16.100000000000001</v>
      </c>
      <c r="U77" s="60">
        <f t="shared" si="15"/>
        <v>44</v>
      </c>
      <c r="V77" s="60">
        <f t="shared" si="15"/>
        <v>13.7</v>
      </c>
      <c r="W77" s="60">
        <f t="shared" si="15"/>
        <v>1.2</v>
      </c>
      <c r="X77" s="60">
        <f t="shared" si="15"/>
        <v>50.4</v>
      </c>
      <c r="Y77" s="60">
        <f t="shared" si="15"/>
        <v>57.2</v>
      </c>
      <c r="Z77" s="60">
        <f t="shared" si="15"/>
        <v>3</v>
      </c>
      <c r="AA77" s="60">
        <f t="shared" si="15"/>
        <v>35</v>
      </c>
      <c r="AB77" s="60">
        <f t="shared" si="15"/>
        <v>29</v>
      </c>
      <c r="AC77" s="60">
        <f t="shared" si="15"/>
        <v>20.3</v>
      </c>
      <c r="AD77" s="60">
        <f t="shared" si="15"/>
        <v>51.4</v>
      </c>
      <c r="AE77" s="60">
        <f t="shared" si="15"/>
        <v>18.7</v>
      </c>
      <c r="AF77" s="60">
        <f t="shared" si="15"/>
        <v>49.6</v>
      </c>
      <c r="AG77" s="93"/>
      <c r="AH77" s="56">
        <f t="shared" ref="AH77:AH89" si="16">MAX(B77:AF77)</f>
        <v>98.7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>SUM(B74:B79)</f>
        <v>26</v>
      </c>
      <c r="C80" s="74">
        <f t="shared" ref="C80:AG80" si="19">SUM(C74:C79)</f>
        <v>55</v>
      </c>
      <c r="D80" s="74">
        <f t="shared" si="19"/>
        <v>0</v>
      </c>
      <c r="E80" s="74">
        <f t="shared" si="19"/>
        <v>33.9</v>
      </c>
      <c r="F80" s="74">
        <f t="shared" si="19"/>
        <v>0</v>
      </c>
      <c r="G80" s="74">
        <f t="shared" si="19"/>
        <v>25.1</v>
      </c>
      <c r="H80" s="74">
        <f t="shared" si="19"/>
        <v>41.4</v>
      </c>
      <c r="I80" s="74">
        <f t="shared" si="19"/>
        <v>27</v>
      </c>
      <c r="J80" s="74">
        <f t="shared" si="19"/>
        <v>37.299999999999997</v>
      </c>
      <c r="K80" s="74">
        <f t="shared" si="19"/>
        <v>28.5</v>
      </c>
      <c r="L80" s="74">
        <f t="shared" si="19"/>
        <v>29.9</v>
      </c>
      <c r="M80" s="74">
        <f t="shared" si="19"/>
        <v>49</v>
      </c>
      <c r="N80" s="74">
        <f t="shared" si="19"/>
        <v>87.1</v>
      </c>
      <c r="O80" s="74">
        <f t="shared" si="19"/>
        <v>98.7</v>
      </c>
      <c r="P80" s="74">
        <f t="shared" si="19"/>
        <v>37.5</v>
      </c>
      <c r="Q80" s="74">
        <f t="shared" si="19"/>
        <v>54</v>
      </c>
      <c r="R80" s="74">
        <f t="shared" si="19"/>
        <v>51.5</v>
      </c>
      <c r="S80" s="74">
        <f t="shared" si="19"/>
        <v>2.9</v>
      </c>
      <c r="T80" s="74">
        <f t="shared" si="19"/>
        <v>16.100000000000001</v>
      </c>
      <c r="U80" s="74">
        <f t="shared" si="19"/>
        <v>44</v>
      </c>
      <c r="V80" s="74">
        <f t="shared" si="19"/>
        <v>13.7</v>
      </c>
      <c r="W80" s="74">
        <f t="shared" si="19"/>
        <v>1.2</v>
      </c>
      <c r="X80" s="74">
        <f t="shared" si="19"/>
        <v>50.4</v>
      </c>
      <c r="Y80" s="74">
        <f t="shared" si="19"/>
        <v>57.2</v>
      </c>
      <c r="Z80" s="74">
        <f t="shared" si="19"/>
        <v>3</v>
      </c>
      <c r="AA80" s="74">
        <f t="shared" si="19"/>
        <v>35</v>
      </c>
      <c r="AB80" s="74">
        <f t="shared" si="19"/>
        <v>29</v>
      </c>
      <c r="AC80" s="74">
        <f t="shared" si="19"/>
        <v>20.3</v>
      </c>
      <c r="AD80" s="74">
        <f t="shared" si="19"/>
        <v>51.4</v>
      </c>
      <c r="AE80" s="74">
        <f t="shared" si="19"/>
        <v>18.7</v>
      </c>
      <c r="AF80" s="74">
        <f t="shared" si="19"/>
        <v>49.6</v>
      </c>
      <c r="AG80" s="79">
        <f t="shared" si="19"/>
        <v>0</v>
      </c>
      <c r="AH80" s="56">
        <f t="shared" si="16"/>
        <v>98.7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>SUM(B68:B80)</f>
        <v>1773.28</v>
      </c>
      <c r="C81" s="74">
        <f t="shared" ref="C81:AG81" si="20">SUM(C68:C80)</f>
        <v>1781.28</v>
      </c>
      <c r="D81" s="74">
        <f t="shared" si="20"/>
        <v>1609.6799999999998</v>
      </c>
      <c r="E81" s="74">
        <f t="shared" si="20"/>
        <v>1674.28</v>
      </c>
      <c r="F81" s="74">
        <f t="shared" si="20"/>
        <v>1674.2799999999997</v>
      </c>
      <c r="G81" s="74">
        <f t="shared" si="20"/>
        <v>1774.2799999999997</v>
      </c>
      <c r="H81" s="74">
        <f t="shared" si="20"/>
        <v>1854.0800000000002</v>
      </c>
      <c r="I81" s="74">
        <f t="shared" si="20"/>
        <v>1865.08</v>
      </c>
      <c r="J81" s="74">
        <f t="shared" si="20"/>
        <v>1938.28</v>
      </c>
      <c r="K81" s="74">
        <f t="shared" si="20"/>
        <v>1988.48</v>
      </c>
      <c r="L81" s="74">
        <f t="shared" si="20"/>
        <v>1903.8800000000006</v>
      </c>
      <c r="M81" s="74">
        <f t="shared" si="20"/>
        <v>2072.6800000000003</v>
      </c>
      <c r="N81" s="74">
        <f t="shared" si="20"/>
        <v>2056.48</v>
      </c>
      <c r="O81" s="74">
        <f t="shared" si="20"/>
        <v>2035.88</v>
      </c>
      <c r="P81" s="74">
        <f t="shared" si="20"/>
        <v>1887.68</v>
      </c>
      <c r="Q81" s="74">
        <f t="shared" si="20"/>
        <v>1874.8799999999999</v>
      </c>
      <c r="R81" s="74">
        <f t="shared" si="20"/>
        <v>1894.48</v>
      </c>
      <c r="S81" s="74">
        <f t="shared" si="20"/>
        <v>1744.68</v>
      </c>
      <c r="T81" s="74">
        <f t="shared" si="20"/>
        <v>1877.08</v>
      </c>
      <c r="U81" s="74">
        <f t="shared" si="20"/>
        <v>2017.48</v>
      </c>
      <c r="V81" s="74">
        <f t="shared" si="20"/>
        <v>2116.2799999999997</v>
      </c>
      <c r="W81" s="74">
        <f t="shared" si="20"/>
        <v>2232.4799999999996</v>
      </c>
      <c r="X81" s="74">
        <f t="shared" si="20"/>
        <v>2265.88</v>
      </c>
      <c r="Y81" s="74">
        <f t="shared" si="20"/>
        <v>2236.6799999999994</v>
      </c>
      <c r="Z81" s="74">
        <f t="shared" si="20"/>
        <v>2128.08</v>
      </c>
      <c r="AA81" s="74">
        <f t="shared" si="20"/>
        <v>2173.08</v>
      </c>
      <c r="AB81" s="74">
        <f t="shared" si="20"/>
        <v>2083.08</v>
      </c>
      <c r="AC81" s="74">
        <f t="shared" si="20"/>
        <v>1935.48</v>
      </c>
      <c r="AD81" s="74">
        <f t="shared" si="20"/>
        <v>1838.2800000000002</v>
      </c>
      <c r="AE81" s="74">
        <f t="shared" si="20"/>
        <v>1651.48</v>
      </c>
      <c r="AF81" s="74">
        <f t="shared" si="20"/>
        <v>1679.6799999999998</v>
      </c>
      <c r="AG81" s="79">
        <f t="shared" si="20"/>
        <v>4238.08</v>
      </c>
      <c r="AH81" s="56">
        <f t="shared" si="16"/>
        <v>2265.88</v>
      </c>
      <c r="AI81" s="57">
        <f t="shared" si="17"/>
        <v>1609.6799999999998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7">
        <v>49.92</v>
      </c>
      <c r="C82" s="96">
        <v>50</v>
      </c>
      <c r="D82" s="96">
        <v>50.000999999999998</v>
      </c>
      <c r="E82" s="96">
        <v>49.960999999999999</v>
      </c>
      <c r="F82" s="96">
        <v>50.006</v>
      </c>
      <c r="G82" s="96">
        <v>50.006999999999998</v>
      </c>
      <c r="H82" s="96">
        <v>50.011000000000003</v>
      </c>
      <c r="I82" s="96">
        <v>50.002000000000002</v>
      </c>
      <c r="J82" s="96">
        <v>50.002000000000002</v>
      </c>
      <c r="K82" s="96">
        <v>49.96</v>
      </c>
      <c r="L82" s="96">
        <v>50.017000000000003</v>
      </c>
      <c r="M82" s="96">
        <v>49.933</v>
      </c>
      <c r="N82" s="96">
        <v>50.036999999999999</v>
      </c>
      <c r="O82" s="96">
        <v>50.012999999999998</v>
      </c>
      <c r="P82" s="96">
        <v>50.042999999999999</v>
      </c>
      <c r="Q82" s="96">
        <v>50.029000000000003</v>
      </c>
      <c r="R82" s="96">
        <v>49.904000000000003</v>
      </c>
      <c r="S82" s="96">
        <v>49.96</v>
      </c>
      <c r="T82" s="96">
        <v>49.91</v>
      </c>
      <c r="U82" s="96">
        <v>49.99</v>
      </c>
      <c r="V82" s="96">
        <v>50.01</v>
      </c>
      <c r="W82" s="96">
        <v>49.88</v>
      </c>
      <c r="X82" s="96">
        <v>49.86</v>
      </c>
      <c r="Y82" s="96">
        <v>50.1</v>
      </c>
      <c r="Z82" s="96">
        <v>50.09</v>
      </c>
      <c r="AA82" s="96">
        <v>50.122</v>
      </c>
      <c r="AB82" s="96">
        <v>50.084000000000003</v>
      </c>
      <c r="AC82" s="96">
        <v>50.073</v>
      </c>
      <c r="AD82" s="96">
        <v>50.023000000000003</v>
      </c>
      <c r="AE82" s="96">
        <v>49.969000000000001</v>
      </c>
      <c r="AF82" s="97">
        <v>50.027999999999999</v>
      </c>
      <c r="AG82" s="98"/>
      <c r="AH82" s="56">
        <f t="shared" si="16"/>
        <v>50.122</v>
      </c>
      <c r="AI82" s="57">
        <f t="shared" si="17"/>
        <v>49.86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101">
        <v>123.8</v>
      </c>
      <c r="C83" s="52">
        <v>124.5</v>
      </c>
      <c r="D83" s="52">
        <v>125.8</v>
      </c>
      <c r="E83" s="52">
        <v>125.4</v>
      </c>
      <c r="F83" s="52">
        <v>125.1</v>
      </c>
      <c r="G83" s="52">
        <v>124.8</v>
      </c>
      <c r="H83" s="52">
        <v>124.4</v>
      </c>
      <c r="I83" s="52">
        <v>123.9</v>
      </c>
      <c r="J83" s="52">
        <v>123.9</v>
      </c>
      <c r="K83" s="52">
        <v>122.6</v>
      </c>
      <c r="L83" s="52">
        <v>123.6</v>
      </c>
      <c r="M83" s="52">
        <v>124.8</v>
      </c>
      <c r="N83" s="52">
        <v>125</v>
      </c>
      <c r="O83" s="52">
        <v>126.4</v>
      </c>
      <c r="P83" s="52">
        <v>126.9</v>
      </c>
      <c r="Q83" s="52">
        <v>126.1</v>
      </c>
      <c r="R83" s="52">
        <v>125.3</v>
      </c>
      <c r="S83" s="52">
        <v>122.8</v>
      </c>
      <c r="T83" s="52">
        <v>120.4</v>
      </c>
      <c r="U83" s="100">
        <v>122.7</v>
      </c>
      <c r="V83" s="100">
        <v>124.1</v>
      </c>
      <c r="W83" s="100">
        <v>125.7</v>
      </c>
      <c r="X83" s="100">
        <v>126.4</v>
      </c>
      <c r="Y83" s="100">
        <v>126.4</v>
      </c>
      <c r="Z83" s="100">
        <v>126.5</v>
      </c>
      <c r="AA83" s="52">
        <v>125.7</v>
      </c>
      <c r="AB83" s="52">
        <v>125.1</v>
      </c>
      <c r="AC83" s="52">
        <v>125.9</v>
      </c>
      <c r="AD83" s="52">
        <v>126.8</v>
      </c>
      <c r="AE83" s="52">
        <v>126.1</v>
      </c>
      <c r="AF83" s="101">
        <v>126.8</v>
      </c>
      <c r="AG83" s="102"/>
      <c r="AH83" s="56">
        <f t="shared" si="16"/>
        <v>126.9</v>
      </c>
      <c r="AI83" s="57">
        <f t="shared" si="17"/>
        <v>120.4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101">
        <v>128.5</v>
      </c>
      <c r="C84" s="52">
        <v>129.30000000000001</v>
      </c>
      <c r="D84" s="52">
        <v>130</v>
      </c>
      <c r="E84" s="52">
        <v>129.9</v>
      </c>
      <c r="F84" s="52">
        <v>129.6</v>
      </c>
      <c r="G84" s="52">
        <v>129.30000000000001</v>
      </c>
      <c r="H84" s="52">
        <v>128.69999999999999</v>
      </c>
      <c r="I84" s="52">
        <v>128</v>
      </c>
      <c r="J84" s="52">
        <v>128</v>
      </c>
      <c r="K84" s="52">
        <v>126.8</v>
      </c>
      <c r="L84" s="52">
        <v>127.5</v>
      </c>
      <c r="M84" s="52">
        <v>128</v>
      </c>
      <c r="N84" s="52">
        <v>128.6</v>
      </c>
      <c r="O84" s="52">
        <v>129.5</v>
      </c>
      <c r="P84" s="52">
        <v>130.1</v>
      </c>
      <c r="Q84" s="52">
        <v>129.5</v>
      </c>
      <c r="R84" s="52">
        <v>128.80000000000001</v>
      </c>
      <c r="S84" s="52">
        <v>122.8</v>
      </c>
      <c r="T84" s="52">
        <v>124.3</v>
      </c>
      <c r="U84" s="100">
        <v>126</v>
      </c>
      <c r="V84" s="100">
        <v>127.2</v>
      </c>
      <c r="W84" s="100">
        <v>128.80000000000001</v>
      </c>
      <c r="X84" s="100">
        <v>129.5</v>
      </c>
      <c r="Y84" s="100">
        <v>129.30000000000001</v>
      </c>
      <c r="Z84" s="100">
        <v>129.9</v>
      </c>
      <c r="AA84" s="52">
        <v>129.4</v>
      </c>
      <c r="AB84" s="52">
        <v>129.5</v>
      </c>
      <c r="AC84" s="52">
        <v>129.5</v>
      </c>
      <c r="AD84" s="52">
        <v>130.19999999999999</v>
      </c>
      <c r="AE84" s="52">
        <v>129.80000000000001</v>
      </c>
      <c r="AF84" s="101">
        <v>130.5</v>
      </c>
      <c r="AG84" s="102"/>
      <c r="AH84" s="56">
        <f t="shared" si="16"/>
        <v>130.5</v>
      </c>
      <c r="AI84" s="57">
        <f t="shared" si="17"/>
        <v>122.8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101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101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100"/>
      <c r="Y86" s="100"/>
      <c r="Z86" s="100"/>
      <c r="AA86" s="52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5">
        <v>135.4</v>
      </c>
      <c r="C87" s="104">
        <v>135.9</v>
      </c>
      <c r="D87" s="104">
        <v>135.19999999999999</v>
      </c>
      <c r="E87" s="104">
        <v>134.80000000000001</v>
      </c>
      <c r="F87" s="104">
        <v>133.1</v>
      </c>
      <c r="G87" s="104">
        <v>133.80000000000001</v>
      </c>
      <c r="H87" s="104">
        <v>133.5</v>
      </c>
      <c r="I87" s="104">
        <v>134</v>
      </c>
      <c r="J87" s="104">
        <v>134</v>
      </c>
      <c r="K87" s="104">
        <v>133.30000000000001</v>
      </c>
      <c r="L87" s="104">
        <v>131.6</v>
      </c>
      <c r="M87" s="104">
        <v>133</v>
      </c>
      <c r="N87" s="104">
        <v>135</v>
      </c>
      <c r="O87" s="104">
        <v>133.30000000000001</v>
      </c>
      <c r="P87" s="104">
        <v>134.1</v>
      </c>
      <c r="Q87" s="104">
        <v>134.80000000000001</v>
      </c>
      <c r="R87" s="104">
        <v>132.6</v>
      </c>
      <c r="S87" s="104">
        <v>133.30000000000001</v>
      </c>
      <c r="T87" s="104">
        <v>130.69999999999999</v>
      </c>
      <c r="U87" s="104">
        <v>135</v>
      </c>
      <c r="V87" s="104">
        <v>132.9</v>
      </c>
      <c r="W87" s="100">
        <v>134.1</v>
      </c>
      <c r="X87" s="100">
        <v>134.5</v>
      </c>
      <c r="Y87" s="100">
        <v>134.5</v>
      </c>
      <c r="Z87" s="100">
        <v>134.5</v>
      </c>
      <c r="AA87" s="104">
        <v>131.1</v>
      </c>
      <c r="AB87" s="104">
        <v>133.30000000000001</v>
      </c>
      <c r="AC87" s="104">
        <v>133.80000000000001</v>
      </c>
      <c r="AD87" s="104">
        <v>131.80000000000001</v>
      </c>
      <c r="AE87" s="104">
        <v>131.9</v>
      </c>
      <c r="AF87" s="105">
        <v>132.69999999999999</v>
      </c>
      <c r="AG87" s="106"/>
      <c r="AH87" s="56">
        <f t="shared" si="16"/>
        <v>135.9</v>
      </c>
      <c r="AI87" s="57">
        <f t="shared" si="17"/>
        <v>130.69999999999999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101">
        <v>134.30000000000001</v>
      </c>
      <c r="C88" s="52">
        <v>135.30000000000001</v>
      </c>
      <c r="D88" s="52">
        <v>132.6</v>
      </c>
      <c r="E88" s="52">
        <v>132.30000000000001</v>
      </c>
      <c r="F88" s="52">
        <v>131.5</v>
      </c>
      <c r="G88" s="52">
        <v>130.6</v>
      </c>
      <c r="H88" s="52">
        <v>129.80000000000001</v>
      </c>
      <c r="I88" s="52">
        <v>128.5</v>
      </c>
      <c r="J88" s="52">
        <v>128.5</v>
      </c>
      <c r="K88" s="52">
        <v>129.4</v>
      </c>
      <c r="L88" s="52">
        <v>128.80000000000001</v>
      </c>
      <c r="M88" s="52">
        <v>132.9</v>
      </c>
      <c r="N88" s="52">
        <v>134.19999999999999</v>
      </c>
      <c r="O88" s="52">
        <v>133.69999999999999</v>
      </c>
      <c r="P88" s="52">
        <v>134.4</v>
      </c>
      <c r="Q88" s="52">
        <v>135.19999999999999</v>
      </c>
      <c r="R88" s="52">
        <v>132.9</v>
      </c>
      <c r="S88" s="52">
        <v>133.9</v>
      </c>
      <c r="T88" s="52">
        <v>131.5</v>
      </c>
      <c r="U88" s="52">
        <v>135</v>
      </c>
      <c r="V88" s="52">
        <v>131.4</v>
      </c>
      <c r="W88" s="100">
        <v>129.69999999999999</v>
      </c>
      <c r="X88" s="100">
        <v>130.4</v>
      </c>
      <c r="Y88" s="100">
        <v>131.4</v>
      </c>
      <c r="Z88" s="100">
        <v>131.4</v>
      </c>
      <c r="AA88" s="52">
        <v>129.19999999999999</v>
      </c>
      <c r="AB88" s="52">
        <v>132.1</v>
      </c>
      <c r="AC88" s="52">
        <v>137.6</v>
      </c>
      <c r="AD88" s="52">
        <v>131.30000000000001</v>
      </c>
      <c r="AE88" s="52">
        <v>131.9</v>
      </c>
      <c r="AF88" s="101">
        <v>133.80000000000001</v>
      </c>
      <c r="AG88" s="102"/>
      <c r="AH88" s="56">
        <f t="shared" si="16"/>
        <v>137.6</v>
      </c>
      <c r="AI88" s="57">
        <f t="shared" si="17"/>
        <v>128.5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8">
        <v>65.5</v>
      </c>
      <c r="C89" s="107">
        <v>65.900000000000006</v>
      </c>
      <c r="D89" s="107">
        <v>66.5</v>
      </c>
      <c r="E89" s="107">
        <v>66.3</v>
      </c>
      <c r="F89" s="107">
        <v>66.099999999999994</v>
      </c>
      <c r="G89" s="107">
        <v>65.900000000000006</v>
      </c>
      <c r="H89" s="107">
        <v>65.900000000000006</v>
      </c>
      <c r="I89" s="107">
        <v>65.599999999999994</v>
      </c>
      <c r="J89" s="107">
        <v>65.599999999999994</v>
      </c>
      <c r="K89" s="107">
        <v>64.5</v>
      </c>
      <c r="L89" s="107">
        <v>65.099999999999994</v>
      </c>
      <c r="M89" s="107">
        <v>65.3</v>
      </c>
      <c r="N89" s="107">
        <v>65.599999999999994</v>
      </c>
      <c r="O89" s="107">
        <v>66.099999999999994</v>
      </c>
      <c r="P89" s="107">
        <v>66.5</v>
      </c>
      <c r="Q89" s="107">
        <v>66.2</v>
      </c>
      <c r="R89" s="107">
        <v>66</v>
      </c>
      <c r="S89" s="107">
        <v>64.8</v>
      </c>
      <c r="T89" s="107">
        <v>64.2</v>
      </c>
      <c r="U89" s="107">
        <v>65</v>
      </c>
      <c r="V89" s="107">
        <v>65.599999999999994</v>
      </c>
      <c r="W89" s="107">
        <v>66.3</v>
      </c>
      <c r="X89" s="107">
        <v>66.3</v>
      </c>
      <c r="Y89" s="107">
        <v>66.3</v>
      </c>
      <c r="Z89" s="107">
        <v>66.3</v>
      </c>
      <c r="AA89" s="107">
        <v>66.3</v>
      </c>
      <c r="AB89" s="107">
        <v>66.400000000000006</v>
      </c>
      <c r="AC89" s="107">
        <v>66.5</v>
      </c>
      <c r="AD89" s="107">
        <v>67</v>
      </c>
      <c r="AE89" s="107">
        <v>67</v>
      </c>
      <c r="AF89" s="108">
        <v>67.2</v>
      </c>
      <c r="AG89" s="109"/>
      <c r="AH89" s="56">
        <f t="shared" si="16"/>
        <v>67.2</v>
      </c>
      <c r="AI89" s="57">
        <f t="shared" si="17"/>
        <v>64.2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5">
        <f>SUM(B14,B17,B20:B21,B40,B42:B43,B45,B47,B92:B95,B100,B106,B112,B121,B123,B135,B142,B145:B146,B153,B155,B157,B161:B163,B165:B167,B172,B178:B179,B181:B183,B191,B196)</f>
        <v>122.64</v>
      </c>
      <c r="C91" s="114">
        <f t="shared" ref="C91:AF91" si="21">SUM(C14,C17,C20:C21,C40,C42:C43,C45,C47,C92:C95,C100,C106,C112,C121,C123,C135,C142,C145:C146,C153,C155,C157,C161:C163,C165:C167,C172,C178:C179,C181:C183,C191,C196)</f>
        <v>113.93999999999998</v>
      </c>
      <c r="D91" s="114">
        <f t="shared" si="21"/>
        <v>109.43999999999998</v>
      </c>
      <c r="E91" s="114">
        <f t="shared" si="21"/>
        <v>114.03999999999998</v>
      </c>
      <c r="F91" s="115">
        <f t="shared" si="21"/>
        <v>130.43999999999997</v>
      </c>
      <c r="G91" s="115">
        <f t="shared" si="21"/>
        <v>146.44</v>
      </c>
      <c r="H91" s="115">
        <f t="shared" si="21"/>
        <v>168.83999999999997</v>
      </c>
      <c r="I91" s="115">
        <f t="shared" si="21"/>
        <v>207.53999999999994</v>
      </c>
      <c r="J91" s="115">
        <f t="shared" si="21"/>
        <v>212.43999999999997</v>
      </c>
      <c r="K91" s="115">
        <f t="shared" si="21"/>
        <v>224.04000000000002</v>
      </c>
      <c r="L91" s="115">
        <f t="shared" si="21"/>
        <v>217.83999999999997</v>
      </c>
      <c r="M91" s="115">
        <f t="shared" si="21"/>
        <v>249.73999999999995</v>
      </c>
      <c r="N91" s="115">
        <f t="shared" si="21"/>
        <v>231.23999999999995</v>
      </c>
      <c r="O91" s="115">
        <f t="shared" si="21"/>
        <v>223.83999999999997</v>
      </c>
      <c r="P91" s="115">
        <f t="shared" si="21"/>
        <v>181.63999999999996</v>
      </c>
      <c r="Q91" s="115">
        <f t="shared" si="21"/>
        <v>193.03999999999996</v>
      </c>
      <c r="R91" s="115">
        <f t="shared" si="21"/>
        <v>183.14</v>
      </c>
      <c r="S91" s="115">
        <f t="shared" si="21"/>
        <v>193.92999999999995</v>
      </c>
      <c r="T91" s="115">
        <f t="shared" si="21"/>
        <v>205.73999999999998</v>
      </c>
      <c r="U91" s="115">
        <f t="shared" si="21"/>
        <v>218.23999999999998</v>
      </c>
      <c r="V91" s="115">
        <f t="shared" si="21"/>
        <v>265.14000000000004</v>
      </c>
      <c r="W91" s="115">
        <f>SUM(W14,W17,W20:W21,W40,W42:W43,W45,W47,W92:W95,W100,W106,W112,W121,W123,W135,W142,W145:W146,W153,W155,W157,W161:W163,W165:W167,W172,W178:W179,W181:W183,W191,W196)</f>
        <v>244.14</v>
      </c>
      <c r="X91" s="115">
        <f>SUM(X14,X17,X20:X21,X40,X42:X43,X45,X47,X92:X95,X100,X106,X112,X121,X123,X135,X142,X145:X146,X153,X155,X157,X161:X163,X165:X167,X172,X178:X179,X181:X183,X191,X196)</f>
        <v>223.13999999999996</v>
      </c>
      <c r="Y91" s="115">
        <f t="shared" si="21"/>
        <v>214.64</v>
      </c>
      <c r="Z91" s="115">
        <f t="shared" si="21"/>
        <v>195.73999999999998</v>
      </c>
      <c r="AA91" s="115">
        <f t="shared" si="21"/>
        <v>240.33999999999997</v>
      </c>
      <c r="AB91" s="115">
        <f t="shared" si="21"/>
        <v>221.94</v>
      </c>
      <c r="AC91" s="115">
        <f t="shared" si="21"/>
        <v>200.73999999999998</v>
      </c>
      <c r="AD91" s="115">
        <f t="shared" si="21"/>
        <v>158.63999999999996</v>
      </c>
      <c r="AE91" s="115">
        <f t="shared" si="21"/>
        <v>142.83999999999997</v>
      </c>
      <c r="AF91" s="115">
        <f t="shared" si="21"/>
        <v>117.94000000000001</v>
      </c>
      <c r="AG91" s="116"/>
      <c r="AH91" s="56">
        <f>MAX(B91:AF91)</f>
        <v>265.14000000000004</v>
      </c>
      <c r="AI91" s="57">
        <f>MIN(B91:AF91)</f>
        <v>109.43999999999998</v>
      </c>
    </row>
    <row r="92" spans="1:88" x14ac:dyDescent="0.25">
      <c r="A92" s="117" t="s">
        <v>96</v>
      </c>
      <c r="B92" s="119">
        <v>21.9</v>
      </c>
      <c r="C92" s="60">
        <v>30.8</v>
      </c>
      <c r="D92" s="60">
        <v>26.3</v>
      </c>
      <c r="E92" s="60">
        <v>30.2</v>
      </c>
      <c r="F92" s="118">
        <v>25.6</v>
      </c>
      <c r="G92" s="118">
        <v>25.8</v>
      </c>
      <c r="H92" s="118">
        <v>29.6</v>
      </c>
      <c r="I92" s="118">
        <v>42.6</v>
      </c>
      <c r="J92" s="118">
        <v>42.6</v>
      </c>
      <c r="K92" s="118">
        <v>45.2</v>
      </c>
      <c r="L92" s="54">
        <v>48.9</v>
      </c>
      <c r="M92" s="54">
        <v>52.7</v>
      </c>
      <c r="N92" s="118">
        <v>63.6</v>
      </c>
      <c r="O92" s="118">
        <v>56.5</v>
      </c>
      <c r="P92" s="118">
        <v>40.299999999999997</v>
      </c>
      <c r="Q92" s="118">
        <v>54.7</v>
      </c>
      <c r="R92" s="118">
        <v>45.9</v>
      </c>
      <c r="S92" s="118">
        <v>41.1</v>
      </c>
      <c r="T92" s="118">
        <v>45.5</v>
      </c>
      <c r="U92" s="54">
        <v>50.2</v>
      </c>
      <c r="V92" s="54">
        <v>55.9</v>
      </c>
      <c r="W92" s="54">
        <v>16.899999999999999</v>
      </c>
      <c r="X92" s="54">
        <v>22</v>
      </c>
      <c r="Y92" s="54">
        <v>19.8</v>
      </c>
      <c r="Z92" s="54">
        <v>28</v>
      </c>
      <c r="AA92" s="54">
        <v>24.2</v>
      </c>
      <c r="AB92" s="54">
        <v>40.4</v>
      </c>
      <c r="AC92" s="54">
        <v>40.700000000000003</v>
      </c>
      <c r="AD92" s="54">
        <v>30.5</v>
      </c>
      <c r="AE92" s="54">
        <v>31.1</v>
      </c>
      <c r="AF92" s="119">
        <v>29.7</v>
      </c>
      <c r="AG92" s="120">
        <v>75</v>
      </c>
      <c r="AH92" s="56">
        <f t="shared" ref="AH92:AH97" si="22">IF(ABS(MAX(B92:AF92))&gt;ABS(MIN(B92:AF92)),MAX(B92:AF92),MIN(B92:AF92))</f>
        <v>63.6</v>
      </c>
      <c r="AI92" s="121">
        <f t="shared" ref="AI92:AI97" si="23">INDEX($B$9:$AF$9,1,MATCH(AH92,B92:AF92,0))</f>
        <v>0.41666666666666702</v>
      </c>
    </row>
    <row r="93" spans="1:88" x14ac:dyDescent="0.25">
      <c r="A93" s="122" t="s">
        <v>97</v>
      </c>
      <c r="B93" s="123">
        <f>-40.2-47.9</f>
        <v>-88.1</v>
      </c>
      <c r="C93" s="62">
        <f>-40.7-47.8</f>
        <v>-88.5</v>
      </c>
      <c r="D93" s="62">
        <v>-84</v>
      </c>
      <c r="E93" s="62">
        <v>-87</v>
      </c>
      <c r="F93" s="62">
        <v>-80</v>
      </c>
      <c r="G93" s="62">
        <v>-75.2</v>
      </c>
      <c r="H93" s="62">
        <v>-67</v>
      </c>
      <c r="I93" s="62">
        <v>-55.2</v>
      </c>
      <c r="J93" s="62">
        <v>-55.2</v>
      </c>
      <c r="K93" s="62">
        <v>-53.6</v>
      </c>
      <c r="L93" s="62">
        <v>-55.5</v>
      </c>
      <c r="M93" s="62">
        <v>-51.8</v>
      </c>
      <c r="N93" s="62">
        <v>-61.5</v>
      </c>
      <c r="O93" s="62">
        <v>-64</v>
      </c>
      <c r="P93" s="62">
        <v>-54</v>
      </c>
      <c r="Q93" s="62">
        <v>-59</v>
      </c>
      <c r="R93" s="62">
        <v>-67.599999999999994</v>
      </c>
      <c r="S93" s="62">
        <f>-21.21-25.7</f>
        <v>-46.91</v>
      </c>
      <c r="T93" s="62">
        <f>-20.5-25.1</f>
        <v>-45.6</v>
      </c>
      <c r="U93" s="62">
        <v>-40</v>
      </c>
      <c r="V93" s="62">
        <f>-13.6-18.3</f>
        <v>-31.9</v>
      </c>
      <c r="W93" s="62">
        <f>-11.7-17.8</f>
        <v>-29.5</v>
      </c>
      <c r="X93" s="62">
        <f>-16-21.9</f>
        <v>-37.9</v>
      </c>
      <c r="Y93" s="62">
        <f>-17.6-23.6</f>
        <v>-41.2</v>
      </c>
      <c r="Z93" s="62">
        <f>-22.1-27.2</f>
        <v>-49.3</v>
      </c>
      <c r="AA93" s="52">
        <v>-45.2</v>
      </c>
      <c r="AB93" s="52">
        <v>-56.5</v>
      </c>
      <c r="AC93" s="52">
        <v>-61.7</v>
      </c>
      <c r="AD93" s="52">
        <v>-72.400000000000006</v>
      </c>
      <c r="AE93" s="52">
        <v>-75</v>
      </c>
      <c r="AF93" s="123">
        <v>-74.8</v>
      </c>
      <c r="AG93" s="120">
        <v>240</v>
      </c>
      <c r="AH93" s="56">
        <f t="shared" si="22"/>
        <v>-88.5</v>
      </c>
      <c r="AI93" s="121">
        <f t="shared" si="23"/>
        <v>8.3333333333333301E-2</v>
      </c>
    </row>
    <row r="94" spans="1:88" x14ac:dyDescent="0.25">
      <c r="A94" s="122" t="s">
        <v>98</v>
      </c>
      <c r="B94" s="123">
        <v>-7.1</v>
      </c>
      <c r="C94" s="62">
        <v>-10.4</v>
      </c>
      <c r="D94" s="62">
        <v>-12</v>
      </c>
      <c r="E94" s="62">
        <v>-13</v>
      </c>
      <c r="F94" s="62">
        <v>-9.9</v>
      </c>
      <c r="G94" s="62">
        <v>-5.7</v>
      </c>
      <c r="H94" s="62">
        <v>-6</v>
      </c>
      <c r="I94" s="62">
        <v>0.6</v>
      </c>
      <c r="J94" s="62">
        <v>0.6</v>
      </c>
      <c r="K94" s="62">
        <v>-0.6</v>
      </c>
      <c r="L94" s="62" t="s">
        <v>237</v>
      </c>
      <c r="M94" s="62">
        <v>4.7</v>
      </c>
      <c r="N94" s="62">
        <v>5.7</v>
      </c>
      <c r="O94" s="62">
        <v>9.1999999999999993</v>
      </c>
      <c r="P94" s="62">
        <v>5.3</v>
      </c>
      <c r="Q94" s="62">
        <v>0.7</v>
      </c>
      <c r="R94" s="62">
        <v>-0.5</v>
      </c>
      <c r="S94" s="62">
        <v>1</v>
      </c>
      <c r="T94" s="62">
        <v>1</v>
      </c>
      <c r="U94" s="62">
        <v>8.1</v>
      </c>
      <c r="V94" s="62">
        <v>21.5</v>
      </c>
      <c r="W94" s="62">
        <v>24.1</v>
      </c>
      <c r="X94" s="62">
        <v>22.2</v>
      </c>
      <c r="Y94" s="62">
        <v>11.7</v>
      </c>
      <c r="Z94" s="62">
        <v>8.4</v>
      </c>
      <c r="AA94" s="52">
        <v>8</v>
      </c>
      <c r="AB94" s="52">
        <v>2.9</v>
      </c>
      <c r="AC94" s="52">
        <v>0</v>
      </c>
      <c r="AD94" s="52">
        <v>-2.5</v>
      </c>
      <c r="AE94" s="52">
        <v>5.8</v>
      </c>
      <c r="AF94" s="123">
        <v>-9.3000000000000007</v>
      </c>
      <c r="AG94" s="120">
        <v>60</v>
      </c>
      <c r="AH94" s="56">
        <f t="shared" si="22"/>
        <v>24.1</v>
      </c>
      <c r="AI94" s="121">
        <f t="shared" si="23"/>
        <v>0.75</v>
      </c>
    </row>
    <row r="95" spans="1:88" x14ac:dyDescent="0.25">
      <c r="A95" s="124" t="s">
        <v>99</v>
      </c>
      <c r="B95" s="126">
        <v>0</v>
      </c>
      <c r="C95" s="65">
        <v>-10</v>
      </c>
      <c r="D95" s="65">
        <v>-5.0999999999999996</v>
      </c>
      <c r="E95" s="65">
        <v>-7.5</v>
      </c>
      <c r="F95" s="65">
        <v>3.4</v>
      </c>
      <c r="G95" s="65">
        <v>10.199999999999999</v>
      </c>
      <c r="H95" s="65">
        <v>20.9</v>
      </c>
      <c r="I95" s="65">
        <v>28.2</v>
      </c>
      <c r="J95" s="65">
        <v>28.2</v>
      </c>
      <c r="K95" s="65">
        <v>36.799999999999997</v>
      </c>
      <c r="L95" s="65">
        <v>27.2</v>
      </c>
      <c r="M95" s="65">
        <v>18.5</v>
      </c>
      <c r="N95" s="65">
        <v>-2.9</v>
      </c>
      <c r="O95" s="65">
        <v>-4.2</v>
      </c>
      <c r="P95" s="65">
        <v>-7.9</v>
      </c>
      <c r="Q95" s="65">
        <v>-1.7</v>
      </c>
      <c r="R95" s="65">
        <v>7.2</v>
      </c>
      <c r="S95" s="65">
        <v>30.6</v>
      </c>
      <c r="T95" s="65">
        <v>34.1</v>
      </c>
      <c r="U95" s="65">
        <v>29.2</v>
      </c>
      <c r="V95" s="65">
        <v>48.9</v>
      </c>
      <c r="W95" s="65">
        <v>62</v>
      </c>
      <c r="X95" s="65">
        <v>46.1</v>
      </c>
      <c r="Y95" s="65">
        <v>53.6</v>
      </c>
      <c r="Z95" s="65">
        <v>37.9</v>
      </c>
      <c r="AA95" s="125">
        <v>38</v>
      </c>
      <c r="AB95" s="125">
        <v>19.8</v>
      </c>
      <c r="AC95" s="125">
        <v>12.4</v>
      </c>
      <c r="AD95" s="125">
        <v>0</v>
      </c>
      <c r="AE95" s="125">
        <v>-2.8</v>
      </c>
      <c r="AF95" s="126">
        <v>-3.1</v>
      </c>
      <c r="AG95" s="127">
        <v>120</v>
      </c>
      <c r="AH95" s="56">
        <f t="shared" si="22"/>
        <v>62</v>
      </c>
      <c r="AI95" s="121">
        <f t="shared" si="23"/>
        <v>0.75</v>
      </c>
    </row>
    <row r="96" spans="1:88" x14ac:dyDescent="0.25">
      <c r="A96" s="124" t="s">
        <v>100</v>
      </c>
      <c r="B96" s="126">
        <v>55.1</v>
      </c>
      <c r="C96" s="65">
        <v>41.7</v>
      </c>
      <c r="D96" s="65">
        <v>51.9</v>
      </c>
      <c r="E96" s="65">
        <v>45</v>
      </c>
      <c r="F96" s="65">
        <v>57</v>
      </c>
      <c r="G96" s="65">
        <v>65</v>
      </c>
      <c r="H96" s="65">
        <v>63.4</v>
      </c>
      <c r="I96" s="65">
        <v>69.599999999999994</v>
      </c>
      <c r="J96" s="65">
        <v>69.599999999999994</v>
      </c>
      <c r="K96" s="65">
        <v>80.400000000000006</v>
      </c>
      <c r="L96" s="65">
        <v>70</v>
      </c>
      <c r="M96" s="65">
        <v>31</v>
      </c>
      <c r="N96" s="65">
        <v>14.2</v>
      </c>
      <c r="O96" s="65">
        <v>13.8</v>
      </c>
      <c r="P96" s="65">
        <v>30.9</v>
      </c>
      <c r="Q96" s="65">
        <v>22.4</v>
      </c>
      <c r="R96" s="65">
        <v>30.9</v>
      </c>
      <c r="S96" s="65">
        <v>49.9</v>
      </c>
      <c r="T96" s="65">
        <v>51.3</v>
      </c>
      <c r="U96" s="65">
        <v>50.7</v>
      </c>
      <c r="V96" s="65">
        <v>49.4</v>
      </c>
      <c r="W96" s="65">
        <v>65.900000000000006</v>
      </c>
      <c r="X96" s="65">
        <v>55.1</v>
      </c>
      <c r="Y96" s="65">
        <v>61.6</v>
      </c>
      <c r="Z96" s="65">
        <v>55.5</v>
      </c>
      <c r="AA96" s="125">
        <v>55.9</v>
      </c>
      <c r="AB96" s="125">
        <v>42</v>
      </c>
      <c r="AC96" s="125">
        <v>37.4</v>
      </c>
      <c r="AD96" s="125">
        <v>28.3</v>
      </c>
      <c r="AE96" s="125">
        <v>31.3</v>
      </c>
      <c r="AF96" s="126">
        <v>28.5</v>
      </c>
      <c r="AG96" s="127"/>
      <c r="AH96" s="56">
        <f t="shared" si="22"/>
        <v>80.400000000000006</v>
      </c>
      <c r="AI96" s="121">
        <f t="shared" si="23"/>
        <v>0.3125</v>
      </c>
    </row>
    <row r="97" spans="1:37" ht="15.75" thickBot="1" x14ac:dyDescent="0.3">
      <c r="A97" s="124" t="s">
        <v>101</v>
      </c>
      <c r="B97" s="126">
        <v>51.2</v>
      </c>
      <c r="C97" s="65">
        <v>43.9</v>
      </c>
      <c r="D97" s="65">
        <v>44.2</v>
      </c>
      <c r="E97" s="65">
        <v>42.2</v>
      </c>
      <c r="F97" s="65">
        <v>47.6</v>
      </c>
      <c r="G97" s="65">
        <v>47.2</v>
      </c>
      <c r="H97" s="65">
        <v>45.6</v>
      </c>
      <c r="I97" s="65">
        <v>35.4</v>
      </c>
      <c r="J97" s="65">
        <v>35.4</v>
      </c>
      <c r="K97" s="65">
        <v>30.3</v>
      </c>
      <c r="L97" s="65">
        <v>30.5</v>
      </c>
      <c r="M97" s="65">
        <v>27.5</v>
      </c>
      <c r="N97" s="65">
        <v>9.5</v>
      </c>
      <c r="O97" s="65">
        <v>24</v>
      </c>
      <c r="P97" s="65">
        <v>36.9</v>
      </c>
      <c r="Q97" s="65">
        <v>27.7</v>
      </c>
      <c r="R97" s="65">
        <v>34.1</v>
      </c>
      <c r="S97" s="65">
        <v>7.9</v>
      </c>
      <c r="T97" s="65">
        <v>-12</v>
      </c>
      <c r="U97" s="65">
        <v>-33.6</v>
      </c>
      <c r="V97" s="65">
        <v>26.6</v>
      </c>
      <c r="W97" s="65">
        <v>26.6</v>
      </c>
      <c r="X97" s="65">
        <v>22.8</v>
      </c>
      <c r="Y97" s="65">
        <v>28.2</v>
      </c>
      <c r="Z97" s="65">
        <v>45.3</v>
      </c>
      <c r="AA97" s="125">
        <v>50.5</v>
      </c>
      <c r="AB97" s="125">
        <v>36</v>
      </c>
      <c r="AC97" s="125">
        <v>35.4</v>
      </c>
      <c r="AD97" s="125">
        <v>37.299999999999997</v>
      </c>
      <c r="AE97" s="125">
        <v>42.8</v>
      </c>
      <c r="AF97" s="126">
        <v>45.4</v>
      </c>
      <c r="AG97" s="128"/>
      <c r="AH97" s="56">
        <f t="shared" si="22"/>
        <v>51.2</v>
      </c>
      <c r="AI97" s="121">
        <f t="shared" si="23"/>
        <v>4.1666666666666664E-2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185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987.34000000000015</v>
      </c>
      <c r="C206" s="164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6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2078/07/6)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2078/07/6)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860.64</v>
      </c>
      <c r="U211" s="173">
        <f t="shared" si="52"/>
        <v>835.64</v>
      </c>
      <c r="V211" s="173">
        <f t="shared" si="52"/>
        <v>804.83999999999992</v>
      </c>
      <c r="W211" s="173">
        <f t="shared" si="52"/>
        <v>803.2399999999999</v>
      </c>
      <c r="X211" s="173">
        <f t="shared" si="52"/>
        <v>837.13999999999987</v>
      </c>
      <c r="Y211" s="173">
        <f t="shared" si="52"/>
        <v>862.04</v>
      </c>
      <c r="Z211" s="173">
        <f t="shared" si="52"/>
        <v>885.64</v>
      </c>
      <c r="AA211" s="173">
        <f t="shared" si="52"/>
        <v>905.54</v>
      </c>
      <c r="AB211" s="173">
        <f t="shared" si="52"/>
        <v>931.84</v>
      </c>
      <c r="AC211" s="173">
        <f t="shared" si="52"/>
        <v>965.74</v>
      </c>
      <c r="AD211" s="173">
        <f t="shared" si="52"/>
        <v>922.04000000000019</v>
      </c>
      <c r="AE211" s="173">
        <f t="shared" si="52"/>
        <v>987.34000000000015</v>
      </c>
      <c r="AF211" s="173">
        <f t="shared" si="52"/>
        <v>941.1400000000001</v>
      </c>
      <c r="AG211" s="173">
        <f t="shared" si="52"/>
        <v>919.24</v>
      </c>
      <c r="AH211" s="173">
        <f t="shared" si="52"/>
        <v>906.34</v>
      </c>
      <c r="AI211" s="173">
        <f t="shared" si="52"/>
        <v>883.43999999999994</v>
      </c>
      <c r="AJ211" s="173">
        <f t="shared" si="52"/>
        <v>895.74</v>
      </c>
      <c r="AK211" s="173">
        <f t="shared" si="52"/>
        <v>869.43999999999994</v>
      </c>
      <c r="AL211" s="173">
        <f t="shared" si="52"/>
        <v>922.44</v>
      </c>
      <c r="AM211" s="173">
        <f t="shared" si="52"/>
        <v>964.74</v>
      </c>
      <c r="AN211" s="173">
        <f t="shared" si="52"/>
        <v>1044.44</v>
      </c>
      <c r="AO211" s="173">
        <f t="shared" si="52"/>
        <v>1115.04</v>
      </c>
      <c r="AP211" s="173">
        <f t="shared" si="52"/>
        <v>1082.54</v>
      </c>
      <c r="AQ211" s="173">
        <f t="shared" si="52"/>
        <v>1061.1399999999999</v>
      </c>
      <c r="AR211" s="173">
        <f t="shared" si="52"/>
        <v>1061.04</v>
      </c>
      <c r="AS211" s="173">
        <f t="shared" si="52"/>
        <v>1051.54</v>
      </c>
      <c r="AT211" s="173">
        <f t="shared" si="52"/>
        <v>1012.54</v>
      </c>
      <c r="AU211" s="173">
        <f t="shared" si="52"/>
        <v>947.44</v>
      </c>
      <c r="AV211" s="173">
        <f t="shared" si="52"/>
        <v>867.74</v>
      </c>
      <c r="AW211" s="173">
        <f t="shared" si="52"/>
        <v>807.04</v>
      </c>
      <c r="AX211" s="173">
        <f t="shared" si="52"/>
        <v>790.24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138" priority="407">
      <formula>S$9&gt;=20/24</formula>
    </cfRule>
    <cfRule type="expression" dxfId="9137" priority="408">
      <formula>AND(S$9&gt;=14/24,S$9&lt;20/24)</formula>
    </cfRule>
    <cfRule type="expression" dxfId="9136" priority="409">
      <formula>AND(S$9&gt;=8/24,S$9&lt;14/24)</formula>
    </cfRule>
    <cfRule type="expression" dxfId="9135" priority="410">
      <formula>S$9&lt;8/24</formula>
    </cfRule>
  </conditionalFormatting>
  <conditionalFormatting sqref="B8:AF10 AA79:AF79 C79:Q79 C54:AF54 C80:AF80 C191:AF197 C66:AF70 M60:M65 T210:AX210 N59:N65 L56:Q57 W83:W89 AA82:AF89 C72:AF76 C78:AF78 L59:M59 L58:N58 C61:K65 C55:K59 L11:O13 P12:Q13 O58:Q65 R13:T13 L37:T40 U38:W40 M43:V43 R56:V65 P11:W11 L35:W35 L15:W31 AA38:AD41 L51:AF53 AA11:AF13 AC25:AF25 AA15:AF15 M45:V46 M44:AF44">
    <cfRule type="expression" dxfId="9134" priority="403">
      <formula>B$9&gt;=20/24</formula>
    </cfRule>
    <cfRule type="expression" dxfId="9133" priority="404">
      <formula>AND(B$9&gt;=14/24,B$9&lt;20/24)</formula>
    </cfRule>
    <cfRule type="expression" dxfId="9132" priority="405">
      <formula>AND(B$9&gt;=8/24,B$9&lt;14/24)</formula>
    </cfRule>
    <cfRule type="expression" dxfId="9131" priority="406">
      <formula>B$9&lt;8/24</formula>
    </cfRule>
  </conditionalFormatting>
  <conditionalFormatting sqref="B189:AF189">
    <cfRule type="expression" dxfId="9130" priority="399">
      <formula>B$9&gt;=20/24</formula>
    </cfRule>
    <cfRule type="expression" dxfId="9129" priority="400">
      <formula>AND(B$9&gt;=14/24,B$9&lt;20/24)</formula>
    </cfRule>
    <cfRule type="expression" dxfId="9128" priority="401">
      <formula>AND(B$9&gt;=8/24,B$9&lt;14/24)</formula>
    </cfRule>
    <cfRule type="expression" dxfId="9127" priority="402">
      <formula>B$9&lt;8/24</formula>
    </cfRule>
  </conditionalFormatting>
  <conditionalFormatting sqref="AL4:AL6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L55:T55">
    <cfRule type="expression" dxfId="9126" priority="394">
      <formula>L$9&gt;=20/24</formula>
    </cfRule>
    <cfRule type="expression" dxfId="9125" priority="395">
      <formula>AND(L$9&gt;=14/24,L$9&lt;20/24)</formula>
    </cfRule>
    <cfRule type="expression" dxfId="9124" priority="396">
      <formula>AND(L$9&gt;=8/24,L$9&lt;14/24)</formula>
    </cfRule>
    <cfRule type="expression" dxfId="9123" priority="397">
      <formula>L$9&lt;8/24</formula>
    </cfRule>
  </conditionalFormatting>
  <conditionalFormatting sqref="L41:T41">
    <cfRule type="expression" dxfId="9122" priority="390">
      <formula>L$9&gt;=20/24</formula>
    </cfRule>
    <cfRule type="expression" dxfId="9121" priority="391">
      <formula>AND(L$9&gt;=14/24,L$9&lt;20/24)</formula>
    </cfRule>
    <cfRule type="expression" dxfId="9120" priority="392">
      <formula>AND(L$9&gt;=8/24,L$9&lt;14/24)</formula>
    </cfRule>
    <cfRule type="expression" dxfId="9119" priority="393">
      <formula>L$9&lt;8/24</formula>
    </cfRule>
  </conditionalFormatting>
  <conditionalFormatting sqref="U37:W37 AA37:AD37">
    <cfRule type="expression" dxfId="9118" priority="382">
      <formula>U$9&gt;=20/24</formula>
    </cfRule>
    <cfRule type="expression" dxfId="9117" priority="383">
      <formula>AND(U$9&gt;=14/24,U$9&lt;20/24)</formula>
    </cfRule>
    <cfRule type="expression" dxfId="9116" priority="384">
      <formula>AND(U$9&gt;=8/24,U$9&lt;14/24)</formula>
    </cfRule>
    <cfRule type="expression" dxfId="9115" priority="385">
      <formula>U$9&lt;8/24</formula>
    </cfRule>
  </conditionalFormatting>
  <conditionalFormatting sqref="U55:W55 AA55:AF55">
    <cfRule type="expression" dxfId="9114" priority="378">
      <formula>U$9&gt;=20/24</formula>
    </cfRule>
    <cfRule type="expression" dxfId="9113" priority="379">
      <formula>AND(U$9&gt;=14/24,U$9&lt;20/24)</formula>
    </cfRule>
    <cfRule type="expression" dxfId="9112" priority="380">
      <formula>AND(U$9&gt;=8/24,U$9&lt;14/24)</formula>
    </cfRule>
    <cfRule type="expression" dxfId="9111" priority="381">
      <formula>U$9&lt;8/24</formula>
    </cfRule>
  </conditionalFormatting>
  <conditionalFormatting sqref="R79:Z79">
    <cfRule type="expression" dxfId="9110" priority="374">
      <formula>R$9&gt;=20/24</formula>
    </cfRule>
    <cfRule type="expression" dxfId="9109" priority="375">
      <formula>AND(R$9&gt;=14/24,R$9&lt;20/24)</formula>
    </cfRule>
    <cfRule type="expression" dxfId="9108" priority="376">
      <formula>AND(R$9&gt;=8/24,R$9&lt;14/24)</formula>
    </cfRule>
    <cfRule type="expression" dxfId="9107" priority="377">
      <formula>R$9&lt;8/24</formula>
    </cfRule>
  </conditionalFormatting>
  <conditionalFormatting sqref="U82:W82">
    <cfRule type="expression" dxfId="9106" priority="370">
      <formula>U$9&gt;=20/24</formula>
    </cfRule>
    <cfRule type="expression" dxfId="9105" priority="371">
      <formula>AND(U$9&gt;=14/24,U$9&lt;20/24)</formula>
    </cfRule>
    <cfRule type="expression" dxfId="9104" priority="372">
      <formula>AND(U$9&gt;=8/24,U$9&lt;14/24)</formula>
    </cfRule>
    <cfRule type="expression" dxfId="9103" priority="373">
      <formula>U$9&lt;8/24</formula>
    </cfRule>
  </conditionalFormatting>
  <conditionalFormatting sqref="L33:W33">
    <cfRule type="expression" dxfId="9102" priority="366">
      <formula>L$9&gt;=20/24</formula>
    </cfRule>
    <cfRule type="expression" dxfId="9101" priority="367">
      <formula>AND(L$9&gt;=14/24,L$9&lt;20/24)</formula>
    </cfRule>
    <cfRule type="expression" dxfId="9100" priority="368">
      <formula>AND(L$9&gt;=8/24,L$9&lt;14/24)</formula>
    </cfRule>
    <cfRule type="expression" dxfId="9099" priority="369">
      <formula>L$9&lt;8/24</formula>
    </cfRule>
  </conditionalFormatting>
  <conditionalFormatting sqref="L47:V47">
    <cfRule type="expression" dxfId="9098" priority="362">
      <formula>L$9&gt;=20/24</formula>
    </cfRule>
    <cfRule type="expression" dxfId="9097" priority="363">
      <formula>AND(L$9&gt;=14/24,L$9&lt;20/24)</formula>
    </cfRule>
    <cfRule type="expression" dxfId="9096" priority="364">
      <formula>AND(L$9&gt;=8/24,L$9&lt;14/24)</formula>
    </cfRule>
    <cfRule type="expression" dxfId="9095" priority="365">
      <formula>L$9&lt;8/24</formula>
    </cfRule>
  </conditionalFormatting>
  <conditionalFormatting sqref="L48:V48">
    <cfRule type="expression" dxfId="9094" priority="358">
      <formula>L$9&gt;=20/24</formula>
    </cfRule>
    <cfRule type="expression" dxfId="9093" priority="359">
      <formula>AND(L$9&gt;=14/24,L$9&lt;20/24)</formula>
    </cfRule>
    <cfRule type="expression" dxfId="9092" priority="360">
      <formula>AND(L$9&gt;=8/24,L$9&lt;14/24)</formula>
    </cfRule>
    <cfRule type="expression" dxfId="9091" priority="361">
      <formula>L$9&lt;8/24</formula>
    </cfRule>
  </conditionalFormatting>
  <conditionalFormatting sqref="L43:V43 L45:V46 L44:AF44">
    <cfRule type="expression" dxfId="9090" priority="354">
      <formula>L$9&gt;=20/24</formula>
    </cfRule>
    <cfRule type="expression" dxfId="9089" priority="355">
      <formula>AND(L$9&gt;=14/24,L$9&lt;20/24)</formula>
    </cfRule>
    <cfRule type="expression" dxfId="9088" priority="356">
      <formula>AND(L$9&gt;=8/24,L$9&lt;14/24)</formula>
    </cfRule>
    <cfRule type="expression" dxfId="9087" priority="357">
      <formula>L$9&lt;8/24</formula>
    </cfRule>
  </conditionalFormatting>
  <conditionalFormatting sqref="AC35:AD35">
    <cfRule type="expression" dxfId="9086" priority="350">
      <formula>AC$9&gt;=20/24</formula>
    </cfRule>
    <cfRule type="expression" dxfId="9085" priority="351">
      <formula>AND(AC$9&gt;=14/24,AC$9&lt;20/24)</formula>
    </cfRule>
    <cfRule type="expression" dxfId="9084" priority="352">
      <formula>AND(AC$9&gt;=8/24,AC$9&lt;14/24)</formula>
    </cfRule>
    <cfRule type="expression" dxfId="9083" priority="353">
      <formula>AC$9&lt;8/24</formula>
    </cfRule>
  </conditionalFormatting>
  <conditionalFormatting sqref="W43 U41:W41 W45:W46">
    <cfRule type="expression" dxfId="9082" priority="342">
      <formula>U$9&gt;=20/24</formula>
    </cfRule>
    <cfRule type="expression" dxfId="9081" priority="343">
      <formula>AND(U$9&gt;=14/24,U$9&lt;20/24)</formula>
    </cfRule>
    <cfRule type="expression" dxfId="9080" priority="344">
      <formula>AND(U$9&gt;=8/24,U$9&lt;14/24)</formula>
    </cfRule>
    <cfRule type="expression" dxfId="9079" priority="345">
      <formula>U$9&lt;8/24</formula>
    </cfRule>
  </conditionalFormatting>
  <conditionalFormatting sqref="W47">
    <cfRule type="expression" dxfId="9078" priority="338">
      <formula>W$9&gt;=20/24</formula>
    </cfRule>
    <cfRule type="expression" dxfId="9077" priority="339">
      <formula>AND(W$9&gt;=14/24,W$9&lt;20/24)</formula>
    </cfRule>
    <cfRule type="expression" dxfId="9076" priority="340">
      <formula>AND(W$9&gt;=8/24,W$9&lt;14/24)</formula>
    </cfRule>
    <cfRule type="expression" dxfId="9075" priority="341">
      <formula>W$9&lt;8/24</formula>
    </cfRule>
  </conditionalFormatting>
  <conditionalFormatting sqref="W48">
    <cfRule type="expression" dxfId="9074" priority="334">
      <formula>W$9&gt;=20/24</formula>
    </cfRule>
    <cfRule type="expression" dxfId="9073" priority="335">
      <formula>AND(W$9&gt;=14/24,W$9&lt;20/24)</formula>
    </cfRule>
    <cfRule type="expression" dxfId="9072" priority="336">
      <formula>AND(W$9&gt;=8/24,W$9&lt;14/24)</formula>
    </cfRule>
    <cfRule type="expression" dxfId="9071" priority="337">
      <formula>W$9&lt;8/24</formula>
    </cfRule>
  </conditionalFormatting>
  <conditionalFormatting sqref="W58:W65 AA58:AB59 AB60:AB65 AC58:AF65">
    <cfRule type="expression" dxfId="9070" priority="330">
      <formula>W$9&gt;=20/24</formula>
    </cfRule>
    <cfRule type="expression" dxfId="9069" priority="331">
      <formula>AND(W$9&gt;=14/24,W$9&lt;20/24)</formula>
    </cfRule>
    <cfRule type="expression" dxfId="9068" priority="332">
      <formula>AND(W$9&gt;=8/24,W$9&lt;14/24)</formula>
    </cfRule>
    <cfRule type="expression" dxfId="9067" priority="333">
      <formula>W$9&lt;8/24</formula>
    </cfRule>
  </conditionalFormatting>
  <conditionalFormatting sqref="AA92:AF95">
    <cfRule type="expression" dxfId="9066" priority="326">
      <formula>AA$9&gt;=20/24</formula>
    </cfRule>
    <cfRule type="expression" dxfId="9065" priority="327">
      <formula>AND(AA$9&gt;=14/24,AA$9&lt;20/24)</formula>
    </cfRule>
    <cfRule type="expression" dxfId="9064" priority="328">
      <formula>AND(AA$9&gt;=8/24,AA$9&lt;14/24)</formula>
    </cfRule>
    <cfRule type="expression" dxfId="9063" priority="329">
      <formula>AA$9&lt;8/24</formula>
    </cfRule>
  </conditionalFormatting>
  <conditionalFormatting sqref="C60:K60">
    <cfRule type="expression" dxfId="9062" priority="322">
      <formula>C$9&gt;=20/24</formula>
    </cfRule>
    <cfRule type="expression" dxfId="9061" priority="323">
      <formula>AND(C$9&gt;=14/24,C$9&lt;20/24)</formula>
    </cfRule>
    <cfRule type="expression" dxfId="9060" priority="324">
      <formula>AND(C$9&gt;=8/24,C$9&lt;14/24)</formula>
    </cfRule>
    <cfRule type="expression" dxfId="9059" priority="325">
      <formula>C$9&lt;8/24</formula>
    </cfRule>
  </conditionalFormatting>
  <conditionalFormatting sqref="U92:Z95">
    <cfRule type="expression" dxfId="9058" priority="318">
      <formula>U$9&gt;=20/24</formula>
    </cfRule>
    <cfRule type="expression" dxfId="9057" priority="319">
      <formula>AND(U$9&gt;=14/24,U$9&lt;20/24)</formula>
    </cfRule>
    <cfRule type="expression" dxfId="9056" priority="320">
      <formula>AND(U$9&gt;=8/24,U$9&lt;14/24)</formula>
    </cfRule>
    <cfRule type="expression" dxfId="9055" priority="321">
      <formula>U$9&lt;8/24</formula>
    </cfRule>
  </conditionalFormatting>
  <conditionalFormatting sqref="AG49 D15:K24 C43:N47 L48:N48 L33:O34 D11:O13 P12:Q13 C35:O35 R13:T13 N46:Q46 O43:W43 C36:AF36 P11:W11 P33:W35 L15:W31 AC35:AF35 C37:W41 C49:AF54 AA11:AF13 AC25:AF25 AA15:AF15 AE43:AF43 AA37:AF41 AE45:AF45 O45:W48 O44:AF44">
    <cfRule type="expression" dxfId="9054" priority="317">
      <formula>C11&gt;$AG11</formula>
    </cfRule>
  </conditionalFormatting>
  <conditionalFormatting sqref="A98:A154 A82:A95 A11:A13 A15:A31 A43:A70 A78:A80 A72:A76 A33:A41 A167:A198">
    <cfRule type="expression" dxfId="9053" priority="316">
      <formula>$AH11=0</formula>
    </cfRule>
  </conditionalFormatting>
  <conditionalFormatting sqref="AA96:AF96">
    <cfRule type="expression" dxfId="9052" priority="312">
      <formula>AA$9&gt;=20/24</formula>
    </cfRule>
    <cfRule type="expression" dxfId="9051" priority="313">
      <formula>AND(AA$9&gt;=14/24,AA$9&lt;20/24)</formula>
    </cfRule>
    <cfRule type="expression" dxfId="9050" priority="314">
      <formula>AND(AA$9&gt;=8/24,AA$9&lt;14/24)</formula>
    </cfRule>
    <cfRule type="expression" dxfId="9049" priority="315">
      <formula>AA$9&lt;8/24</formula>
    </cfRule>
  </conditionalFormatting>
  <conditionalFormatting sqref="U96:Z96">
    <cfRule type="expression" dxfId="9048" priority="308">
      <formula>U$9&gt;=20/24</formula>
    </cfRule>
    <cfRule type="expression" dxfId="9047" priority="309">
      <formula>AND(U$9&gt;=14/24,U$9&lt;20/24)</formula>
    </cfRule>
    <cfRule type="expression" dxfId="9046" priority="310">
      <formula>AND(U$9&gt;=8/24,U$9&lt;14/24)</formula>
    </cfRule>
    <cfRule type="expression" dxfId="9045" priority="311">
      <formula>U$9&lt;8/24</formula>
    </cfRule>
  </conditionalFormatting>
  <conditionalFormatting sqref="A96">
    <cfRule type="expression" dxfId="9044" priority="307">
      <formula>$AH96=0</formula>
    </cfRule>
  </conditionalFormatting>
  <conditionalFormatting sqref="L34:W34">
    <cfRule type="expression" dxfId="9043" priority="303">
      <formula>L$9&gt;=20/24</formula>
    </cfRule>
    <cfRule type="expression" dxfId="9042" priority="304">
      <formula>AND(L$9&gt;=14/24,L$9&lt;20/24)</formula>
    </cfRule>
    <cfRule type="expression" dxfId="9041" priority="305">
      <formula>AND(L$9&gt;=8/24,L$9&lt;14/24)</formula>
    </cfRule>
    <cfRule type="expression" dxfId="9040" priority="306">
      <formula>L$9&lt;8/24</formula>
    </cfRule>
  </conditionalFormatting>
  <conditionalFormatting sqref="L60:L65">
    <cfRule type="expression" dxfId="9039" priority="287">
      <formula>L$9&gt;=20/24</formula>
    </cfRule>
    <cfRule type="expression" dxfId="9038" priority="288">
      <formula>AND(L$9&gt;=14/24,L$9&lt;20/24)</formula>
    </cfRule>
    <cfRule type="expression" dxfId="9037" priority="289">
      <formula>AND(L$9&gt;=8/24,L$9&lt;14/24)</formula>
    </cfRule>
    <cfRule type="expression" dxfId="9036" priority="290">
      <formula>L$9&lt;8/24</formula>
    </cfRule>
  </conditionalFormatting>
  <conditionalFormatting sqref="AL31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L32:W32">
    <cfRule type="expression" dxfId="9035" priority="278">
      <formula>L$9&gt;=20/24</formula>
    </cfRule>
    <cfRule type="expression" dxfId="9034" priority="279">
      <formula>AND(L$9&gt;=14/24,L$9&lt;20/24)</formula>
    </cfRule>
    <cfRule type="expression" dxfId="9033" priority="280">
      <formula>AND(L$9&gt;=8/24,L$9&lt;14/24)</formula>
    </cfRule>
    <cfRule type="expression" dxfId="9032" priority="281">
      <formula>L$9&lt;8/24</formula>
    </cfRule>
  </conditionalFormatting>
  <conditionalFormatting sqref="L32:W32">
    <cfRule type="expression" dxfId="9031" priority="273">
      <formula>L32&gt;$AG32</formula>
    </cfRule>
  </conditionalFormatting>
  <conditionalFormatting sqref="A32">
    <cfRule type="expression" dxfId="9030" priority="272">
      <formula>$AH32=0</formula>
    </cfRule>
  </conditionalFormatting>
  <conditionalFormatting sqref="C81:AF81">
    <cfRule type="expression" dxfId="9029" priority="268">
      <formula>C$9&gt;=20/24</formula>
    </cfRule>
    <cfRule type="expression" dxfId="9028" priority="269">
      <formula>AND(C$9&gt;=14/24,C$9&lt;20/24)</formula>
    </cfRule>
    <cfRule type="expression" dxfId="9027" priority="270">
      <formula>AND(C$9&gt;=8/24,C$9&lt;14/24)</formula>
    </cfRule>
    <cfRule type="expression" dxfId="9026" priority="271">
      <formula>C$9&lt;8/24</formula>
    </cfRule>
  </conditionalFormatting>
  <conditionalFormatting sqref="A81">
    <cfRule type="expression" dxfId="9025" priority="267">
      <formula>$AH81=0</formula>
    </cfRule>
  </conditionalFormatting>
  <conditionalFormatting sqref="AA14:AF14">
    <cfRule type="expression" dxfId="9024" priority="263">
      <formula>AA$9&gt;=20/24</formula>
    </cfRule>
    <cfRule type="expression" dxfId="9023" priority="264">
      <formula>AND(AA$9&gt;=14/24,AA$9&lt;20/24)</formula>
    </cfRule>
    <cfRule type="expression" dxfId="9022" priority="265">
      <formula>AND(AA$9&gt;=8/24,AA$9&lt;14/24)</formula>
    </cfRule>
    <cfRule type="expression" dxfId="9021" priority="266">
      <formula>AA$9&lt;8/24</formula>
    </cfRule>
  </conditionalFormatting>
  <conditionalFormatting sqref="L14:W14">
    <cfRule type="expression" dxfId="9020" priority="259">
      <formula>L$9&gt;=20/24</formula>
    </cfRule>
    <cfRule type="expression" dxfId="9019" priority="260">
      <formula>AND(L$9&gt;=14/24,L$9&lt;20/24)</formula>
    </cfRule>
    <cfRule type="expression" dxfId="9018" priority="261">
      <formula>AND(L$9&gt;=8/24,L$9&lt;14/24)</formula>
    </cfRule>
    <cfRule type="expression" dxfId="9017" priority="262">
      <formula>L$9&lt;8/24</formula>
    </cfRule>
  </conditionalFormatting>
  <conditionalFormatting sqref="D14:W14 AA14:AF14">
    <cfRule type="expression" dxfId="9016" priority="258">
      <formula>D14&gt;$AG14</formula>
    </cfRule>
  </conditionalFormatting>
  <conditionalFormatting sqref="A14">
    <cfRule type="expression" dxfId="9015" priority="257">
      <formula>$AH14=0</formula>
    </cfRule>
  </conditionalFormatting>
  <conditionalFormatting sqref="A161:A166">
    <cfRule type="expression" dxfId="9014" priority="256">
      <formula>$AH161=0</formula>
    </cfRule>
  </conditionalFormatting>
  <conditionalFormatting sqref="A155:A160">
    <cfRule type="expression" dxfId="9013" priority="255">
      <formula>$AH155=0</formula>
    </cfRule>
  </conditionalFormatting>
  <conditionalFormatting sqref="AD42">
    <cfRule type="expression" dxfId="9012" priority="251">
      <formula>AD$9&gt;=20/24</formula>
    </cfRule>
    <cfRule type="expression" dxfId="9011" priority="252">
      <formula>AND(AD$9&gt;=14/24,AD$9&lt;20/24)</formula>
    </cfRule>
    <cfRule type="expression" dxfId="9010" priority="253">
      <formula>AND(AD$9&gt;=8/24,AD$9&lt;14/24)</formula>
    </cfRule>
    <cfRule type="expression" dxfId="9009" priority="254">
      <formula>AD$9&lt;8/24</formula>
    </cfRule>
  </conditionalFormatting>
  <conditionalFormatting sqref="L42:V42">
    <cfRule type="expression" dxfId="9008" priority="247">
      <formula>L$9&gt;=20/24</formula>
    </cfRule>
    <cfRule type="expression" dxfId="9007" priority="248">
      <formula>AND(L$9&gt;=14/24,L$9&lt;20/24)</formula>
    </cfRule>
    <cfRule type="expression" dxfId="9006" priority="249">
      <formula>AND(L$9&gt;=8/24,L$9&lt;14/24)</formula>
    </cfRule>
    <cfRule type="expression" dxfId="9005" priority="250">
      <formula>L$9&lt;8/24</formula>
    </cfRule>
  </conditionalFormatting>
  <conditionalFormatting sqref="W42">
    <cfRule type="expression" dxfId="9004" priority="243">
      <formula>W$9&gt;=20/24</formula>
    </cfRule>
    <cfRule type="expression" dxfId="9003" priority="244">
      <formula>AND(W$9&gt;=14/24,W$9&lt;20/24)</formula>
    </cfRule>
    <cfRule type="expression" dxfId="9002" priority="245">
      <formula>AND(W$9&gt;=8/24,W$9&lt;14/24)</formula>
    </cfRule>
    <cfRule type="expression" dxfId="9001" priority="246">
      <formula>W$9&lt;8/24</formula>
    </cfRule>
  </conditionalFormatting>
  <conditionalFormatting sqref="C42:W42 AD42:AF42">
    <cfRule type="expression" dxfId="9000" priority="242">
      <formula>C42&gt;$AG42</formula>
    </cfRule>
  </conditionalFormatting>
  <conditionalFormatting sqref="A42">
    <cfRule type="expression" dxfId="8999" priority="241">
      <formula>$AH42=0</formula>
    </cfRule>
  </conditionalFormatting>
  <conditionalFormatting sqref="C77:AF77">
    <cfRule type="expression" dxfId="8998" priority="237">
      <formula>C$9&gt;=20/24</formula>
    </cfRule>
    <cfRule type="expression" dxfId="8997" priority="238">
      <formula>AND(C$9&gt;=14/24,C$9&lt;20/24)</formula>
    </cfRule>
    <cfRule type="expression" dxfId="8996" priority="239">
      <formula>AND(C$9&gt;=8/24,C$9&lt;14/24)</formula>
    </cfRule>
    <cfRule type="expression" dxfId="8995" priority="240">
      <formula>C$9&lt;8/24</formula>
    </cfRule>
  </conditionalFormatting>
  <conditionalFormatting sqref="A77">
    <cfRule type="expression" dxfId="8994" priority="236">
      <formula>$AH77=0</formula>
    </cfRule>
  </conditionalFormatting>
  <conditionalFormatting sqref="C71:AG71">
    <cfRule type="expression" dxfId="8993" priority="232">
      <formula>C$9&gt;=20/24</formula>
    </cfRule>
    <cfRule type="expression" dxfId="8992" priority="233">
      <formula>AND(C$9&gt;=14/24,C$9&lt;20/24)</formula>
    </cfRule>
    <cfRule type="expression" dxfId="8991" priority="234">
      <formula>AND(C$9&gt;=8/24,C$9&lt;14/24)</formula>
    </cfRule>
    <cfRule type="expression" dxfId="8990" priority="235">
      <formula>C$9&lt;8/24</formula>
    </cfRule>
  </conditionalFormatting>
  <conditionalFormatting sqref="A71">
    <cfRule type="expression" dxfId="8989" priority="231">
      <formula>$AH71=0</formula>
    </cfRule>
  </conditionalFormatting>
  <conditionalFormatting sqref="AL32:AL33 AL7:AL30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U83:V89">
    <cfRule type="expression" dxfId="8988" priority="223">
      <formula>U$9&gt;=20/24</formula>
    </cfRule>
    <cfRule type="expression" dxfId="8987" priority="224">
      <formula>AND(U$9&gt;=14/24,U$9&lt;20/24)</formula>
    </cfRule>
    <cfRule type="expression" dxfId="8986" priority="225">
      <formula>AND(U$9&gt;=8/24,U$9&lt;14/24)</formula>
    </cfRule>
    <cfRule type="expression" dxfId="8985" priority="226">
      <formula>U$9&lt;8/24</formula>
    </cfRule>
  </conditionalFormatting>
  <conditionalFormatting sqref="C82:T89">
    <cfRule type="expression" dxfId="8984" priority="219">
      <formula>C$9&gt;=20/24</formula>
    </cfRule>
    <cfRule type="expression" dxfId="8983" priority="220">
      <formula>AND(C$9&gt;=14/24,C$9&lt;20/24)</formula>
    </cfRule>
    <cfRule type="expression" dxfId="8982" priority="221">
      <formula>AND(C$9&gt;=8/24,C$9&lt;14/24)</formula>
    </cfRule>
    <cfRule type="expression" dxfId="8981" priority="222">
      <formula>C$9&lt;8/24</formula>
    </cfRule>
  </conditionalFormatting>
  <conditionalFormatting sqref="C92:E92 C93:M95">
    <cfRule type="expression" dxfId="8980" priority="211">
      <formula>C$9&gt;=20/24</formula>
    </cfRule>
    <cfRule type="expression" dxfId="8979" priority="212">
      <formula>AND(C$9&gt;=14/24,C$9&lt;20/24)</formula>
    </cfRule>
    <cfRule type="expression" dxfId="8978" priority="213">
      <formula>AND(C$9&gt;=8/24,C$9&lt;14/24)</formula>
    </cfRule>
    <cfRule type="expression" dxfId="8977" priority="214">
      <formula>C$9&lt;8/24</formula>
    </cfRule>
  </conditionalFormatting>
  <conditionalFormatting sqref="N92:T95">
    <cfRule type="expression" dxfId="8976" priority="207">
      <formula>N$9&gt;=20/24</formula>
    </cfRule>
    <cfRule type="expression" dxfId="8975" priority="208">
      <formula>AND(N$9&gt;=14/24,N$9&lt;20/24)</formula>
    </cfRule>
    <cfRule type="expression" dxfId="8974" priority="209">
      <formula>AND(N$9&gt;=8/24,N$9&lt;14/24)</formula>
    </cfRule>
    <cfRule type="expression" dxfId="8973" priority="210">
      <formula>N$9&lt;8/24</formula>
    </cfRule>
  </conditionalFormatting>
  <conditionalFormatting sqref="C96:M96">
    <cfRule type="expression" dxfId="8972" priority="199">
      <formula>C$9&gt;=20/24</formula>
    </cfRule>
    <cfRule type="expression" dxfId="8971" priority="200">
      <formula>AND(C$9&gt;=14/24,C$9&lt;20/24)</formula>
    </cfRule>
    <cfRule type="expression" dxfId="8970" priority="201">
      <formula>AND(C$9&gt;=8/24,C$9&lt;14/24)</formula>
    </cfRule>
    <cfRule type="expression" dxfId="8969" priority="202">
      <formula>C$9&lt;8/24</formula>
    </cfRule>
  </conditionalFormatting>
  <conditionalFormatting sqref="N96:T96">
    <cfRule type="expression" dxfId="8968" priority="195">
      <formula>N$9&gt;=20/24</formula>
    </cfRule>
    <cfRule type="expression" dxfId="8967" priority="196">
      <formula>AND(N$9&gt;=14/24,N$9&lt;20/24)</formula>
    </cfRule>
    <cfRule type="expression" dxfId="8966" priority="197">
      <formula>AND(N$9&gt;=8/24,N$9&lt;14/24)</formula>
    </cfRule>
    <cfRule type="expression" dxfId="8965" priority="198">
      <formula>N$9&lt;8/24</formula>
    </cfRule>
  </conditionalFormatting>
  <conditionalFormatting sqref="L92:M92">
    <cfRule type="expression" dxfId="8964" priority="187">
      <formula>L$9&gt;=20/24</formula>
    </cfRule>
    <cfRule type="expression" dxfId="8963" priority="188">
      <formula>AND(L$9&gt;=14/24,L$9&lt;20/24)</formula>
    </cfRule>
    <cfRule type="expression" dxfId="8962" priority="189">
      <formula>AND(L$9&gt;=8/24,L$9&lt;14/24)</formula>
    </cfRule>
    <cfRule type="expression" dxfId="8961" priority="190">
      <formula>L$9&lt;8/24</formula>
    </cfRule>
  </conditionalFormatting>
  <conditionalFormatting sqref="F92:K92">
    <cfRule type="expression" dxfId="8960" priority="183">
      <formula>F$9&gt;=20/24</formula>
    </cfRule>
    <cfRule type="expression" dxfId="8959" priority="184">
      <formula>AND(F$9&gt;=14/24,F$9&lt;20/24)</formula>
    </cfRule>
    <cfRule type="expression" dxfId="8958" priority="185">
      <formula>AND(F$9&gt;=8/24,F$9&lt;14/24)</formula>
    </cfRule>
    <cfRule type="expression" dxfId="8957" priority="186">
      <formula>F$9&lt;8/24</formula>
    </cfRule>
  </conditionalFormatting>
  <conditionalFormatting sqref="U92:Z92">
    <cfRule type="expression" dxfId="8956" priority="179">
      <formula>U$9&gt;=20/24</formula>
    </cfRule>
    <cfRule type="expression" dxfId="8955" priority="180">
      <formula>AND(U$9&gt;=14/24,U$9&lt;20/24)</formula>
    </cfRule>
    <cfRule type="expression" dxfId="8954" priority="181">
      <formula>AND(U$9&gt;=8/24,U$9&lt;14/24)</formula>
    </cfRule>
    <cfRule type="expression" dxfId="8953" priority="182">
      <formula>U$9&lt;8/24</formula>
    </cfRule>
  </conditionalFormatting>
  <conditionalFormatting sqref="N92:T92">
    <cfRule type="expression" dxfId="8952" priority="175">
      <formula>N$9&gt;=20/24</formula>
    </cfRule>
    <cfRule type="expression" dxfId="8951" priority="176">
      <formula>AND(N$9&gt;=14/24,N$9&lt;20/24)</formula>
    </cfRule>
    <cfRule type="expression" dxfId="8950" priority="177">
      <formula>AND(N$9&gt;=8/24,N$9&lt;14/24)</formula>
    </cfRule>
    <cfRule type="expression" dxfId="8949" priority="178">
      <formula>N$9&lt;8/24</formula>
    </cfRule>
  </conditionalFormatting>
  <conditionalFormatting sqref="AA97:AF97">
    <cfRule type="expression" dxfId="8948" priority="171">
      <formula>AA$9&gt;=20/24</formula>
    </cfRule>
    <cfRule type="expression" dxfId="8947" priority="172">
      <formula>AND(AA$9&gt;=14/24,AA$9&lt;20/24)</formula>
    </cfRule>
    <cfRule type="expression" dxfId="8946" priority="173">
      <formula>AND(AA$9&gt;=8/24,AA$9&lt;14/24)</formula>
    </cfRule>
    <cfRule type="expression" dxfId="8945" priority="174">
      <formula>AA$9&lt;8/24</formula>
    </cfRule>
  </conditionalFormatting>
  <conditionalFormatting sqref="U97:Z97">
    <cfRule type="expression" dxfId="8944" priority="167">
      <formula>U$9&gt;=20/24</formula>
    </cfRule>
    <cfRule type="expression" dxfId="8943" priority="168">
      <formula>AND(U$9&gt;=14/24,U$9&lt;20/24)</formula>
    </cfRule>
    <cfRule type="expression" dxfId="8942" priority="169">
      <formula>AND(U$9&gt;=8/24,U$9&lt;14/24)</formula>
    </cfRule>
    <cfRule type="expression" dxfId="8941" priority="170">
      <formula>U$9&lt;8/24</formula>
    </cfRule>
  </conditionalFormatting>
  <conditionalFormatting sqref="A97">
    <cfRule type="expression" dxfId="8940" priority="166">
      <formula>$AH97=0</formula>
    </cfRule>
  </conditionalFormatting>
  <conditionalFormatting sqref="C97:M97">
    <cfRule type="expression" dxfId="8939" priority="162">
      <formula>C$9&gt;=20/24</formula>
    </cfRule>
    <cfRule type="expression" dxfId="8938" priority="163">
      <formula>AND(C$9&gt;=14/24,C$9&lt;20/24)</formula>
    </cfRule>
    <cfRule type="expression" dxfId="8937" priority="164">
      <formula>AND(C$9&gt;=8/24,C$9&lt;14/24)</formula>
    </cfRule>
    <cfRule type="expression" dxfId="8936" priority="165">
      <formula>C$9&lt;8/24</formula>
    </cfRule>
  </conditionalFormatting>
  <conditionalFormatting sqref="N97:T97">
    <cfRule type="expression" dxfId="8935" priority="158">
      <formula>N$9&gt;=20/24</formula>
    </cfRule>
    <cfRule type="expression" dxfId="8934" priority="159">
      <formula>AND(N$9&gt;=14/24,N$9&lt;20/24)</formula>
    </cfRule>
    <cfRule type="expression" dxfId="8933" priority="160">
      <formula>AND(N$9&gt;=8/24,N$9&lt;14/24)</formula>
    </cfRule>
    <cfRule type="expression" dxfId="8932" priority="161">
      <formula>N$9&lt;8/24</formula>
    </cfRule>
  </conditionalFormatting>
  <conditionalFormatting sqref="R12:T12 U12:W13">
    <cfRule type="expression" dxfId="8931" priority="150">
      <formula>R$9&gt;=20/24</formula>
    </cfRule>
    <cfRule type="expression" dxfId="8930" priority="151">
      <formula>AND(R$9&gt;=14/24,R$9&lt;20/24)</formula>
    </cfRule>
    <cfRule type="expression" dxfId="8929" priority="152">
      <formula>AND(R$9&gt;=8/24,R$9&lt;14/24)</formula>
    </cfRule>
    <cfRule type="expression" dxfId="8928" priority="153">
      <formula>R$9&lt;8/24</formula>
    </cfRule>
  </conditionalFormatting>
  <conditionalFormatting sqref="R12:W12">
    <cfRule type="expression" dxfId="8927" priority="142">
      <formula>R$9&gt;=20/24</formula>
    </cfRule>
    <cfRule type="expression" dxfId="8926" priority="143">
      <formula>AND(R$9&gt;=14/24,R$9&lt;20/24)</formula>
    </cfRule>
    <cfRule type="expression" dxfId="8925" priority="144">
      <formula>AND(R$9&gt;=8/24,R$9&lt;14/24)</formula>
    </cfRule>
    <cfRule type="expression" dxfId="8924" priority="145">
      <formula>R$9&lt;8/24</formula>
    </cfRule>
  </conditionalFormatting>
  <conditionalFormatting sqref="AA56:AF57">
    <cfRule type="expression" dxfId="8923" priority="138">
      <formula>AA$9&gt;=20/24</formula>
    </cfRule>
    <cfRule type="expression" dxfId="8922" priority="139">
      <formula>AND(AA$9&gt;=14/24,AA$9&lt;20/24)</formula>
    </cfRule>
    <cfRule type="expression" dxfId="8921" priority="140">
      <formula>AND(AA$9&gt;=8/24,AA$9&lt;14/24)</formula>
    </cfRule>
    <cfRule type="expression" dxfId="8920" priority="141">
      <formula>AA$9&lt;8/24</formula>
    </cfRule>
  </conditionalFormatting>
  <conditionalFormatting sqref="B66:B70 B82:B89 B72:B76 B78:B80 B51:B58 B11:C13 B15:C29 D25:K29">
    <cfRule type="expression" dxfId="8919" priority="134">
      <formula>B$9&gt;=20/24</formula>
    </cfRule>
    <cfRule type="expression" dxfId="8918" priority="135">
      <formula>AND(B$9&gt;=14/24,B$9&lt;20/24)</formula>
    </cfRule>
    <cfRule type="expression" dxfId="8917" priority="136">
      <formula>AND(B$9&gt;=8/24,B$9&lt;14/24)</formula>
    </cfRule>
    <cfRule type="expression" dxfId="8916" priority="137">
      <formula>B$9&lt;8/24</formula>
    </cfRule>
  </conditionalFormatting>
  <conditionalFormatting sqref="B35">
    <cfRule type="expression" dxfId="8915" priority="130">
      <formula>B$9&gt;=20/24</formula>
    </cfRule>
    <cfRule type="expression" dxfId="8914" priority="131">
      <formula>AND(B$9&gt;=14/24,B$9&lt;20/24)</formula>
    </cfRule>
    <cfRule type="expression" dxfId="8913" priority="132">
      <formula>AND(B$9&gt;=8/24,B$9&lt;14/24)</formula>
    </cfRule>
    <cfRule type="expression" dxfId="8912" priority="133">
      <formula>B$9&lt;8/24</formula>
    </cfRule>
  </conditionalFormatting>
  <conditionalFormatting sqref="B33:K33 B30:K31">
    <cfRule type="expression" dxfId="8911" priority="126">
      <formula>B$9&gt;=20/24</formula>
    </cfRule>
    <cfRule type="expression" dxfId="8910" priority="127">
      <formula>AND(B$9&gt;=14/24,B$9&lt;20/24)</formula>
    </cfRule>
    <cfRule type="expression" dxfId="8909" priority="128">
      <formula>AND(B$9&gt;=8/24,B$9&lt;14/24)</formula>
    </cfRule>
    <cfRule type="expression" dxfId="8908" priority="129">
      <formula>B$9&lt;8/24</formula>
    </cfRule>
  </conditionalFormatting>
  <conditionalFormatting sqref="B59:B65">
    <cfRule type="expression" dxfId="8907" priority="122">
      <formula>B$9&gt;=20/24</formula>
    </cfRule>
    <cfRule type="expression" dxfId="8906" priority="123">
      <formula>AND(B$9&gt;=14/24,B$9&lt;20/24)</formula>
    </cfRule>
    <cfRule type="expression" dxfId="8905" priority="124">
      <formula>AND(B$9&gt;=8/24,B$9&lt;14/24)</formula>
    </cfRule>
    <cfRule type="expression" dxfId="8904" priority="125">
      <formula>B$9&lt;8/24</formula>
    </cfRule>
  </conditionalFormatting>
  <conditionalFormatting sqref="B92:B95">
    <cfRule type="expression" dxfId="8903" priority="118">
      <formula>B$9&gt;=20/24</formula>
    </cfRule>
    <cfRule type="expression" dxfId="8902" priority="119">
      <formula>AND(B$9&gt;=14/24,B$9&lt;20/24)</formula>
    </cfRule>
    <cfRule type="expression" dxfId="8901" priority="120">
      <formula>AND(B$9&gt;=8/24,B$9&lt;14/24)</formula>
    </cfRule>
    <cfRule type="expression" dxfId="8900" priority="121">
      <formula>B$9&lt;8/24</formula>
    </cfRule>
  </conditionalFormatting>
  <conditionalFormatting sqref="B43:B54 B33:B41 B11:C13 B15:C31 D25:K31 C33:K34 C48:K48 C30:K30">
    <cfRule type="expression" dxfId="8899" priority="117">
      <formula>B11&gt;$AG11</formula>
    </cfRule>
  </conditionalFormatting>
  <conditionalFormatting sqref="B96">
    <cfRule type="expression" dxfId="8898" priority="113">
      <formula>B$9&gt;=20/24</formula>
    </cfRule>
    <cfRule type="expression" dxfId="8897" priority="114">
      <formula>AND(B$9&gt;=14/24,B$9&lt;20/24)</formula>
    </cfRule>
    <cfRule type="expression" dxfId="8896" priority="115">
      <formula>AND(B$9&gt;=8/24,B$9&lt;14/24)</formula>
    </cfRule>
    <cfRule type="expression" dxfId="8895" priority="116">
      <formula>B$9&lt;8/24</formula>
    </cfRule>
  </conditionalFormatting>
  <conditionalFormatting sqref="B34:K34">
    <cfRule type="expression" dxfId="8894" priority="109">
      <formula>B$9&gt;=20/24</formula>
    </cfRule>
    <cfRule type="expression" dxfId="8893" priority="110">
      <formula>AND(B$9&gt;=14/24,B$9&lt;20/24)</formula>
    </cfRule>
    <cfRule type="expression" dxfId="8892" priority="111">
      <formula>AND(B$9&gt;=8/24,B$9&lt;14/24)</formula>
    </cfRule>
    <cfRule type="expression" dxfId="8891" priority="112">
      <formula>B$9&lt;8/24</formula>
    </cfRule>
  </conditionalFormatting>
  <conditionalFormatting sqref="B34:K34">
    <cfRule type="expression" dxfId="8890" priority="105">
      <formula>B$9&gt;=20/24</formula>
    </cfRule>
    <cfRule type="expression" dxfId="8889" priority="106">
      <formula>AND(B$9&gt;=14/24,B$9&lt;20/24)</formula>
    </cfRule>
    <cfRule type="expression" dxfId="8888" priority="107">
      <formula>AND(B$9&gt;=8/24,B$9&lt;14/24)</formula>
    </cfRule>
    <cfRule type="expression" dxfId="8887" priority="108">
      <formula>B$9&lt;8/24</formula>
    </cfRule>
  </conditionalFormatting>
  <conditionalFormatting sqref="B32:K32">
    <cfRule type="expression" dxfId="8886" priority="101">
      <formula>B$9&gt;=20/24</formula>
    </cfRule>
    <cfRule type="expression" dxfId="8885" priority="102">
      <formula>AND(B$9&gt;=14/24,B$9&lt;20/24)</formula>
    </cfRule>
    <cfRule type="expression" dxfId="8884" priority="103">
      <formula>AND(B$9&gt;=8/24,B$9&lt;14/24)</formula>
    </cfRule>
    <cfRule type="expression" dxfId="8883" priority="104">
      <formula>B$9&lt;8/24</formula>
    </cfRule>
  </conditionalFormatting>
  <conditionalFormatting sqref="B32:K32">
    <cfRule type="expression" dxfId="8882" priority="100">
      <formula>B32&gt;$AG32</formula>
    </cfRule>
  </conditionalFormatting>
  <conditionalFormatting sqref="B81">
    <cfRule type="expression" dxfId="8881" priority="96">
      <formula>B$9&gt;=20/24</formula>
    </cfRule>
    <cfRule type="expression" dxfId="8880" priority="97">
      <formula>AND(B$9&gt;=14/24,B$9&lt;20/24)</formula>
    </cfRule>
    <cfRule type="expression" dxfId="8879" priority="98">
      <formula>AND(B$9&gt;=8/24,B$9&lt;14/24)</formula>
    </cfRule>
    <cfRule type="expression" dxfId="8878" priority="99">
      <formula>B$9&lt;8/24</formula>
    </cfRule>
  </conditionalFormatting>
  <conditionalFormatting sqref="B14:C14">
    <cfRule type="expression" dxfId="8877" priority="92">
      <formula>B$9&gt;=20/24</formula>
    </cfRule>
    <cfRule type="expression" dxfId="8876" priority="93">
      <formula>AND(B$9&gt;=14/24,B$9&lt;20/24)</formula>
    </cfRule>
    <cfRule type="expression" dxfId="8875" priority="94">
      <formula>AND(B$9&gt;=8/24,B$9&lt;14/24)</formula>
    </cfRule>
    <cfRule type="expression" dxfId="8874" priority="95">
      <formula>B$9&lt;8/24</formula>
    </cfRule>
  </conditionalFormatting>
  <conditionalFormatting sqref="B14:C14">
    <cfRule type="expression" dxfId="8873" priority="91">
      <formula>B14&gt;$AG14</formula>
    </cfRule>
  </conditionalFormatting>
  <conditionalFormatting sqref="B42">
    <cfRule type="expression" dxfId="8872" priority="90">
      <formula>B42&gt;$AG42</formula>
    </cfRule>
  </conditionalFormatting>
  <conditionalFormatting sqref="B77">
    <cfRule type="expression" dxfId="8871" priority="86">
      <formula>B$9&gt;=20/24</formula>
    </cfRule>
    <cfRule type="expression" dxfId="8870" priority="87">
      <formula>AND(B$9&gt;=14/24,B$9&lt;20/24)</formula>
    </cfRule>
    <cfRule type="expression" dxfId="8869" priority="88">
      <formula>AND(B$9&gt;=8/24,B$9&lt;14/24)</formula>
    </cfRule>
    <cfRule type="expression" dxfId="8868" priority="89">
      <formula>B$9&lt;8/24</formula>
    </cfRule>
  </conditionalFormatting>
  <conditionalFormatting sqref="B71">
    <cfRule type="expression" dxfId="8867" priority="82">
      <formula>B$9&gt;=20/24</formula>
    </cfRule>
    <cfRule type="expression" dxfId="8866" priority="83">
      <formula>AND(B$9&gt;=14/24,B$9&lt;20/24)</formula>
    </cfRule>
    <cfRule type="expression" dxfId="8865" priority="84">
      <formula>AND(B$9&gt;=8/24,B$9&lt;14/24)</formula>
    </cfRule>
    <cfRule type="expression" dxfId="8864" priority="85">
      <formula>B$9&lt;8/24</formula>
    </cfRule>
  </conditionalFormatting>
  <conditionalFormatting sqref="B97">
    <cfRule type="expression" dxfId="8863" priority="78">
      <formula>B$9&gt;=20/24</formula>
    </cfRule>
    <cfRule type="expression" dxfId="8862" priority="79">
      <formula>AND(B$9&gt;=14/24,B$9&lt;20/24)</formula>
    </cfRule>
    <cfRule type="expression" dxfId="8861" priority="80">
      <formula>AND(B$9&gt;=8/24,B$9&lt;14/24)</formula>
    </cfRule>
    <cfRule type="expression" dxfId="8860" priority="81">
      <formula>B$9&lt;8/24</formula>
    </cfRule>
  </conditionalFormatting>
  <conditionalFormatting sqref="X11:Z11 X15:Z31 X35:AB35 AA16:AB31 AC16:AF24 AC26:AF31">
    <cfRule type="expression" dxfId="8859" priority="74">
      <formula>X$9&gt;=20/24</formula>
    </cfRule>
    <cfRule type="expression" dxfId="8858" priority="75">
      <formula>AND(X$9&gt;=14/24,X$9&lt;20/24)</formula>
    </cfRule>
    <cfRule type="expression" dxfId="8857" priority="76">
      <formula>AND(X$9&gt;=8/24,X$9&lt;14/24)</formula>
    </cfRule>
    <cfRule type="expression" dxfId="8856" priority="77">
      <formula>X$9&lt;8/24</formula>
    </cfRule>
  </conditionalFormatting>
  <conditionalFormatting sqref="X33:AF33">
    <cfRule type="expression" dxfId="8855" priority="70">
      <formula>X$9&gt;=20/24</formula>
    </cfRule>
    <cfRule type="expression" dxfId="8854" priority="71">
      <formula>AND(X$9&gt;=14/24,X$9&lt;20/24)</formula>
    </cfRule>
    <cfRule type="expression" dxfId="8853" priority="72">
      <formula>AND(X$9&gt;=8/24,X$9&lt;14/24)</formula>
    </cfRule>
    <cfRule type="expression" dxfId="8852" priority="73">
      <formula>X$9&lt;8/24</formula>
    </cfRule>
  </conditionalFormatting>
  <conditionalFormatting sqref="X11:Z11 X15:Z31 X33:AB35 AA16:AB31 AC16:AF24 AC33:AF34 AC26:AF31">
    <cfRule type="expression" dxfId="8851" priority="69">
      <formula>X11&gt;$AG11</formula>
    </cfRule>
  </conditionalFormatting>
  <conditionalFormatting sqref="X34:AF34">
    <cfRule type="expression" dxfId="8850" priority="65">
      <formula>X$9&gt;=20/24</formula>
    </cfRule>
    <cfRule type="expression" dxfId="8849" priority="66">
      <formula>AND(X$9&gt;=14/24,X$9&lt;20/24)</formula>
    </cfRule>
    <cfRule type="expression" dxfId="8848" priority="67">
      <formula>AND(X$9&gt;=8/24,X$9&lt;14/24)</formula>
    </cfRule>
    <cfRule type="expression" dxfId="8847" priority="68">
      <formula>X$9&lt;8/24</formula>
    </cfRule>
  </conditionalFormatting>
  <conditionalFormatting sqref="X32:AF32">
    <cfRule type="expression" dxfId="8846" priority="61">
      <formula>X$9&gt;=20/24</formula>
    </cfRule>
    <cfRule type="expression" dxfId="8845" priority="62">
      <formula>AND(X$9&gt;=14/24,X$9&lt;20/24)</formula>
    </cfRule>
    <cfRule type="expression" dxfId="8844" priority="63">
      <formula>AND(X$9&gt;=8/24,X$9&lt;14/24)</formula>
    </cfRule>
    <cfRule type="expression" dxfId="8843" priority="64">
      <formula>X$9&lt;8/24</formula>
    </cfRule>
  </conditionalFormatting>
  <conditionalFormatting sqref="X32:AF32">
    <cfRule type="expression" dxfId="8842" priority="60">
      <formula>X32&gt;$AG32</formula>
    </cfRule>
  </conditionalFormatting>
  <conditionalFormatting sqref="X14:Z14">
    <cfRule type="expression" dxfId="8841" priority="56">
      <formula>X$9&gt;=20/24</formula>
    </cfRule>
    <cfRule type="expression" dxfId="8840" priority="57">
      <formula>AND(X$9&gt;=14/24,X$9&lt;20/24)</formula>
    </cfRule>
    <cfRule type="expression" dxfId="8839" priority="58">
      <formula>AND(X$9&gt;=8/24,X$9&lt;14/24)</formula>
    </cfRule>
    <cfRule type="expression" dxfId="8838" priority="59">
      <formula>X$9&lt;8/24</formula>
    </cfRule>
  </conditionalFormatting>
  <conditionalFormatting sqref="X14:Z14">
    <cfRule type="expression" dxfId="8837" priority="55">
      <formula>X14&gt;$AG14</formula>
    </cfRule>
  </conditionalFormatting>
  <conditionalFormatting sqref="X12:Z13">
    <cfRule type="expression" dxfId="8836" priority="51">
      <formula>X$9&gt;=20/24</formula>
    </cfRule>
    <cfRule type="expression" dxfId="8835" priority="52">
      <formula>AND(X$9&gt;=14/24,X$9&lt;20/24)</formula>
    </cfRule>
    <cfRule type="expression" dxfId="8834" priority="53">
      <formula>AND(X$9&gt;=8/24,X$9&lt;14/24)</formula>
    </cfRule>
    <cfRule type="expression" dxfId="8833" priority="54">
      <formula>X$9&lt;8/24</formula>
    </cfRule>
  </conditionalFormatting>
  <conditionalFormatting sqref="X12:Z12">
    <cfRule type="expression" dxfId="8832" priority="47">
      <formula>X$9&gt;=20/24</formula>
    </cfRule>
    <cfRule type="expression" dxfId="8831" priority="48">
      <formula>AND(X$9&gt;=14/24,X$9&lt;20/24)</formula>
    </cfRule>
    <cfRule type="expression" dxfId="8830" priority="49">
      <formula>AND(X$9&gt;=8/24,X$9&lt;14/24)</formula>
    </cfRule>
    <cfRule type="expression" dxfId="8829" priority="50">
      <formula>X$9&lt;8/24</formula>
    </cfRule>
  </conditionalFormatting>
  <conditionalFormatting sqref="X38:Z40 X43:AD43 AE46:AF46 X45:AD46">
    <cfRule type="expression" dxfId="8828" priority="43">
      <formula>X$9&gt;=20/24</formula>
    </cfRule>
    <cfRule type="expression" dxfId="8827" priority="44">
      <formula>AND(X$9&gt;=14/24,X$9&lt;20/24)</formula>
    </cfRule>
    <cfRule type="expression" dxfId="8826" priority="45">
      <formula>AND(X$9&gt;=8/24,X$9&lt;14/24)</formula>
    </cfRule>
    <cfRule type="expression" dxfId="8825" priority="46">
      <formula>X$9&lt;8/24</formula>
    </cfRule>
  </conditionalFormatting>
  <conditionalFormatting sqref="X37:Z37">
    <cfRule type="expression" dxfId="8824" priority="39">
      <formula>X$9&gt;=20/24</formula>
    </cfRule>
    <cfRule type="expression" dxfId="8823" priority="40">
      <formula>AND(X$9&gt;=14/24,X$9&lt;20/24)</formula>
    </cfRule>
    <cfRule type="expression" dxfId="8822" priority="41">
      <formula>AND(X$9&gt;=8/24,X$9&lt;14/24)</formula>
    </cfRule>
    <cfRule type="expression" dxfId="8821" priority="42">
      <formula>X$9&lt;8/24</formula>
    </cfRule>
  </conditionalFormatting>
  <conditionalFormatting sqref="X47:AF47">
    <cfRule type="expression" dxfId="8820" priority="35">
      <formula>X$9&gt;=20/24</formula>
    </cfRule>
    <cfRule type="expression" dxfId="8819" priority="36">
      <formula>AND(X$9&gt;=14/24,X$9&lt;20/24)</formula>
    </cfRule>
    <cfRule type="expression" dxfId="8818" priority="37">
      <formula>AND(X$9&gt;=8/24,X$9&lt;14/24)</formula>
    </cfRule>
    <cfRule type="expression" dxfId="8817" priority="38">
      <formula>X$9&lt;8/24</formula>
    </cfRule>
  </conditionalFormatting>
  <conditionalFormatting sqref="X48:AF48">
    <cfRule type="expression" dxfId="8816" priority="31">
      <formula>X$9&gt;=20/24</formula>
    </cfRule>
    <cfRule type="expression" dxfId="8815" priority="32">
      <formula>AND(X$9&gt;=14/24,X$9&lt;20/24)</formula>
    </cfRule>
    <cfRule type="expression" dxfId="8814" priority="33">
      <formula>AND(X$9&gt;=8/24,X$9&lt;14/24)</formula>
    </cfRule>
    <cfRule type="expression" dxfId="8813" priority="34">
      <formula>X$9&lt;8/24</formula>
    </cfRule>
  </conditionalFormatting>
  <conditionalFormatting sqref="X43:AD43 AE46:AF46 X45:AD46">
    <cfRule type="expression" dxfId="8812" priority="27">
      <formula>X$9&gt;=20/24</formula>
    </cfRule>
    <cfRule type="expression" dxfId="8811" priority="28">
      <formula>AND(X$9&gt;=14/24,X$9&lt;20/24)</formula>
    </cfRule>
    <cfRule type="expression" dxfId="8810" priority="29">
      <formula>AND(X$9&gt;=8/24,X$9&lt;14/24)</formula>
    </cfRule>
    <cfRule type="expression" dxfId="8809" priority="30">
      <formula>X$9&lt;8/24</formula>
    </cfRule>
  </conditionalFormatting>
  <conditionalFormatting sqref="X41:Z41">
    <cfRule type="expression" dxfId="8808" priority="23">
      <formula>X$9&gt;=20/24</formula>
    </cfRule>
    <cfRule type="expression" dxfId="8807" priority="24">
      <formula>AND(X$9&gt;=14/24,X$9&lt;20/24)</formula>
    </cfRule>
    <cfRule type="expression" dxfId="8806" priority="25">
      <formula>AND(X$9&gt;=8/24,X$9&lt;14/24)</formula>
    </cfRule>
    <cfRule type="expression" dxfId="8805" priority="26">
      <formula>X$9&lt;8/24</formula>
    </cfRule>
  </conditionalFormatting>
  <conditionalFormatting sqref="X37:Z41 X43:AD43 AE46:AF48 X45:AD48">
    <cfRule type="expression" dxfId="8804" priority="22">
      <formula>X37&gt;$AG37</formula>
    </cfRule>
  </conditionalFormatting>
  <conditionalFormatting sqref="X42:AC42">
    <cfRule type="expression" dxfId="8803" priority="18">
      <formula>X$9&gt;=20/24</formula>
    </cfRule>
    <cfRule type="expression" dxfId="8802" priority="19">
      <formula>AND(X$9&gt;=14/24,X$9&lt;20/24)</formula>
    </cfRule>
    <cfRule type="expression" dxfId="8801" priority="20">
      <formula>AND(X$9&gt;=8/24,X$9&lt;14/24)</formula>
    </cfRule>
    <cfRule type="expression" dxfId="8800" priority="21">
      <formula>X$9&lt;8/24</formula>
    </cfRule>
  </conditionalFormatting>
  <conditionalFormatting sqref="X42:AC42">
    <cfRule type="expression" dxfId="8799" priority="17">
      <formula>X42&gt;$AG42</formula>
    </cfRule>
  </conditionalFormatting>
  <conditionalFormatting sqref="X56:Z65 AA60:AA65">
    <cfRule type="expression" dxfId="8798" priority="13">
      <formula>X$9&gt;=20/24</formula>
    </cfRule>
    <cfRule type="expression" dxfId="8797" priority="14">
      <formula>AND(X$9&gt;=14/24,X$9&lt;20/24)</formula>
    </cfRule>
    <cfRule type="expression" dxfId="8796" priority="15">
      <formula>AND(X$9&gt;=8/24,X$9&lt;14/24)</formula>
    </cfRule>
    <cfRule type="expression" dxfId="8795" priority="16">
      <formula>X$9&lt;8/24</formula>
    </cfRule>
  </conditionalFormatting>
  <conditionalFormatting sqref="X55:Z55">
    <cfRule type="expression" dxfId="8794" priority="9">
      <formula>X$9&gt;=20/24</formula>
    </cfRule>
    <cfRule type="expression" dxfId="8793" priority="10">
      <formula>AND(X$9&gt;=14/24,X$9&lt;20/24)</formula>
    </cfRule>
    <cfRule type="expression" dxfId="8792" priority="11">
      <formula>AND(X$9&gt;=8/24,X$9&lt;14/24)</formula>
    </cfRule>
    <cfRule type="expression" dxfId="8791" priority="12">
      <formula>X$9&lt;8/24</formula>
    </cfRule>
  </conditionalFormatting>
  <conditionalFormatting sqref="X83:Z89">
    <cfRule type="expression" dxfId="8790" priority="5">
      <formula>X$9&gt;=20/24</formula>
    </cfRule>
    <cfRule type="expression" dxfId="8789" priority="6">
      <formula>AND(X$9&gt;=14/24,X$9&lt;20/24)</formula>
    </cfRule>
    <cfRule type="expression" dxfId="8788" priority="7">
      <formula>AND(X$9&gt;=8/24,X$9&lt;14/24)</formula>
    </cfRule>
    <cfRule type="expression" dxfId="8787" priority="8">
      <formula>X$9&lt;8/24</formula>
    </cfRule>
  </conditionalFormatting>
  <conditionalFormatting sqref="X82:Z82">
    <cfRule type="expression" dxfId="8786" priority="1">
      <formula>X$9&gt;=20/24</formula>
    </cfRule>
    <cfRule type="expression" dxfId="8785" priority="2">
      <formula>AND(X$9&gt;=14/24,X$9&lt;20/24)</formula>
    </cfRule>
    <cfRule type="expression" dxfId="8784" priority="3">
      <formula>AND(X$9&gt;=8/24,X$9&lt;14/24)</formula>
    </cfRule>
    <cfRule type="expression" dxfId="8783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2078/07/7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-24.1</v>
      </c>
      <c r="C5" s="32">
        <f t="shared" ref="C5:AF5" si="0">C66</f>
        <v>-29</v>
      </c>
      <c r="D5" s="32">
        <f t="shared" si="0"/>
        <v>-30.2</v>
      </c>
      <c r="E5" s="32">
        <f t="shared" si="0"/>
        <v>-36</v>
      </c>
      <c r="F5" s="32">
        <f t="shared" si="0"/>
        <v>-10</v>
      </c>
      <c r="G5" s="32">
        <f t="shared" si="0"/>
        <v>-31</v>
      </c>
      <c r="H5" s="32">
        <f t="shared" si="0"/>
        <v>-29.1</v>
      </c>
      <c r="I5" s="32">
        <f t="shared" si="0"/>
        <v>-13.5</v>
      </c>
      <c r="J5" s="32">
        <f t="shared" si="0"/>
        <v>-14.5</v>
      </c>
      <c r="K5" s="32">
        <f t="shared" si="0"/>
        <v>-23.2</v>
      </c>
      <c r="L5" s="32">
        <f t="shared" si="0"/>
        <v>-45.3</v>
      </c>
      <c r="M5" s="32">
        <f t="shared" si="0"/>
        <v>37.9</v>
      </c>
      <c r="N5" s="32">
        <f t="shared" si="0"/>
        <v>8.4</v>
      </c>
      <c r="O5" s="32">
        <f t="shared" si="0"/>
        <v>0</v>
      </c>
      <c r="P5" s="32">
        <f t="shared" si="0"/>
        <v>-46.1</v>
      </c>
      <c r="Q5" s="32">
        <f t="shared" si="0"/>
        <v>-7.8</v>
      </c>
      <c r="R5" s="32">
        <f t="shared" si="0"/>
        <v>-23.6</v>
      </c>
      <c r="S5" s="32">
        <f t="shared" si="0"/>
        <v>-8</v>
      </c>
      <c r="T5" s="32">
        <f t="shared" si="0"/>
        <v>-37.200000000000003</v>
      </c>
      <c r="U5" s="32">
        <f t="shared" si="0"/>
        <v>-8</v>
      </c>
      <c r="V5" s="32">
        <f t="shared" si="0"/>
        <v>-11</v>
      </c>
      <c r="W5" s="32">
        <f t="shared" si="0"/>
        <v>63</v>
      </c>
      <c r="X5" s="32">
        <f t="shared" si="0"/>
        <v>-14.4</v>
      </c>
      <c r="Y5" s="32">
        <f t="shared" si="0"/>
        <v>-34</v>
      </c>
      <c r="Z5" s="32">
        <f t="shared" si="0"/>
        <v>-28</v>
      </c>
      <c r="AA5" s="32">
        <f t="shared" si="0"/>
        <v>-31.2</v>
      </c>
      <c r="AB5" s="32">
        <f t="shared" si="0"/>
        <v>-47</v>
      </c>
      <c r="AC5" s="32">
        <f t="shared" si="0"/>
        <v>-11.4</v>
      </c>
      <c r="AD5" s="32">
        <f t="shared" si="0"/>
        <v>-46.8</v>
      </c>
      <c r="AE5" s="32">
        <f t="shared" si="0"/>
        <v>-32.799999999999997</v>
      </c>
      <c r="AF5" s="32">
        <f t="shared" si="0"/>
        <v>-39.700000000000003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1058MW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Load=702</v>
      </c>
      <c r="B7" s="37">
        <f t="shared" ref="B7:AF7" si="1">B73</f>
        <v>729.24</v>
      </c>
      <c r="C7" s="37">
        <f t="shared" si="1"/>
        <v>725.93999999999994</v>
      </c>
      <c r="D7" s="37">
        <f t="shared" si="1"/>
        <v>713.83999999999992</v>
      </c>
      <c r="E7" s="37">
        <f t="shared" si="1"/>
        <v>702.14</v>
      </c>
      <c r="F7" s="37">
        <f t="shared" si="1"/>
        <v>742.93999999999994</v>
      </c>
      <c r="G7" s="37">
        <f t="shared" si="1"/>
        <v>799.14</v>
      </c>
      <c r="H7" s="37">
        <f t="shared" si="1"/>
        <v>835.83999999999992</v>
      </c>
      <c r="I7" s="37">
        <f t="shared" si="1"/>
        <v>884.84</v>
      </c>
      <c r="J7" s="37">
        <f t="shared" si="1"/>
        <v>974.94</v>
      </c>
      <c r="K7" s="37">
        <f t="shared" si="1"/>
        <v>1048.1400000000001</v>
      </c>
      <c r="L7" s="37">
        <f>L73</f>
        <v>1058.1400000000001</v>
      </c>
      <c r="M7" s="37">
        <f t="shared" si="1"/>
        <v>1055.1399999999999</v>
      </c>
      <c r="N7" s="37">
        <f t="shared" si="1"/>
        <v>1096.6400000000001</v>
      </c>
      <c r="O7" s="37">
        <f t="shared" si="1"/>
        <v>1051.44</v>
      </c>
      <c r="P7" s="37">
        <f t="shared" si="1"/>
        <v>1076.74</v>
      </c>
      <c r="Q7" s="37">
        <f t="shared" si="1"/>
        <v>1081.74</v>
      </c>
      <c r="R7" s="37">
        <f t="shared" si="1"/>
        <v>1076.1400000000001</v>
      </c>
      <c r="S7" s="37">
        <f t="shared" si="1"/>
        <v>1115.44</v>
      </c>
      <c r="T7" s="37">
        <f t="shared" si="1"/>
        <v>1084.8400000000001</v>
      </c>
      <c r="U7" s="37">
        <f t="shared" si="1"/>
        <v>1149.8400000000001</v>
      </c>
      <c r="V7" s="37">
        <f t="shared" si="1"/>
        <v>1204.1400000000001</v>
      </c>
      <c r="W7" s="37">
        <f t="shared" si="1"/>
        <v>1391.74</v>
      </c>
      <c r="X7" s="37">
        <f t="shared" si="1"/>
        <v>1392.5400000000002</v>
      </c>
      <c r="Y7" s="37">
        <f t="shared" si="1"/>
        <v>1303.94</v>
      </c>
      <c r="Z7" s="37">
        <f t="shared" si="1"/>
        <v>1255.3400000000001</v>
      </c>
      <c r="AA7" s="37">
        <f t="shared" si="1"/>
        <v>1172.44</v>
      </c>
      <c r="AB7" s="37">
        <f t="shared" si="1"/>
        <v>1103.3400000000001</v>
      </c>
      <c r="AC7" s="37">
        <f t="shared" si="1"/>
        <v>1086.6400000000001</v>
      </c>
      <c r="AD7" s="37">
        <f t="shared" si="1"/>
        <v>952.74</v>
      </c>
      <c r="AE7" s="37">
        <f t="shared" si="1"/>
        <v>911.74</v>
      </c>
      <c r="AF7" s="37">
        <f t="shared" si="1"/>
        <v>904.54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80</v>
      </c>
      <c r="C11" s="54">
        <v>80</v>
      </c>
      <c r="D11" s="49">
        <v>80</v>
      </c>
      <c r="E11" s="49">
        <v>80</v>
      </c>
      <c r="F11" s="49">
        <v>80</v>
      </c>
      <c r="G11" s="49">
        <v>100</v>
      </c>
      <c r="H11" s="49">
        <v>100</v>
      </c>
      <c r="I11" s="49">
        <v>100</v>
      </c>
      <c r="J11" s="49">
        <v>120</v>
      </c>
      <c r="K11" s="49">
        <v>150</v>
      </c>
      <c r="L11" s="50">
        <v>200</v>
      </c>
      <c r="M11" s="50">
        <v>0</v>
      </c>
      <c r="N11" s="50">
        <v>0</v>
      </c>
      <c r="O11" s="50">
        <v>0</v>
      </c>
      <c r="P11" s="50">
        <v>130</v>
      </c>
      <c r="Q11" s="51">
        <v>100</v>
      </c>
      <c r="R11" s="52">
        <v>120</v>
      </c>
      <c r="S11" s="52">
        <v>143</v>
      </c>
      <c r="T11" s="52">
        <v>146.5</v>
      </c>
      <c r="U11" s="52">
        <v>169</v>
      </c>
      <c r="V11" s="52">
        <v>221</v>
      </c>
      <c r="W11" s="52">
        <v>254</v>
      </c>
      <c r="X11" s="52">
        <v>302</v>
      </c>
      <c r="Y11" s="53">
        <v>270</v>
      </c>
      <c r="Z11" s="54">
        <v>245</v>
      </c>
      <c r="AA11" s="54">
        <v>190</v>
      </c>
      <c r="AB11" s="54">
        <v>150</v>
      </c>
      <c r="AC11" s="54">
        <v>130</v>
      </c>
      <c r="AD11" s="54">
        <v>90</v>
      </c>
      <c r="AE11" s="54">
        <v>90</v>
      </c>
      <c r="AF11" s="54">
        <v>90</v>
      </c>
      <c r="AG11" s="55">
        <v>456</v>
      </c>
      <c r="AH11" s="56">
        <f>MAX(B11:AF11)</f>
        <v>302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49">
        <v>44</v>
      </c>
      <c r="F12" s="49">
        <v>44</v>
      </c>
      <c r="G12" s="49">
        <v>50</v>
      </c>
      <c r="H12" s="49">
        <v>50</v>
      </c>
      <c r="I12" s="49">
        <v>50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50</v>
      </c>
      <c r="AE12" s="60">
        <v>50</v>
      </c>
      <c r="AF12" s="60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50">
        <v>25</v>
      </c>
      <c r="C13" s="50">
        <v>25</v>
      </c>
      <c r="D13" s="50">
        <v>25</v>
      </c>
      <c r="E13" s="50">
        <v>25</v>
      </c>
      <c r="F13" s="50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50">
        <v>25</v>
      </c>
      <c r="U13" s="50">
        <v>25</v>
      </c>
      <c r="V13" s="62">
        <v>25</v>
      </c>
      <c r="W13" s="62">
        <v>25</v>
      </c>
      <c r="X13" s="62">
        <v>25</v>
      </c>
      <c r="Y13" s="62">
        <v>25</v>
      </c>
      <c r="Z13" s="62">
        <v>25</v>
      </c>
      <c r="AA13" s="62">
        <v>25</v>
      </c>
      <c r="AB13" s="62">
        <v>25</v>
      </c>
      <c r="AC13" s="62">
        <v>25</v>
      </c>
      <c r="AD13" s="62">
        <v>25</v>
      </c>
      <c r="AE13" s="62">
        <v>25</v>
      </c>
      <c r="AF13" s="62">
        <v>25</v>
      </c>
      <c r="AG13" s="61">
        <v>52.4</v>
      </c>
      <c r="AH13" s="56">
        <f t="shared" si="2"/>
        <v>25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50">
        <v>36.9</v>
      </c>
      <c r="C14" s="50">
        <v>36.9</v>
      </c>
      <c r="D14" s="50">
        <v>36.9</v>
      </c>
      <c r="E14" s="50">
        <v>36.9</v>
      </c>
      <c r="F14" s="50">
        <v>36.9</v>
      </c>
      <c r="G14" s="50">
        <v>36.9</v>
      </c>
      <c r="H14" s="50">
        <v>36.9</v>
      </c>
      <c r="I14" s="63">
        <v>41.8</v>
      </c>
      <c r="J14" s="63">
        <v>41.8</v>
      </c>
      <c r="K14" s="63">
        <v>41.8</v>
      </c>
      <c r="L14" s="50">
        <v>41.8</v>
      </c>
      <c r="M14" s="50">
        <v>41.8</v>
      </c>
      <c r="N14" s="50">
        <v>41.8</v>
      </c>
      <c r="O14" s="50">
        <v>41.8</v>
      </c>
      <c r="P14" s="50">
        <v>41.8</v>
      </c>
      <c r="Q14" s="50">
        <v>41.8</v>
      </c>
      <c r="R14" s="50">
        <v>41.8</v>
      </c>
      <c r="S14" s="50">
        <v>41.8</v>
      </c>
      <c r="T14" s="50">
        <v>41.8</v>
      </c>
      <c r="U14" s="50">
        <v>41.8</v>
      </c>
      <c r="V14" s="62">
        <v>45</v>
      </c>
      <c r="W14" s="62">
        <v>45</v>
      </c>
      <c r="X14" s="62">
        <v>45</v>
      </c>
      <c r="Y14" s="62">
        <v>45</v>
      </c>
      <c r="Z14" s="62">
        <v>45</v>
      </c>
      <c r="AA14" s="62">
        <v>37</v>
      </c>
      <c r="AB14" s="62">
        <v>37</v>
      </c>
      <c r="AC14" s="62">
        <v>37</v>
      </c>
      <c r="AD14" s="62">
        <v>37</v>
      </c>
      <c r="AE14" s="62">
        <v>37</v>
      </c>
      <c r="AF14" s="62">
        <v>37</v>
      </c>
      <c r="AG14" s="64">
        <v>45</v>
      </c>
      <c r="AH14" s="56">
        <f t="shared" si="2"/>
        <v>45</v>
      </c>
      <c r="AI14" s="57">
        <f t="shared" si="3"/>
        <v>36.9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50">
        <v>20</v>
      </c>
      <c r="C15" s="50">
        <v>20</v>
      </c>
      <c r="D15" s="50">
        <v>20</v>
      </c>
      <c r="E15" s="50">
        <v>20</v>
      </c>
      <c r="F15" s="50">
        <v>20</v>
      </c>
      <c r="G15" s="50">
        <v>20</v>
      </c>
      <c r="H15" s="50">
        <v>20</v>
      </c>
      <c r="I15" s="49">
        <v>22</v>
      </c>
      <c r="J15" s="49">
        <v>24</v>
      </c>
      <c r="K15" s="49">
        <v>24</v>
      </c>
      <c r="L15" s="50">
        <v>0</v>
      </c>
      <c r="M15" s="50">
        <v>0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24</v>
      </c>
      <c r="V15" s="65">
        <v>26</v>
      </c>
      <c r="W15" s="65">
        <v>26</v>
      </c>
      <c r="X15" s="65">
        <v>26</v>
      </c>
      <c r="Y15" s="65">
        <v>26</v>
      </c>
      <c r="Z15" s="65">
        <v>26</v>
      </c>
      <c r="AA15" s="65">
        <v>26</v>
      </c>
      <c r="AB15" s="65">
        <v>26</v>
      </c>
      <c r="AC15" s="65">
        <v>26</v>
      </c>
      <c r="AD15" s="65">
        <v>26</v>
      </c>
      <c r="AE15" s="65">
        <v>19</v>
      </c>
      <c r="AF15" s="65">
        <v>19</v>
      </c>
      <c r="AG15" s="61">
        <v>45</v>
      </c>
      <c r="AH15" s="56">
        <f t="shared" si="2"/>
        <v>26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50">
        <v>12.5</v>
      </c>
      <c r="C16" s="50">
        <v>12.5</v>
      </c>
      <c r="D16" s="50">
        <v>12.5</v>
      </c>
      <c r="E16" s="50">
        <v>12.5</v>
      </c>
      <c r="F16" s="50">
        <v>12.5</v>
      </c>
      <c r="G16" s="50">
        <v>12.5</v>
      </c>
      <c r="H16" s="50">
        <v>12.5</v>
      </c>
      <c r="I16" s="49">
        <v>12.5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62">
        <v>25</v>
      </c>
      <c r="AD16" s="62">
        <v>25</v>
      </c>
      <c r="AE16" s="62">
        <v>20</v>
      </c>
      <c r="AF16" s="62">
        <v>20</v>
      </c>
      <c r="AG16" s="61">
        <v>42</v>
      </c>
      <c r="AH16" s="56">
        <f t="shared" si="2"/>
        <v>25</v>
      </c>
      <c r="AI16" s="57">
        <f t="shared" si="3"/>
        <v>12.5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20</v>
      </c>
      <c r="C17" s="50">
        <v>20</v>
      </c>
      <c r="D17" s="50">
        <v>20</v>
      </c>
      <c r="E17" s="50">
        <v>20</v>
      </c>
      <c r="F17" s="50">
        <v>20</v>
      </c>
      <c r="G17" s="50">
        <v>20</v>
      </c>
      <c r="H17" s="50">
        <v>20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21.2</v>
      </c>
      <c r="C18" s="50">
        <v>21.2</v>
      </c>
      <c r="D18" s="50">
        <v>21.2</v>
      </c>
      <c r="E18" s="50">
        <v>21.2</v>
      </c>
      <c r="F18" s="50">
        <v>21.2</v>
      </c>
      <c r="G18" s="50">
        <v>21.2</v>
      </c>
      <c r="H18" s="50">
        <v>21.2</v>
      </c>
      <c r="I18" s="49">
        <v>21.6</v>
      </c>
      <c r="J18" s="49">
        <v>21.6</v>
      </c>
      <c r="K18" s="49">
        <v>21.6</v>
      </c>
      <c r="L18" s="50">
        <v>21.6</v>
      </c>
      <c r="M18" s="50">
        <v>21.6</v>
      </c>
      <c r="N18" s="50">
        <v>21.1</v>
      </c>
      <c r="O18" s="50">
        <v>21.1</v>
      </c>
      <c r="P18" s="50">
        <v>23.5</v>
      </c>
      <c r="Q18" s="50">
        <v>23.5</v>
      </c>
      <c r="R18" s="50">
        <v>25</v>
      </c>
      <c r="S18" s="50">
        <v>25</v>
      </c>
      <c r="T18" s="50">
        <v>20</v>
      </c>
      <c r="U18" s="50">
        <v>22.6</v>
      </c>
      <c r="V18" s="50">
        <v>22.6</v>
      </c>
      <c r="W18" s="50">
        <v>22.6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61">
        <v>30</v>
      </c>
      <c r="AH18" s="56">
        <f t="shared" si="2"/>
        <v>25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17</v>
      </c>
      <c r="C21" s="50">
        <v>17</v>
      </c>
      <c r="D21" s="50">
        <v>17</v>
      </c>
      <c r="E21" s="50">
        <v>17</v>
      </c>
      <c r="F21" s="50">
        <v>17</v>
      </c>
      <c r="G21" s="50">
        <v>17</v>
      </c>
      <c r="H21" s="50">
        <v>17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25</v>
      </c>
      <c r="AH21" s="56">
        <f t="shared" si="2"/>
        <v>22</v>
      </c>
      <c r="AI21" s="57">
        <f t="shared" si="3"/>
        <v>17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19</v>
      </c>
      <c r="C22" s="50">
        <v>19</v>
      </c>
      <c r="D22" s="50">
        <v>19</v>
      </c>
      <c r="E22" s="50">
        <v>19</v>
      </c>
      <c r="F22" s="50">
        <v>19</v>
      </c>
      <c r="G22" s="50">
        <v>19</v>
      </c>
      <c r="H22" s="50">
        <v>19</v>
      </c>
      <c r="I22" s="50">
        <v>19</v>
      </c>
      <c r="J22" s="50">
        <v>23</v>
      </c>
      <c r="K22" s="50">
        <v>23</v>
      </c>
      <c r="L22" s="50">
        <v>23</v>
      </c>
      <c r="M22" s="50">
        <v>23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1">
        <v>25</v>
      </c>
      <c r="AH22" s="56">
        <f t="shared" si="2"/>
        <v>23</v>
      </c>
      <c r="AI22" s="57">
        <f t="shared" si="3"/>
        <v>19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18</v>
      </c>
      <c r="C23" s="50">
        <v>18</v>
      </c>
      <c r="D23" s="50">
        <v>18</v>
      </c>
      <c r="E23" s="50">
        <v>18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11</v>
      </c>
      <c r="C24" s="50">
        <v>11</v>
      </c>
      <c r="D24" s="50">
        <v>11</v>
      </c>
      <c r="E24" s="50">
        <v>11</v>
      </c>
      <c r="F24" s="50">
        <v>11</v>
      </c>
      <c r="G24" s="50">
        <v>11</v>
      </c>
      <c r="H24" s="50">
        <v>11</v>
      </c>
      <c r="I24" s="50">
        <v>11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1">
        <v>24.2</v>
      </c>
      <c r="AH24" s="56">
        <f t="shared" si="2"/>
        <v>22</v>
      </c>
      <c r="AI24" s="57">
        <f t="shared" si="3"/>
        <v>11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5</v>
      </c>
      <c r="C25" s="50">
        <v>5</v>
      </c>
      <c r="D25" s="50">
        <v>5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1">
        <v>20</v>
      </c>
      <c r="AH25" s="56">
        <f>MAX(B25:AF25)</f>
        <v>10</v>
      </c>
      <c r="AI25" s="57">
        <f>MIN(B25:AF25)</f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50">
        <v>14</v>
      </c>
      <c r="AE26" s="50">
        <v>14</v>
      </c>
      <c r="AF26" s="50">
        <v>14</v>
      </c>
      <c r="AG26" s="61">
        <v>23.5</v>
      </c>
      <c r="AH26" s="56">
        <f t="shared" si="2"/>
        <v>14</v>
      </c>
      <c r="AI26" s="57">
        <f t="shared" si="3"/>
        <v>14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6</v>
      </c>
      <c r="C27" s="50">
        <v>6</v>
      </c>
      <c r="D27" s="50">
        <v>6</v>
      </c>
      <c r="E27" s="50">
        <v>6</v>
      </c>
      <c r="F27" s="50">
        <v>6</v>
      </c>
      <c r="G27" s="50">
        <v>6</v>
      </c>
      <c r="H27" s="50">
        <v>6</v>
      </c>
      <c r="I27" s="50">
        <v>6</v>
      </c>
      <c r="J27" s="50">
        <v>6</v>
      </c>
      <c r="K27" s="50">
        <v>6</v>
      </c>
      <c r="L27" s="50">
        <v>0</v>
      </c>
      <c r="M27" s="50">
        <v>6</v>
      </c>
      <c r="N27" s="50">
        <v>6</v>
      </c>
      <c r="O27" s="50">
        <v>6</v>
      </c>
      <c r="P27" s="50">
        <v>6</v>
      </c>
      <c r="Q27" s="50">
        <v>6</v>
      </c>
      <c r="R27" s="50">
        <v>6</v>
      </c>
      <c r="S27" s="50">
        <v>6</v>
      </c>
      <c r="T27" s="50">
        <v>6</v>
      </c>
      <c r="U27" s="50">
        <v>6</v>
      </c>
      <c r="V27" s="50">
        <v>6</v>
      </c>
      <c r="W27" s="50">
        <v>6</v>
      </c>
      <c r="X27" s="50">
        <v>6</v>
      </c>
      <c r="Y27" s="50">
        <v>6</v>
      </c>
      <c r="Z27" s="50">
        <v>6</v>
      </c>
      <c r="AA27" s="50">
        <v>6</v>
      </c>
      <c r="AB27" s="50">
        <v>6</v>
      </c>
      <c r="AC27" s="50">
        <v>6</v>
      </c>
      <c r="AD27" s="50">
        <v>6</v>
      </c>
      <c r="AE27" s="50">
        <v>6</v>
      </c>
      <c r="AF27" s="50">
        <v>6</v>
      </c>
      <c r="AG27" s="61">
        <v>22.2</v>
      </c>
      <c r="AH27" s="56">
        <f t="shared" si="2"/>
        <v>6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0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140</v>
      </c>
      <c r="C34" s="63">
        <v>140</v>
      </c>
      <c r="D34" s="63">
        <v>140</v>
      </c>
      <c r="E34" s="63">
        <v>140</v>
      </c>
      <c r="F34" s="63">
        <v>140</v>
      </c>
      <c r="G34" s="63">
        <v>140</v>
      </c>
      <c r="H34" s="63">
        <v>140</v>
      </c>
      <c r="I34" s="63">
        <v>140</v>
      </c>
      <c r="J34" s="63">
        <v>170</v>
      </c>
      <c r="K34" s="63">
        <v>170</v>
      </c>
      <c r="L34" s="63">
        <v>170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226</v>
      </c>
      <c r="Y34" s="63">
        <v>226</v>
      </c>
      <c r="Z34" s="63">
        <v>226</v>
      </c>
      <c r="AA34" s="63">
        <v>226</v>
      </c>
      <c r="AB34" s="63">
        <v>226</v>
      </c>
      <c r="AC34" s="63">
        <v>226</v>
      </c>
      <c r="AD34" s="63">
        <v>226</v>
      </c>
      <c r="AE34" s="63">
        <v>226</v>
      </c>
      <c r="AF34" s="63">
        <v>226</v>
      </c>
      <c r="AG34" s="69">
        <v>85</v>
      </c>
      <c r="AH34" s="56">
        <f t="shared" si="2"/>
        <v>226</v>
      </c>
      <c r="AI34" s="57">
        <f t="shared" si="3"/>
        <v>140</v>
      </c>
      <c r="AK34" s="58"/>
    </row>
    <row r="35" spans="1:88" ht="15.75" thickBot="1" x14ac:dyDescent="0.3">
      <c r="A35" s="71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72">
        <f>62+71</f>
        <v>133</v>
      </c>
      <c r="M35" s="72">
        <v>132.80000000000001</v>
      </c>
      <c r="N35" s="72">
        <v>132.80000000000001</v>
      </c>
      <c r="O35" s="72">
        <v>132.80000000000001</v>
      </c>
      <c r="P35" s="72">
        <v>133</v>
      </c>
      <c r="Q35" s="72">
        <v>133</v>
      </c>
      <c r="R35" s="72">
        <v>133</v>
      </c>
      <c r="S35" s="72">
        <v>133</v>
      </c>
      <c r="T35" s="72">
        <v>133</v>
      </c>
      <c r="U35" s="72">
        <v>132</v>
      </c>
      <c r="V35" s="72">
        <v>133</v>
      </c>
      <c r="W35" s="72">
        <v>133</v>
      </c>
      <c r="X35" s="72">
        <v>133</v>
      </c>
      <c r="Y35" s="72">
        <v>133</v>
      </c>
      <c r="Z35" s="72">
        <v>133</v>
      </c>
      <c r="AA35" s="72">
        <v>133</v>
      </c>
      <c r="AB35" s="72">
        <v>133</v>
      </c>
      <c r="AC35" s="72">
        <v>133</v>
      </c>
      <c r="AD35" s="72">
        <v>133</v>
      </c>
      <c r="AE35" s="72">
        <v>130</v>
      </c>
      <c r="AF35" s="72">
        <v>130</v>
      </c>
      <c r="AG35" s="69">
        <v>240</v>
      </c>
      <c r="AH35" s="56">
        <f t="shared" si="2"/>
        <v>133</v>
      </c>
      <c r="AI35" s="57">
        <f t="shared" si="3"/>
        <v>130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526.79999999999995</v>
      </c>
      <c r="C36" s="74">
        <f t="shared" si="4"/>
        <v>526.79999999999995</v>
      </c>
      <c r="D36" s="74">
        <f t="shared" si="4"/>
        <v>526.79999999999995</v>
      </c>
      <c r="E36" s="74">
        <f t="shared" si="4"/>
        <v>525.79999999999995</v>
      </c>
      <c r="F36" s="74">
        <f t="shared" si="4"/>
        <v>529.79999999999995</v>
      </c>
      <c r="G36" s="74">
        <f t="shared" si="4"/>
        <v>555.79999999999995</v>
      </c>
      <c r="H36" s="74">
        <f t="shared" si="4"/>
        <v>555.79999999999995</v>
      </c>
      <c r="I36" s="74">
        <f t="shared" si="4"/>
        <v>573.1</v>
      </c>
      <c r="J36" s="74">
        <f t="shared" si="4"/>
        <v>662.6</v>
      </c>
      <c r="K36" s="74">
        <f t="shared" si="4"/>
        <v>692.6</v>
      </c>
      <c r="L36" s="74">
        <f t="shared" si="4"/>
        <v>712.6</v>
      </c>
      <c r="M36" s="74">
        <f t="shared" si="4"/>
        <v>558.6</v>
      </c>
      <c r="N36" s="74">
        <f t="shared" si="4"/>
        <v>583.20000000000005</v>
      </c>
      <c r="O36" s="74">
        <f t="shared" si="4"/>
        <v>583.20000000000005</v>
      </c>
      <c r="P36" s="74">
        <f t="shared" si="4"/>
        <v>715.6</v>
      </c>
      <c r="Q36" s="74">
        <f t="shared" si="4"/>
        <v>685.6</v>
      </c>
      <c r="R36" s="74">
        <f t="shared" si="4"/>
        <v>707.1</v>
      </c>
      <c r="S36" s="74">
        <f t="shared" si="4"/>
        <v>730.1</v>
      </c>
      <c r="T36" s="74">
        <f t="shared" si="4"/>
        <v>728.6</v>
      </c>
      <c r="U36" s="74">
        <f t="shared" si="4"/>
        <v>751.7</v>
      </c>
      <c r="V36" s="74">
        <f t="shared" si="4"/>
        <v>808.90000000000009</v>
      </c>
      <c r="W36" s="74">
        <f t="shared" si="4"/>
        <v>841.9</v>
      </c>
      <c r="X36" s="74">
        <f t="shared" si="4"/>
        <v>918.30000000000007</v>
      </c>
      <c r="Y36" s="74">
        <f t="shared" si="4"/>
        <v>886.30000000000007</v>
      </c>
      <c r="Z36" s="74">
        <f t="shared" si="4"/>
        <v>861.30000000000007</v>
      </c>
      <c r="AA36" s="74">
        <f t="shared" si="4"/>
        <v>798.3</v>
      </c>
      <c r="AB36" s="74">
        <f t="shared" si="4"/>
        <v>758.3</v>
      </c>
      <c r="AC36" s="74">
        <f t="shared" si="4"/>
        <v>738.3</v>
      </c>
      <c r="AD36" s="74">
        <f t="shared" si="4"/>
        <v>688.3</v>
      </c>
      <c r="AE36" s="74">
        <f t="shared" si="4"/>
        <v>676.3</v>
      </c>
      <c r="AF36" s="74">
        <f t="shared" si="4"/>
        <v>676.3</v>
      </c>
      <c r="AG36" s="69">
        <f>SUM(AG11:AG35)</f>
        <v>1431.83</v>
      </c>
      <c r="AH36" s="56">
        <f t="shared" si="2"/>
        <v>918.30000000000007</v>
      </c>
      <c r="AI36" s="57">
        <f t="shared" si="3"/>
        <v>525.79999999999995</v>
      </c>
      <c r="AK36" s="58"/>
    </row>
    <row r="37" spans="1:88" x14ac:dyDescent="0.25">
      <c r="A37" s="59" t="s">
        <v>45</v>
      </c>
      <c r="B37" s="49">
        <v>80.7</v>
      </c>
      <c r="C37" s="63">
        <v>71.099999999999994</v>
      </c>
      <c r="D37" s="63">
        <v>70.900000000000006</v>
      </c>
      <c r="E37" s="63">
        <v>70.900000000000006</v>
      </c>
      <c r="F37" s="63">
        <v>70.8</v>
      </c>
      <c r="G37" s="63">
        <v>96.6</v>
      </c>
      <c r="H37" s="63">
        <v>105.6</v>
      </c>
      <c r="I37" s="63">
        <v>110.6</v>
      </c>
      <c r="J37" s="63">
        <v>111.8</v>
      </c>
      <c r="K37" s="63">
        <v>144.1</v>
      </c>
      <c r="L37" s="50">
        <v>144.30000000000001</v>
      </c>
      <c r="M37" s="50">
        <v>144.30000000000001</v>
      </c>
      <c r="N37" s="50">
        <v>144.6</v>
      </c>
      <c r="O37" s="50">
        <v>144.6</v>
      </c>
      <c r="P37" s="50">
        <v>144.6</v>
      </c>
      <c r="Q37" s="50">
        <v>144.5</v>
      </c>
      <c r="R37" s="50">
        <v>130.9</v>
      </c>
      <c r="S37" s="50">
        <v>131.6</v>
      </c>
      <c r="T37" s="50">
        <v>131.69999999999999</v>
      </c>
      <c r="U37" s="50">
        <v>144.30000000000001</v>
      </c>
      <c r="V37" s="50">
        <v>144.4</v>
      </c>
      <c r="W37" s="50">
        <v>144.4</v>
      </c>
      <c r="X37" s="50">
        <v>145.80000000000001</v>
      </c>
      <c r="Y37" s="50">
        <v>145.80000000000001</v>
      </c>
      <c r="Z37" s="50">
        <v>145.80000000000001</v>
      </c>
      <c r="AA37" s="50">
        <v>145</v>
      </c>
      <c r="AB37" s="50">
        <v>145</v>
      </c>
      <c r="AC37" s="50">
        <v>129.30000000000001</v>
      </c>
      <c r="AD37" s="50">
        <v>121.2</v>
      </c>
      <c r="AE37" s="50">
        <v>96</v>
      </c>
      <c r="AF37" s="50">
        <v>95.8</v>
      </c>
      <c r="AG37" s="64">
        <v>144</v>
      </c>
      <c r="AH37" s="56">
        <f t="shared" si="2"/>
        <v>145.80000000000001</v>
      </c>
      <c r="AI37" s="57">
        <f t="shared" si="3"/>
        <v>70.8</v>
      </c>
      <c r="AK37" s="58"/>
    </row>
    <row r="38" spans="1:88" x14ac:dyDescent="0.25">
      <c r="A38" s="68" t="s">
        <v>46</v>
      </c>
      <c r="B38" s="63">
        <v>24.8</v>
      </c>
      <c r="C38" s="63">
        <v>34.799999999999997</v>
      </c>
      <c r="D38" s="63">
        <v>24.7</v>
      </c>
      <c r="E38" s="63">
        <v>24.8</v>
      </c>
      <c r="F38" s="63">
        <v>24.8</v>
      </c>
      <c r="G38" s="63">
        <v>34.9</v>
      </c>
      <c r="H38" s="63">
        <v>34.9</v>
      </c>
      <c r="I38" s="63">
        <v>34.700000000000003</v>
      </c>
      <c r="J38" s="63">
        <v>34.799999999999997</v>
      </c>
      <c r="K38" s="63">
        <v>35.299999999999997</v>
      </c>
      <c r="L38" s="52">
        <v>35.200000000000003</v>
      </c>
      <c r="M38" s="52">
        <v>35.200000000000003</v>
      </c>
      <c r="N38" s="52">
        <v>35.200000000000003</v>
      </c>
      <c r="O38" s="52">
        <v>35.200000000000003</v>
      </c>
      <c r="P38" s="52">
        <v>35.200000000000003</v>
      </c>
      <c r="Q38" s="52">
        <v>35.200000000000003</v>
      </c>
      <c r="R38" s="52">
        <v>35.200000000000003</v>
      </c>
      <c r="S38" s="52">
        <v>35.200000000000003</v>
      </c>
      <c r="T38" s="52">
        <v>35.200000000000003</v>
      </c>
      <c r="U38" s="52">
        <v>35.299999999999997</v>
      </c>
      <c r="V38" s="52">
        <v>35.299999999999997</v>
      </c>
      <c r="W38" s="52">
        <v>35.299999999999997</v>
      </c>
      <c r="X38" s="52">
        <v>35.299999999999997</v>
      </c>
      <c r="Y38" s="52">
        <v>35.299999999999997</v>
      </c>
      <c r="Z38" s="52">
        <v>35.299999999999997</v>
      </c>
      <c r="AA38" s="52">
        <v>35.299999999999997</v>
      </c>
      <c r="AB38" s="52">
        <v>35</v>
      </c>
      <c r="AC38" s="52">
        <v>30.2</v>
      </c>
      <c r="AD38" s="52">
        <v>24.7</v>
      </c>
      <c r="AE38" s="52">
        <v>24.8</v>
      </c>
      <c r="AF38" s="52">
        <v>24.8</v>
      </c>
      <c r="AG38" s="69">
        <v>70</v>
      </c>
      <c r="AH38" s="56">
        <f t="shared" si="2"/>
        <v>35.299999999999997</v>
      </c>
      <c r="AI38" s="57">
        <f t="shared" si="3"/>
        <v>24.7</v>
      </c>
      <c r="AK38" s="58"/>
    </row>
    <row r="39" spans="1:88" x14ac:dyDescent="0.25">
      <c r="A39" s="68" t="s">
        <v>47</v>
      </c>
      <c r="B39" s="63">
        <v>33.5</v>
      </c>
      <c r="C39" s="63">
        <v>33.9</v>
      </c>
      <c r="D39" s="63">
        <v>33.799999999999997</v>
      </c>
      <c r="E39" s="63">
        <v>40.200000000000003</v>
      </c>
      <c r="F39" s="63">
        <v>40</v>
      </c>
      <c r="G39" s="63">
        <v>36.6</v>
      </c>
      <c r="H39" s="63">
        <v>47.4</v>
      </c>
      <c r="I39" s="63">
        <v>53.1</v>
      </c>
      <c r="J39" s="63">
        <v>53.4</v>
      </c>
      <c r="K39" s="63">
        <v>52.9</v>
      </c>
      <c r="L39" s="52">
        <v>68.900000000000006</v>
      </c>
      <c r="M39" s="52">
        <v>69.7</v>
      </c>
      <c r="N39" s="52">
        <v>70.5</v>
      </c>
      <c r="O39" s="52">
        <v>70.2</v>
      </c>
      <c r="P39" s="52">
        <v>70.2</v>
      </c>
      <c r="Q39" s="52">
        <v>67.7</v>
      </c>
      <c r="R39" s="52">
        <v>69.8</v>
      </c>
      <c r="S39" s="52">
        <v>69.8</v>
      </c>
      <c r="T39" s="52">
        <v>69.8</v>
      </c>
      <c r="U39" s="52">
        <v>69.8</v>
      </c>
      <c r="V39" s="52">
        <v>69.8</v>
      </c>
      <c r="W39" s="52">
        <v>69.8</v>
      </c>
      <c r="X39" s="52">
        <v>69.900000000000006</v>
      </c>
      <c r="Y39" s="52">
        <v>69.900000000000006</v>
      </c>
      <c r="Z39" s="52">
        <v>69.900000000000006</v>
      </c>
      <c r="AA39" s="52">
        <v>69.5</v>
      </c>
      <c r="AB39" s="52">
        <v>69</v>
      </c>
      <c r="AC39" s="52">
        <v>57.2</v>
      </c>
      <c r="AD39" s="52">
        <v>42.1</v>
      </c>
      <c r="AE39" s="52">
        <v>36</v>
      </c>
      <c r="AF39" s="52">
        <v>35.9</v>
      </c>
      <c r="AG39" s="69">
        <v>69</v>
      </c>
      <c r="AH39" s="56">
        <f t="shared" si="2"/>
        <v>70.5</v>
      </c>
      <c r="AI39" s="57">
        <f t="shared" si="3"/>
        <v>33.5</v>
      </c>
      <c r="AK39" s="58"/>
    </row>
    <row r="40" spans="1:88" x14ac:dyDescent="0.25">
      <c r="A40" s="68" t="s">
        <v>48</v>
      </c>
      <c r="B40" s="63">
        <v>21.9</v>
      </c>
      <c r="C40" s="63">
        <v>22.7</v>
      </c>
      <c r="D40" s="63">
        <v>22.2</v>
      </c>
      <c r="E40" s="63">
        <v>10.8</v>
      </c>
      <c r="F40" s="63">
        <v>21.9</v>
      </c>
      <c r="G40" s="63">
        <v>40.6</v>
      </c>
      <c r="H40" s="63">
        <v>40.6</v>
      </c>
      <c r="I40" s="63">
        <v>40.799999999999997</v>
      </c>
      <c r="J40" s="63">
        <v>40.799999999999997</v>
      </c>
      <c r="K40" s="63">
        <v>60.4</v>
      </c>
      <c r="L40" s="52">
        <v>60.4</v>
      </c>
      <c r="M40" s="52">
        <v>61.4</v>
      </c>
      <c r="N40" s="52">
        <v>61.4</v>
      </c>
      <c r="O40" s="52">
        <v>61.2</v>
      </c>
      <c r="P40" s="52">
        <v>61.2</v>
      </c>
      <c r="Q40" s="52">
        <v>60.3</v>
      </c>
      <c r="R40" s="52">
        <v>60.3</v>
      </c>
      <c r="S40" s="52">
        <v>60.3</v>
      </c>
      <c r="T40" s="52">
        <v>60.3</v>
      </c>
      <c r="U40" s="52">
        <v>60.3</v>
      </c>
      <c r="V40" s="52">
        <v>60.3</v>
      </c>
      <c r="W40" s="52">
        <v>60.3</v>
      </c>
      <c r="X40" s="52">
        <v>60.6</v>
      </c>
      <c r="Y40" s="52">
        <v>60.6</v>
      </c>
      <c r="Z40" s="52">
        <v>60.6</v>
      </c>
      <c r="AA40" s="52">
        <v>60.5</v>
      </c>
      <c r="AB40" s="52">
        <v>52</v>
      </c>
      <c r="AC40" s="52">
        <v>52</v>
      </c>
      <c r="AD40" s="52">
        <v>32.200000000000003</v>
      </c>
      <c r="AE40" s="52">
        <v>20.399999999999999</v>
      </c>
      <c r="AF40" s="52">
        <v>20.399999999999999</v>
      </c>
      <c r="AG40" s="69">
        <v>60</v>
      </c>
      <c r="AH40" s="56">
        <f t="shared" si="2"/>
        <v>61.4</v>
      </c>
      <c r="AI40" s="57">
        <f t="shared" si="3"/>
        <v>10.8</v>
      </c>
      <c r="AK40" s="58"/>
    </row>
    <row r="41" spans="1:88" x14ac:dyDescent="0.25">
      <c r="A41" s="68" t="s">
        <v>49</v>
      </c>
      <c r="B41" s="63">
        <v>15</v>
      </c>
      <c r="C41" s="63">
        <v>15</v>
      </c>
      <c r="D41" s="63">
        <v>15</v>
      </c>
      <c r="E41" s="63">
        <v>15</v>
      </c>
      <c r="F41" s="63">
        <v>15</v>
      </c>
      <c r="G41" s="63">
        <v>15</v>
      </c>
      <c r="H41" s="63">
        <v>30</v>
      </c>
      <c r="I41" s="63">
        <v>29.5</v>
      </c>
      <c r="J41" s="63">
        <v>29.5</v>
      </c>
      <c r="K41" s="63">
        <v>29.5</v>
      </c>
      <c r="L41" s="50">
        <v>29.7</v>
      </c>
      <c r="M41" s="50">
        <v>29.7</v>
      </c>
      <c r="N41" s="50">
        <v>29.6</v>
      </c>
      <c r="O41" s="50">
        <v>29.7</v>
      </c>
      <c r="P41" s="50">
        <v>29.7</v>
      </c>
      <c r="Q41" s="50">
        <v>29.5</v>
      </c>
      <c r="R41" s="50">
        <v>29.7</v>
      </c>
      <c r="S41" s="50">
        <v>29.7</v>
      </c>
      <c r="T41" s="50">
        <v>29.7</v>
      </c>
      <c r="U41" s="50">
        <v>29.7</v>
      </c>
      <c r="V41" s="50">
        <v>29.7</v>
      </c>
      <c r="W41" s="50">
        <v>29.7</v>
      </c>
      <c r="X41" s="50">
        <v>29.6</v>
      </c>
      <c r="Y41" s="50">
        <v>29.6</v>
      </c>
      <c r="Z41" s="50">
        <v>29.6</v>
      </c>
      <c r="AA41" s="50">
        <v>29.6</v>
      </c>
      <c r="AB41" s="50">
        <v>29.6</v>
      </c>
      <c r="AC41" s="50">
        <v>29.6</v>
      </c>
      <c r="AD41" s="50">
        <v>29.6</v>
      </c>
      <c r="AE41" s="50">
        <v>29.6</v>
      </c>
      <c r="AF41" s="50">
        <v>29.6</v>
      </c>
      <c r="AG41" s="69">
        <v>30</v>
      </c>
      <c r="AH41" s="56">
        <f t="shared" si="2"/>
        <v>30</v>
      </c>
      <c r="AI41" s="57">
        <f t="shared" si="3"/>
        <v>15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63">
        <v>13.4</v>
      </c>
      <c r="C43" s="75">
        <v>13.4</v>
      </c>
      <c r="D43" s="75">
        <v>13.4</v>
      </c>
      <c r="E43" s="75">
        <v>13.4</v>
      </c>
      <c r="F43" s="75">
        <v>13.4</v>
      </c>
      <c r="G43" s="75">
        <v>13.4</v>
      </c>
      <c r="H43" s="75">
        <v>13.4</v>
      </c>
      <c r="I43" s="75">
        <v>17.3</v>
      </c>
      <c r="J43" s="75">
        <v>17.3</v>
      </c>
      <c r="K43" s="75">
        <v>17.3</v>
      </c>
      <c r="L43" s="50">
        <v>17.100000000000001</v>
      </c>
      <c r="M43" s="50">
        <v>17.100000000000001</v>
      </c>
      <c r="N43" s="50">
        <v>17.100000000000001</v>
      </c>
      <c r="O43" s="50">
        <v>17.100000000000001</v>
      </c>
      <c r="P43" s="50">
        <v>17.100000000000001</v>
      </c>
      <c r="Q43" s="50">
        <v>17.5</v>
      </c>
      <c r="R43" s="50">
        <v>17.5</v>
      </c>
      <c r="S43" s="50">
        <v>17.5</v>
      </c>
      <c r="T43" s="50">
        <v>17.5</v>
      </c>
      <c r="U43" s="50">
        <v>17.5</v>
      </c>
      <c r="V43" s="50">
        <v>17.5</v>
      </c>
      <c r="W43" s="50">
        <v>17.5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50">
        <v>17</v>
      </c>
      <c r="AF43" s="50">
        <v>17</v>
      </c>
      <c r="AG43" s="69">
        <v>24</v>
      </c>
      <c r="AH43" s="56">
        <f t="shared" si="2"/>
        <v>17.5</v>
      </c>
      <c r="AI43" s="57">
        <f t="shared" si="3"/>
        <v>13.4</v>
      </c>
      <c r="AK43" s="58"/>
    </row>
    <row r="44" spans="1:88" x14ac:dyDescent="0.25">
      <c r="A44" s="68" t="s">
        <v>52</v>
      </c>
      <c r="B44" s="63">
        <v>3</v>
      </c>
      <c r="C44" s="63">
        <v>3</v>
      </c>
      <c r="D44" s="63">
        <v>3</v>
      </c>
      <c r="E44" s="63">
        <v>3</v>
      </c>
      <c r="F44" s="63">
        <v>3</v>
      </c>
      <c r="G44" s="63">
        <v>3</v>
      </c>
      <c r="H44" s="63">
        <v>3</v>
      </c>
      <c r="I44" s="63">
        <v>3</v>
      </c>
      <c r="J44" s="63">
        <v>3</v>
      </c>
      <c r="K44" s="63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3.1</v>
      </c>
      <c r="Y44" s="50">
        <v>3.1</v>
      </c>
      <c r="Z44" s="50">
        <v>3.1</v>
      </c>
      <c r="AA44" s="50">
        <v>3.1</v>
      </c>
      <c r="AB44" s="50">
        <v>3.1</v>
      </c>
      <c r="AC44" s="50">
        <v>3.1</v>
      </c>
      <c r="AD44" s="50">
        <v>3.1</v>
      </c>
      <c r="AE44" s="50">
        <v>3.1</v>
      </c>
      <c r="AF44" s="50">
        <v>3.1</v>
      </c>
      <c r="AG44" s="69">
        <v>15</v>
      </c>
      <c r="AH44" s="56">
        <f t="shared" si="2"/>
        <v>3.1</v>
      </c>
      <c r="AI44" s="57">
        <f t="shared" si="3"/>
        <v>3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10</v>
      </c>
      <c r="C45" s="63">
        <v>10</v>
      </c>
      <c r="D45" s="63">
        <v>10</v>
      </c>
      <c r="E45" s="63">
        <v>10</v>
      </c>
      <c r="F45" s="63">
        <v>10</v>
      </c>
      <c r="G45" s="63">
        <v>10</v>
      </c>
      <c r="H45" s="63">
        <v>10</v>
      </c>
      <c r="I45" s="63">
        <v>12</v>
      </c>
      <c r="J45" s="63">
        <v>12</v>
      </c>
      <c r="K45" s="63">
        <v>12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50">
        <v>5</v>
      </c>
      <c r="C46" s="50">
        <v>5</v>
      </c>
      <c r="D46" s="50">
        <v>5</v>
      </c>
      <c r="E46" s="50">
        <v>5</v>
      </c>
      <c r="F46" s="50">
        <v>5</v>
      </c>
      <c r="G46" s="50">
        <v>5</v>
      </c>
      <c r="H46" s="50">
        <v>5</v>
      </c>
      <c r="I46" s="50">
        <v>5</v>
      </c>
      <c r="J46" s="50">
        <v>5</v>
      </c>
      <c r="K46" s="50">
        <v>5</v>
      </c>
      <c r="L46" s="50">
        <v>0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10</v>
      </c>
      <c r="AC46" s="50">
        <v>10</v>
      </c>
      <c r="AD46" s="50">
        <v>10</v>
      </c>
      <c r="AE46" s="50">
        <v>10</v>
      </c>
      <c r="AF46" s="50">
        <v>10</v>
      </c>
      <c r="AG46" s="69">
        <v>14</v>
      </c>
      <c r="AH46" s="56">
        <f t="shared" si="2"/>
        <v>14</v>
      </c>
      <c r="AI46" s="57">
        <f t="shared" si="3"/>
        <v>0</v>
      </c>
      <c r="AK46" s="58"/>
    </row>
    <row r="47" spans="1:88" x14ac:dyDescent="0.25">
      <c r="A47" s="68" t="s">
        <v>55</v>
      </c>
      <c r="B47" s="50">
        <v>9.9</v>
      </c>
      <c r="C47" s="50">
        <v>9.9</v>
      </c>
      <c r="D47" s="50">
        <v>9.9</v>
      </c>
      <c r="E47" s="50">
        <v>9.9</v>
      </c>
      <c r="F47" s="50">
        <v>9.9</v>
      </c>
      <c r="G47" s="50">
        <v>9.9</v>
      </c>
      <c r="H47" s="50">
        <v>9.9</v>
      </c>
      <c r="I47" s="50">
        <v>9.9</v>
      </c>
      <c r="J47" s="50">
        <v>9.9</v>
      </c>
      <c r="K47" s="50">
        <v>9.9</v>
      </c>
      <c r="L47" s="50">
        <v>9.9</v>
      </c>
      <c r="M47" s="50">
        <v>9.9</v>
      </c>
      <c r="N47" s="50">
        <v>9.9</v>
      </c>
      <c r="O47" s="50">
        <v>9.9</v>
      </c>
      <c r="P47" s="50">
        <v>9.9</v>
      </c>
      <c r="Q47" s="50">
        <v>9.9</v>
      </c>
      <c r="R47" s="50">
        <v>9.9</v>
      </c>
      <c r="S47" s="50">
        <v>9.9</v>
      </c>
      <c r="T47" s="50">
        <v>9.9</v>
      </c>
      <c r="U47" s="50">
        <v>9.9</v>
      </c>
      <c r="V47" s="50">
        <v>9.9</v>
      </c>
      <c r="W47" s="50">
        <v>9.9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9.9</v>
      </c>
      <c r="AI47" s="57">
        <f t="shared" si="3"/>
        <v>9.6</v>
      </c>
      <c r="AK47" s="58"/>
    </row>
    <row r="48" spans="1:88" x14ac:dyDescent="0.25">
      <c r="A48" s="68" t="s">
        <v>56</v>
      </c>
      <c r="B48" s="50">
        <v>5.8</v>
      </c>
      <c r="C48" s="50">
        <v>5.8</v>
      </c>
      <c r="D48" s="50">
        <v>5.8</v>
      </c>
      <c r="E48" s="50">
        <v>5.8</v>
      </c>
      <c r="F48" s="50">
        <v>5.8</v>
      </c>
      <c r="G48" s="50">
        <v>5.8</v>
      </c>
      <c r="H48" s="50">
        <v>5.8</v>
      </c>
      <c r="I48" s="50">
        <v>5.8</v>
      </c>
      <c r="J48" s="50">
        <v>5.8</v>
      </c>
      <c r="K48" s="50">
        <v>5.8</v>
      </c>
      <c r="L48" s="50">
        <v>5.8</v>
      </c>
      <c r="M48" s="50">
        <v>5.8</v>
      </c>
      <c r="N48" s="50">
        <v>5.8</v>
      </c>
      <c r="O48" s="50">
        <v>5.8</v>
      </c>
      <c r="P48" s="50">
        <v>5.8</v>
      </c>
      <c r="Q48" s="50">
        <v>5.8</v>
      </c>
      <c r="R48" s="50">
        <v>5.8</v>
      </c>
      <c r="S48" s="50">
        <v>5.8</v>
      </c>
      <c r="T48" s="50">
        <v>5.8</v>
      </c>
      <c r="U48" s="50">
        <v>5.8</v>
      </c>
      <c r="V48" s="50">
        <v>5.8</v>
      </c>
      <c r="W48" s="50">
        <v>5.8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9">
        <v>6.2</v>
      </c>
      <c r="AH48" s="56">
        <f t="shared" si="2"/>
        <v>6.2</v>
      </c>
      <c r="AI48" s="57">
        <f t="shared" si="3"/>
        <v>5.8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f>3.54</f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f t="shared" si="5"/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226.54000000000002</v>
      </c>
      <c r="C50" s="74">
        <f t="shared" si="6"/>
        <v>228.14</v>
      </c>
      <c r="D50" s="74">
        <f t="shared" si="6"/>
        <v>217.24</v>
      </c>
      <c r="E50" s="74">
        <f t="shared" si="6"/>
        <v>212.34000000000003</v>
      </c>
      <c r="F50" s="74">
        <f t="shared" si="6"/>
        <v>223.14000000000001</v>
      </c>
      <c r="G50" s="74">
        <f t="shared" si="6"/>
        <v>274.34000000000003</v>
      </c>
      <c r="H50" s="74">
        <f t="shared" si="6"/>
        <v>309.14</v>
      </c>
      <c r="I50" s="74">
        <f t="shared" si="6"/>
        <v>325.24</v>
      </c>
      <c r="J50" s="74">
        <f t="shared" si="6"/>
        <v>326.84000000000003</v>
      </c>
      <c r="K50" s="74">
        <f t="shared" si="6"/>
        <v>378.74</v>
      </c>
      <c r="L50" s="74">
        <f t="shared" si="6"/>
        <v>390.84000000000003</v>
      </c>
      <c r="M50" s="74">
        <f t="shared" si="6"/>
        <v>406.64</v>
      </c>
      <c r="N50" s="74">
        <f t="shared" si="6"/>
        <v>407.64000000000004</v>
      </c>
      <c r="O50" s="74">
        <f t="shared" si="6"/>
        <v>407.24</v>
      </c>
      <c r="P50" s="74">
        <f t="shared" si="6"/>
        <v>407.24</v>
      </c>
      <c r="Q50" s="74">
        <f t="shared" si="6"/>
        <v>403.94</v>
      </c>
      <c r="R50" s="74">
        <f t="shared" si="6"/>
        <v>392.64000000000004</v>
      </c>
      <c r="S50" s="74">
        <f t="shared" si="6"/>
        <v>393.34000000000003</v>
      </c>
      <c r="T50" s="74">
        <f t="shared" si="6"/>
        <v>393.44</v>
      </c>
      <c r="U50" s="74">
        <f t="shared" si="6"/>
        <v>406.14000000000004</v>
      </c>
      <c r="V50" s="74">
        <f t="shared" si="6"/>
        <v>406.24</v>
      </c>
      <c r="W50" s="74">
        <f t="shared" si="6"/>
        <v>406.24</v>
      </c>
      <c r="X50" s="74">
        <f t="shared" si="6"/>
        <v>406.6400000000001</v>
      </c>
      <c r="Y50" s="74">
        <f t="shared" si="6"/>
        <v>406.6400000000001</v>
      </c>
      <c r="Z50" s="74">
        <f t="shared" si="6"/>
        <v>406.6400000000001</v>
      </c>
      <c r="AA50" s="74">
        <f t="shared" si="6"/>
        <v>405.34000000000009</v>
      </c>
      <c r="AB50" s="74">
        <f t="shared" si="6"/>
        <v>392.04000000000008</v>
      </c>
      <c r="AC50" s="74">
        <f t="shared" si="6"/>
        <v>359.74000000000007</v>
      </c>
      <c r="AD50" s="74">
        <f t="shared" si="6"/>
        <v>311.24</v>
      </c>
      <c r="AE50" s="74">
        <f t="shared" si="6"/>
        <v>268.24</v>
      </c>
      <c r="AF50" s="74">
        <f t="shared" si="6"/>
        <v>267.94</v>
      </c>
      <c r="AG50" s="79">
        <f>SUM(AG37:AG49)</f>
        <v>489.91</v>
      </c>
      <c r="AH50" s="56">
        <f t="shared" si="2"/>
        <v>407.64000000000004</v>
      </c>
      <c r="AI50" s="57">
        <f t="shared" si="3"/>
        <v>212.34000000000003</v>
      </c>
      <c r="AK50" s="58"/>
    </row>
    <row r="51" spans="1:37" x14ac:dyDescent="0.25">
      <c r="A51" s="59" t="s">
        <v>59</v>
      </c>
      <c r="B51" s="50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45</v>
      </c>
      <c r="N51" s="80">
        <v>60</v>
      </c>
      <c r="O51" s="80">
        <v>39.799999999999997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59</v>
      </c>
      <c r="X51" s="50">
        <v>60</v>
      </c>
      <c r="Y51" s="50">
        <v>30</v>
      </c>
      <c r="Z51" s="50">
        <v>10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60</v>
      </c>
      <c r="AI51" s="57">
        <f t="shared" si="3"/>
        <v>0</v>
      </c>
      <c r="AK51" s="58"/>
    </row>
    <row r="52" spans="1:37" x14ac:dyDescent="0.25">
      <c r="A52" s="68" t="s">
        <v>60</v>
      </c>
      <c r="B52" s="52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5.0999999999999996</v>
      </c>
      <c r="N52" s="80">
        <v>27.4</v>
      </c>
      <c r="O52" s="80">
        <v>15.5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2">
        <v>15.8</v>
      </c>
      <c r="X52" s="52">
        <v>16</v>
      </c>
      <c r="Y52" s="52">
        <v>11</v>
      </c>
      <c r="Z52" s="52">
        <v>4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27.4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82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1.9</v>
      </c>
      <c r="N53" s="81">
        <v>10</v>
      </c>
      <c r="O53" s="81">
        <v>5.7</v>
      </c>
      <c r="P53" s="82">
        <v>0</v>
      </c>
      <c r="Q53" s="82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82">
        <v>5.8</v>
      </c>
      <c r="X53" s="82">
        <v>6</v>
      </c>
      <c r="Y53" s="82">
        <v>4</v>
      </c>
      <c r="Z53" s="82">
        <v>1.4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10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52</v>
      </c>
      <c r="N54" s="74">
        <f t="shared" si="7"/>
        <v>97.4</v>
      </c>
      <c r="O54" s="74">
        <f t="shared" si="7"/>
        <v>61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80.599999999999994</v>
      </c>
      <c r="X54" s="74">
        <f t="shared" si="7"/>
        <v>82</v>
      </c>
      <c r="Y54" s="74">
        <f t="shared" si="7"/>
        <v>45</v>
      </c>
      <c r="Z54" s="74">
        <f t="shared" si="7"/>
        <v>15.4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97.4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84">
        <v>0</v>
      </c>
      <c r="Y56" s="84">
        <v>0</v>
      </c>
      <c r="Z56" s="84">
        <v>0</v>
      </c>
      <c r="AA56" s="6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-24.1</v>
      </c>
      <c r="C57" s="52">
        <v>-29</v>
      </c>
      <c r="D57" s="52">
        <v>-30.2</v>
      </c>
      <c r="E57" s="52">
        <v>-36</v>
      </c>
      <c r="F57" s="52">
        <v>-10</v>
      </c>
      <c r="G57" s="50">
        <v>-31</v>
      </c>
      <c r="H57" s="50">
        <v>-29.1</v>
      </c>
      <c r="I57" s="50">
        <v>-13.5</v>
      </c>
      <c r="J57" s="50">
        <v>-14.5</v>
      </c>
      <c r="K57" s="50">
        <v>-23.2</v>
      </c>
      <c r="L57" s="52">
        <v>-45.3</v>
      </c>
      <c r="M57" s="52">
        <v>37.9</v>
      </c>
      <c r="N57" s="52">
        <v>8.4</v>
      </c>
      <c r="O57" s="52">
        <v>0</v>
      </c>
      <c r="P57" s="52">
        <v>-46.1</v>
      </c>
      <c r="Q57" s="52">
        <v>-7.8</v>
      </c>
      <c r="R57" s="52">
        <v>-23.6</v>
      </c>
      <c r="S57" s="52">
        <v>-8</v>
      </c>
      <c r="T57" s="52">
        <v>-37.200000000000003</v>
      </c>
      <c r="U57" s="52">
        <v>-8</v>
      </c>
      <c r="V57" s="52">
        <v>-11</v>
      </c>
      <c r="W57" s="52">
        <v>63</v>
      </c>
      <c r="X57" s="85">
        <v>-14.4</v>
      </c>
      <c r="Y57" s="85">
        <v>-34</v>
      </c>
      <c r="Z57" s="85">
        <v>-28</v>
      </c>
      <c r="AA57" s="62">
        <v>-31.2</v>
      </c>
      <c r="AB57" s="52">
        <v>-47</v>
      </c>
      <c r="AC57" s="52">
        <v>-11.4</v>
      </c>
      <c r="AD57" s="52">
        <v>-46.8</v>
      </c>
      <c r="AE57" s="52">
        <v>-32.799999999999997</v>
      </c>
      <c r="AF57" s="52">
        <v>-39.700000000000003</v>
      </c>
      <c r="AG57" s="86"/>
      <c r="AH57" s="56">
        <f t="shared" si="2"/>
        <v>63</v>
      </c>
      <c r="AI57" s="57">
        <f t="shared" si="3"/>
        <v>-47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2">
        <v>0</v>
      </c>
      <c r="P59" s="50">
        <v>0</v>
      </c>
      <c r="Q59" s="52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52">
        <v>0</v>
      </c>
      <c r="P60" s="62">
        <v>0</v>
      </c>
      <c r="Q60" s="5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52">
        <v>0</v>
      </c>
      <c r="P61" s="62">
        <v>0</v>
      </c>
      <c r="Q61" s="5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52">
        <v>0</v>
      </c>
      <c r="P62" s="60">
        <v>0</v>
      </c>
      <c r="Q62" s="52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2">
        <v>0</v>
      </c>
      <c r="P63" s="60">
        <v>0</v>
      </c>
      <c r="Q63" s="52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52">
        <v>0</v>
      </c>
      <c r="P64" s="65">
        <v>0</v>
      </c>
      <c r="Q64" s="52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52">
        <v>0</v>
      </c>
      <c r="P65" s="65">
        <v>0</v>
      </c>
      <c r="Q65" s="52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-24.1</v>
      </c>
      <c r="C66" s="74">
        <f t="shared" ref="C66:AF66" si="8">SUM(C55:C65)</f>
        <v>-29</v>
      </c>
      <c r="D66" s="74">
        <f t="shared" si="8"/>
        <v>-30.2</v>
      </c>
      <c r="E66" s="74">
        <f t="shared" si="8"/>
        <v>-36</v>
      </c>
      <c r="F66" s="74">
        <f t="shared" si="8"/>
        <v>-10</v>
      </c>
      <c r="G66" s="74">
        <f t="shared" si="8"/>
        <v>-31</v>
      </c>
      <c r="H66" s="74">
        <f t="shared" si="8"/>
        <v>-29.1</v>
      </c>
      <c r="I66" s="74">
        <f t="shared" si="8"/>
        <v>-13.5</v>
      </c>
      <c r="J66" s="74">
        <f t="shared" si="8"/>
        <v>-14.5</v>
      </c>
      <c r="K66" s="74">
        <f t="shared" si="8"/>
        <v>-23.2</v>
      </c>
      <c r="L66" s="74">
        <f t="shared" si="8"/>
        <v>-45.3</v>
      </c>
      <c r="M66" s="74">
        <f t="shared" si="8"/>
        <v>37.9</v>
      </c>
      <c r="N66" s="74">
        <f t="shared" si="8"/>
        <v>8.4</v>
      </c>
      <c r="O66" s="74">
        <f t="shared" si="8"/>
        <v>0</v>
      </c>
      <c r="P66" s="74">
        <f t="shared" si="8"/>
        <v>-46.1</v>
      </c>
      <c r="Q66" s="74">
        <f t="shared" si="8"/>
        <v>-7.8</v>
      </c>
      <c r="R66" s="74">
        <f t="shared" si="8"/>
        <v>-23.6</v>
      </c>
      <c r="S66" s="74">
        <f t="shared" si="8"/>
        <v>-8</v>
      </c>
      <c r="T66" s="74">
        <f t="shared" si="8"/>
        <v>-37.200000000000003</v>
      </c>
      <c r="U66" s="74">
        <f t="shared" si="8"/>
        <v>-8</v>
      </c>
      <c r="V66" s="74">
        <f t="shared" si="8"/>
        <v>-11</v>
      </c>
      <c r="W66" s="74">
        <f t="shared" si="8"/>
        <v>63</v>
      </c>
      <c r="X66" s="74">
        <f t="shared" si="8"/>
        <v>-14.4</v>
      </c>
      <c r="Y66" s="74">
        <f t="shared" si="8"/>
        <v>-34</v>
      </c>
      <c r="Z66" s="74">
        <f t="shared" si="8"/>
        <v>-28</v>
      </c>
      <c r="AA66" s="74">
        <f t="shared" si="8"/>
        <v>-31.2</v>
      </c>
      <c r="AB66" s="74">
        <f t="shared" si="8"/>
        <v>-47</v>
      </c>
      <c r="AC66" s="74">
        <f t="shared" si="8"/>
        <v>-11.4</v>
      </c>
      <c r="AD66" s="74">
        <f t="shared" si="8"/>
        <v>-46.8</v>
      </c>
      <c r="AE66" s="74">
        <f t="shared" si="8"/>
        <v>-32.799999999999997</v>
      </c>
      <c r="AF66" s="74">
        <f t="shared" si="8"/>
        <v>-39.700000000000003</v>
      </c>
      <c r="AG66" s="79">
        <f>SUM(AG55:AG65)</f>
        <v>0</v>
      </c>
      <c r="AH66" s="56">
        <f t="shared" si="2"/>
        <v>63</v>
      </c>
      <c r="AI66" s="57">
        <f t="shared" si="3"/>
        <v>-47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89">
        <f>16520/30</f>
        <v>550.66666666666663</v>
      </c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89">
        <f>AK67/24</f>
        <v>22.944444444444443</v>
      </c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729.24</v>
      </c>
      <c r="C71" s="90">
        <f t="shared" ref="C71:AG71" si="10">C66+C54+C50+C36+C70</f>
        <v>725.93999999999994</v>
      </c>
      <c r="D71" s="90">
        <f t="shared" si="10"/>
        <v>713.83999999999992</v>
      </c>
      <c r="E71" s="90">
        <f t="shared" si="10"/>
        <v>702.14</v>
      </c>
      <c r="F71" s="90">
        <f t="shared" si="10"/>
        <v>742.93999999999994</v>
      </c>
      <c r="G71" s="90">
        <f t="shared" si="10"/>
        <v>799.14</v>
      </c>
      <c r="H71" s="90">
        <f t="shared" si="10"/>
        <v>835.83999999999992</v>
      </c>
      <c r="I71" s="90">
        <f t="shared" si="10"/>
        <v>884.84</v>
      </c>
      <c r="J71" s="90">
        <f t="shared" si="10"/>
        <v>974.94</v>
      </c>
      <c r="K71" s="90">
        <f t="shared" si="10"/>
        <v>1048.1400000000001</v>
      </c>
      <c r="L71" s="90">
        <f t="shared" si="10"/>
        <v>1058.1400000000001</v>
      </c>
      <c r="M71" s="90">
        <f t="shared" si="10"/>
        <v>1055.1399999999999</v>
      </c>
      <c r="N71" s="90">
        <f t="shared" si="10"/>
        <v>1096.6400000000001</v>
      </c>
      <c r="O71" s="90">
        <f t="shared" si="10"/>
        <v>1051.44</v>
      </c>
      <c r="P71" s="90">
        <f t="shared" si="10"/>
        <v>1076.74</v>
      </c>
      <c r="Q71" s="90">
        <f t="shared" si="10"/>
        <v>1081.74</v>
      </c>
      <c r="R71" s="90">
        <f t="shared" si="10"/>
        <v>1076.1400000000001</v>
      </c>
      <c r="S71" s="90">
        <f t="shared" si="10"/>
        <v>1115.44</v>
      </c>
      <c r="T71" s="90">
        <f t="shared" si="10"/>
        <v>1084.8400000000001</v>
      </c>
      <c r="U71" s="90">
        <f t="shared" si="10"/>
        <v>1149.8400000000001</v>
      </c>
      <c r="V71" s="90">
        <f t="shared" si="10"/>
        <v>1204.1400000000001</v>
      </c>
      <c r="W71" s="90">
        <f t="shared" si="10"/>
        <v>1391.74</v>
      </c>
      <c r="X71" s="90">
        <f t="shared" si="10"/>
        <v>1392.5400000000002</v>
      </c>
      <c r="Y71" s="90">
        <f t="shared" si="10"/>
        <v>1303.94</v>
      </c>
      <c r="Z71" s="90">
        <f t="shared" si="10"/>
        <v>1255.3400000000001</v>
      </c>
      <c r="AA71" s="90">
        <f t="shared" si="10"/>
        <v>1172.44</v>
      </c>
      <c r="AB71" s="90">
        <f t="shared" si="10"/>
        <v>1103.3400000000001</v>
      </c>
      <c r="AC71" s="90">
        <f t="shared" si="10"/>
        <v>1086.6400000000001</v>
      </c>
      <c r="AD71" s="90">
        <f t="shared" si="10"/>
        <v>952.74</v>
      </c>
      <c r="AE71" s="90">
        <f t="shared" si="10"/>
        <v>911.74</v>
      </c>
      <c r="AF71" s="90">
        <f t="shared" si="10"/>
        <v>904.54</v>
      </c>
      <c r="AG71" s="90">
        <f t="shared" si="10"/>
        <v>2083.14</v>
      </c>
      <c r="AH71" s="56">
        <f t="shared" si="2"/>
        <v>1392.5400000000002</v>
      </c>
      <c r="AI71" s="57">
        <f t="shared" si="3"/>
        <v>702.14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729.24</v>
      </c>
      <c r="C73" s="90">
        <f t="shared" ref="C73:AF73" si="11">C70+C66+C54+C50+C36+C72</f>
        <v>725.93999999999994</v>
      </c>
      <c r="D73" s="90">
        <f t="shared" si="11"/>
        <v>713.83999999999992</v>
      </c>
      <c r="E73" s="90">
        <f t="shared" si="11"/>
        <v>702.14</v>
      </c>
      <c r="F73" s="90">
        <f t="shared" si="11"/>
        <v>742.93999999999994</v>
      </c>
      <c r="G73" s="90">
        <f t="shared" si="11"/>
        <v>799.14</v>
      </c>
      <c r="H73" s="90">
        <f t="shared" si="11"/>
        <v>835.83999999999992</v>
      </c>
      <c r="I73" s="90">
        <f t="shared" si="11"/>
        <v>884.84</v>
      </c>
      <c r="J73" s="90">
        <f t="shared" si="11"/>
        <v>974.94</v>
      </c>
      <c r="K73" s="90">
        <f t="shared" si="11"/>
        <v>1048.1400000000001</v>
      </c>
      <c r="L73" s="90">
        <f t="shared" si="11"/>
        <v>1058.1400000000001</v>
      </c>
      <c r="M73" s="90">
        <f t="shared" si="11"/>
        <v>1055.1399999999999</v>
      </c>
      <c r="N73" s="90">
        <f t="shared" si="11"/>
        <v>1096.6400000000001</v>
      </c>
      <c r="O73" s="90">
        <f t="shared" si="11"/>
        <v>1051.44</v>
      </c>
      <c r="P73" s="90">
        <f t="shared" si="11"/>
        <v>1076.74</v>
      </c>
      <c r="Q73" s="90">
        <f t="shared" si="11"/>
        <v>1081.74</v>
      </c>
      <c r="R73" s="90">
        <f t="shared" si="11"/>
        <v>1076.1400000000001</v>
      </c>
      <c r="S73" s="90">
        <f t="shared" si="11"/>
        <v>1115.44</v>
      </c>
      <c r="T73" s="90">
        <f t="shared" si="11"/>
        <v>1084.8400000000001</v>
      </c>
      <c r="U73" s="90">
        <f t="shared" si="11"/>
        <v>1149.8400000000001</v>
      </c>
      <c r="V73" s="90">
        <f t="shared" si="11"/>
        <v>1204.1400000000001</v>
      </c>
      <c r="W73" s="90">
        <f t="shared" si="11"/>
        <v>1391.74</v>
      </c>
      <c r="X73" s="90">
        <f t="shared" si="11"/>
        <v>1392.5400000000002</v>
      </c>
      <c r="Y73" s="90">
        <f t="shared" si="11"/>
        <v>1303.94</v>
      </c>
      <c r="Z73" s="90">
        <f t="shared" si="11"/>
        <v>1255.3400000000001</v>
      </c>
      <c r="AA73" s="90">
        <f t="shared" si="11"/>
        <v>1172.44</v>
      </c>
      <c r="AB73" s="90">
        <f t="shared" si="11"/>
        <v>1103.3400000000001</v>
      </c>
      <c r="AC73" s="90">
        <f t="shared" si="11"/>
        <v>1086.6400000000001</v>
      </c>
      <c r="AD73" s="90">
        <f t="shared" si="11"/>
        <v>952.74</v>
      </c>
      <c r="AE73" s="90">
        <f t="shared" si="11"/>
        <v>911.74</v>
      </c>
      <c r="AF73" s="90">
        <f t="shared" si="11"/>
        <v>904.54</v>
      </c>
      <c r="AG73" s="79">
        <f>AG70+AG66+AG54+AG50+AG36+AG72</f>
        <v>2083.14</v>
      </c>
      <c r="AH73" s="56">
        <f t="shared" si="2"/>
        <v>1392.5400000000002</v>
      </c>
      <c r="AI73" s="57">
        <f t="shared" si="3"/>
        <v>702.14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24.1</v>
      </c>
      <c r="C77" s="60">
        <f t="shared" ref="C77:AF77" si="15">IF(C57&lt;0,C57*-1,0)</f>
        <v>29</v>
      </c>
      <c r="D77" s="60">
        <f t="shared" si="15"/>
        <v>30.2</v>
      </c>
      <c r="E77" s="60">
        <f t="shared" si="15"/>
        <v>36</v>
      </c>
      <c r="F77" s="60">
        <f t="shared" si="15"/>
        <v>10</v>
      </c>
      <c r="G77" s="60">
        <f t="shared" si="15"/>
        <v>31</v>
      </c>
      <c r="H77" s="60">
        <f t="shared" si="15"/>
        <v>29.1</v>
      </c>
      <c r="I77" s="60">
        <f t="shared" si="15"/>
        <v>13.5</v>
      </c>
      <c r="J77" s="60">
        <f t="shared" si="15"/>
        <v>14.5</v>
      </c>
      <c r="K77" s="60">
        <f t="shared" si="15"/>
        <v>23.2</v>
      </c>
      <c r="L77" s="60">
        <f t="shared" si="15"/>
        <v>45.3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46.1</v>
      </c>
      <c r="Q77" s="60">
        <f t="shared" si="15"/>
        <v>7.8</v>
      </c>
      <c r="R77" s="60">
        <f t="shared" si="15"/>
        <v>23.6</v>
      </c>
      <c r="S77" s="60">
        <f t="shared" si="15"/>
        <v>8</v>
      </c>
      <c r="T77" s="60">
        <f t="shared" si="15"/>
        <v>37.200000000000003</v>
      </c>
      <c r="U77" s="60">
        <f t="shared" si="15"/>
        <v>8</v>
      </c>
      <c r="V77" s="60">
        <f t="shared" si="15"/>
        <v>11</v>
      </c>
      <c r="W77" s="60">
        <f t="shared" si="15"/>
        <v>0</v>
      </c>
      <c r="X77" s="60">
        <f t="shared" si="15"/>
        <v>14.4</v>
      </c>
      <c r="Y77" s="60">
        <f t="shared" si="15"/>
        <v>34</v>
      </c>
      <c r="Z77" s="60">
        <f t="shared" si="15"/>
        <v>28</v>
      </c>
      <c r="AA77" s="60">
        <f t="shared" si="15"/>
        <v>31.2</v>
      </c>
      <c r="AB77" s="60">
        <f t="shared" si="15"/>
        <v>47</v>
      </c>
      <c r="AC77" s="60">
        <f t="shared" si="15"/>
        <v>11.4</v>
      </c>
      <c r="AD77" s="60">
        <f t="shared" si="15"/>
        <v>46.8</v>
      </c>
      <c r="AE77" s="60">
        <f t="shared" si="15"/>
        <v>32.799999999999997</v>
      </c>
      <c r="AF77" s="60">
        <f t="shared" si="15"/>
        <v>39.700000000000003</v>
      </c>
      <c r="AG77" s="93"/>
      <c r="AH77" s="56">
        <f t="shared" ref="AH77:AH89" si="16">MAX(B77:AF77)</f>
        <v>47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24.1</v>
      </c>
      <c r="C80" s="74">
        <f t="shared" si="19"/>
        <v>29</v>
      </c>
      <c r="D80" s="74">
        <f t="shared" si="19"/>
        <v>30.2</v>
      </c>
      <c r="E80" s="74">
        <f t="shared" si="19"/>
        <v>36</v>
      </c>
      <c r="F80" s="74">
        <f t="shared" si="19"/>
        <v>10</v>
      </c>
      <c r="G80" s="74">
        <f t="shared" si="19"/>
        <v>31</v>
      </c>
      <c r="H80" s="74">
        <f t="shared" si="19"/>
        <v>29.1</v>
      </c>
      <c r="I80" s="74">
        <f t="shared" si="19"/>
        <v>13.5</v>
      </c>
      <c r="J80" s="74">
        <f t="shared" si="19"/>
        <v>14.5</v>
      </c>
      <c r="K80" s="74">
        <f t="shared" si="19"/>
        <v>23.2</v>
      </c>
      <c r="L80" s="74">
        <f t="shared" si="19"/>
        <v>45.3</v>
      </c>
      <c r="M80" s="74">
        <f t="shared" si="19"/>
        <v>0</v>
      </c>
      <c r="N80" s="74">
        <f t="shared" si="19"/>
        <v>0</v>
      </c>
      <c r="O80" s="74">
        <f t="shared" si="19"/>
        <v>0</v>
      </c>
      <c r="P80" s="74">
        <f t="shared" si="19"/>
        <v>46.1</v>
      </c>
      <c r="Q80" s="74">
        <f t="shared" si="19"/>
        <v>7.8</v>
      </c>
      <c r="R80" s="74">
        <f t="shared" si="19"/>
        <v>23.6</v>
      </c>
      <c r="S80" s="74">
        <f t="shared" si="19"/>
        <v>8</v>
      </c>
      <c r="T80" s="74">
        <f t="shared" si="19"/>
        <v>37.200000000000003</v>
      </c>
      <c r="U80" s="74">
        <f t="shared" si="19"/>
        <v>8</v>
      </c>
      <c r="V80" s="74">
        <f t="shared" si="19"/>
        <v>11</v>
      </c>
      <c r="W80" s="74">
        <f t="shared" si="19"/>
        <v>0</v>
      </c>
      <c r="X80" s="74">
        <f t="shared" si="19"/>
        <v>14.4</v>
      </c>
      <c r="Y80" s="74">
        <f t="shared" si="19"/>
        <v>34</v>
      </c>
      <c r="Z80" s="74">
        <f t="shared" si="19"/>
        <v>28</v>
      </c>
      <c r="AA80" s="74">
        <f t="shared" si="19"/>
        <v>31.2</v>
      </c>
      <c r="AB80" s="74">
        <f t="shared" si="19"/>
        <v>47</v>
      </c>
      <c r="AC80" s="74">
        <f t="shared" si="19"/>
        <v>11.4</v>
      </c>
      <c r="AD80" s="74">
        <f t="shared" si="19"/>
        <v>46.8</v>
      </c>
      <c r="AE80" s="74">
        <f t="shared" si="19"/>
        <v>32.799999999999997</v>
      </c>
      <c r="AF80" s="74">
        <f t="shared" si="19"/>
        <v>39.700000000000003</v>
      </c>
      <c r="AG80" s="79">
        <f t="shared" si="19"/>
        <v>0</v>
      </c>
      <c r="AH80" s="56">
        <f t="shared" si="16"/>
        <v>47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1506.6799999999998</v>
      </c>
      <c r="C81" s="74">
        <f t="shared" si="20"/>
        <v>1509.8799999999999</v>
      </c>
      <c r="D81" s="74">
        <f t="shared" si="20"/>
        <v>1488.08</v>
      </c>
      <c r="E81" s="74">
        <f t="shared" si="20"/>
        <v>1476.28</v>
      </c>
      <c r="F81" s="74">
        <f t="shared" si="20"/>
        <v>1505.8799999999999</v>
      </c>
      <c r="G81" s="74">
        <f t="shared" si="20"/>
        <v>1660.28</v>
      </c>
      <c r="H81" s="74">
        <f t="shared" si="20"/>
        <v>1729.8799999999997</v>
      </c>
      <c r="I81" s="74">
        <f t="shared" si="20"/>
        <v>1796.68</v>
      </c>
      <c r="J81" s="74">
        <f t="shared" si="20"/>
        <v>1978.88</v>
      </c>
      <c r="K81" s="74">
        <f t="shared" si="20"/>
        <v>2142.6799999999998</v>
      </c>
      <c r="L81" s="74">
        <f t="shared" si="20"/>
        <v>2206.8800000000006</v>
      </c>
      <c r="M81" s="74">
        <f t="shared" si="20"/>
        <v>2110.2799999999997</v>
      </c>
      <c r="N81" s="74">
        <f t="shared" si="20"/>
        <v>2193.2800000000002</v>
      </c>
      <c r="O81" s="74">
        <f t="shared" si="20"/>
        <v>2102.88</v>
      </c>
      <c r="P81" s="74">
        <f t="shared" si="20"/>
        <v>2245.6799999999998</v>
      </c>
      <c r="Q81" s="74">
        <f t="shared" si="20"/>
        <v>2179.0800000000004</v>
      </c>
      <c r="R81" s="74">
        <f t="shared" si="20"/>
        <v>2199.48</v>
      </c>
      <c r="S81" s="74">
        <f t="shared" si="20"/>
        <v>2246.88</v>
      </c>
      <c r="T81" s="74">
        <f t="shared" si="20"/>
        <v>2244.08</v>
      </c>
      <c r="U81" s="74">
        <f t="shared" si="20"/>
        <v>2315.6800000000003</v>
      </c>
      <c r="V81" s="74">
        <f t="shared" si="20"/>
        <v>2430.2800000000002</v>
      </c>
      <c r="W81" s="74">
        <f t="shared" si="20"/>
        <v>2783.48</v>
      </c>
      <c r="X81" s="74">
        <f t="shared" si="20"/>
        <v>2813.8800000000006</v>
      </c>
      <c r="Y81" s="74">
        <f t="shared" si="20"/>
        <v>2675.88</v>
      </c>
      <c r="Z81" s="74">
        <f t="shared" si="20"/>
        <v>2566.6800000000003</v>
      </c>
      <c r="AA81" s="74">
        <f t="shared" si="20"/>
        <v>2407.2799999999997</v>
      </c>
      <c r="AB81" s="74">
        <f t="shared" si="20"/>
        <v>2300.6800000000003</v>
      </c>
      <c r="AC81" s="74">
        <f t="shared" si="20"/>
        <v>2196.0800000000004</v>
      </c>
      <c r="AD81" s="74">
        <f t="shared" si="20"/>
        <v>1999.08</v>
      </c>
      <c r="AE81" s="74">
        <f t="shared" si="20"/>
        <v>1889.08</v>
      </c>
      <c r="AF81" s="74">
        <f t="shared" si="20"/>
        <v>1888.48</v>
      </c>
      <c r="AG81" s="79">
        <f t="shared" si="20"/>
        <v>4238.08</v>
      </c>
      <c r="AH81" s="56">
        <f t="shared" si="16"/>
        <v>2813.8800000000006</v>
      </c>
      <c r="AI81" s="57">
        <f t="shared" si="17"/>
        <v>1476.28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49.889000000000003</v>
      </c>
      <c r="C82" s="96">
        <v>49.91</v>
      </c>
      <c r="D82" s="96">
        <v>49.993000000000002</v>
      </c>
      <c r="E82" s="96">
        <v>49.999000000000002</v>
      </c>
      <c r="F82" s="96">
        <v>50.027000000000001</v>
      </c>
      <c r="G82" s="96">
        <v>50.008000000000003</v>
      </c>
      <c r="H82" s="96">
        <v>50.005000000000003</v>
      </c>
      <c r="I82" s="96">
        <v>50.073999999999998</v>
      </c>
      <c r="J82" s="96">
        <v>50.008000000000003</v>
      </c>
      <c r="K82" s="96">
        <v>49.926000000000002</v>
      </c>
      <c r="L82" s="96">
        <v>50.030999999999999</v>
      </c>
      <c r="M82" s="96">
        <v>50.037999999999997</v>
      </c>
      <c r="N82" s="96">
        <v>50.026000000000003</v>
      </c>
      <c r="O82" s="96">
        <v>49.904000000000003</v>
      </c>
      <c r="P82" s="96">
        <v>49.984999999999999</v>
      </c>
      <c r="Q82" s="96">
        <v>49.947000000000003</v>
      </c>
      <c r="R82" s="96">
        <v>50.029000000000003</v>
      </c>
      <c r="S82" s="96">
        <v>50.064999999999998</v>
      </c>
      <c r="T82" s="96">
        <v>50.063000000000002</v>
      </c>
      <c r="U82" s="96">
        <v>49.996000000000002</v>
      </c>
      <c r="V82" s="96">
        <v>50.021000000000001</v>
      </c>
      <c r="W82" s="96">
        <v>50.021000000000001</v>
      </c>
      <c r="X82" s="96">
        <v>50.103000000000002</v>
      </c>
      <c r="Y82" s="96">
        <v>50.103000000000002</v>
      </c>
      <c r="Z82" s="96">
        <v>50.081000000000003</v>
      </c>
      <c r="AA82" s="96">
        <v>50.03</v>
      </c>
      <c r="AB82" s="96">
        <v>50.04</v>
      </c>
      <c r="AC82" s="96">
        <v>50.01</v>
      </c>
      <c r="AD82" s="96">
        <v>50.02</v>
      </c>
      <c r="AE82" s="96">
        <v>50</v>
      </c>
      <c r="AF82" s="96">
        <v>50.02</v>
      </c>
      <c r="AG82" s="98"/>
      <c r="AH82" s="56">
        <f t="shared" si="16"/>
        <v>50.103000000000002</v>
      </c>
      <c r="AI82" s="57">
        <f t="shared" si="17"/>
        <v>49.889000000000003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126.6</v>
      </c>
      <c r="C83" s="52">
        <v>126.4</v>
      </c>
      <c r="D83" s="52">
        <v>127.2</v>
      </c>
      <c r="E83" s="52">
        <v>126.8</v>
      </c>
      <c r="F83" s="52">
        <v>126.2</v>
      </c>
      <c r="G83" s="52">
        <v>126.3</v>
      </c>
      <c r="H83" s="52">
        <v>125.4</v>
      </c>
      <c r="I83" s="52">
        <v>125</v>
      </c>
      <c r="J83" s="52">
        <v>122.9</v>
      </c>
      <c r="K83" s="52">
        <v>122.4</v>
      </c>
      <c r="L83" s="52">
        <v>124.2</v>
      </c>
      <c r="M83" s="52">
        <v>125.4</v>
      </c>
      <c r="N83" s="52">
        <v>125.2</v>
      </c>
      <c r="O83" s="52">
        <v>124.8</v>
      </c>
      <c r="P83" s="52">
        <v>122.3</v>
      </c>
      <c r="Q83" s="52">
        <v>123.1</v>
      </c>
      <c r="R83" s="52">
        <v>123.8</v>
      </c>
      <c r="S83" s="52">
        <v>122</v>
      </c>
      <c r="T83" s="100">
        <v>124.7</v>
      </c>
      <c r="U83" s="100">
        <v>123.9</v>
      </c>
      <c r="V83" s="100">
        <v>123.9</v>
      </c>
      <c r="W83" s="100">
        <v>123.9</v>
      </c>
      <c r="X83" s="100">
        <v>126.6</v>
      </c>
      <c r="Y83" s="100">
        <v>126.2</v>
      </c>
      <c r="Z83" s="100">
        <v>126</v>
      </c>
      <c r="AA83" s="100">
        <v>126</v>
      </c>
      <c r="AB83" s="100">
        <v>126</v>
      </c>
      <c r="AC83" s="100">
        <v>127</v>
      </c>
      <c r="AD83" s="100">
        <v>125.8</v>
      </c>
      <c r="AE83" s="100">
        <v>127.4</v>
      </c>
      <c r="AF83" s="100">
        <v>127.5</v>
      </c>
      <c r="AG83" s="102"/>
      <c r="AH83" s="56">
        <f t="shared" si="16"/>
        <v>127.5</v>
      </c>
      <c r="AI83" s="57">
        <f t="shared" si="17"/>
        <v>122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</v>
      </c>
      <c r="C84" s="52">
        <v>129.80000000000001</v>
      </c>
      <c r="D84" s="52">
        <v>130.9</v>
      </c>
      <c r="E84" s="52">
        <v>130.1</v>
      </c>
      <c r="F84" s="52">
        <v>129.6</v>
      </c>
      <c r="G84" s="52">
        <v>129.6</v>
      </c>
      <c r="H84" s="52">
        <v>128.9</v>
      </c>
      <c r="I84" s="52">
        <v>127.9</v>
      </c>
      <c r="J84" s="52">
        <v>126.3</v>
      </c>
      <c r="K84" s="52">
        <v>126.5</v>
      </c>
      <c r="L84" s="52">
        <v>127.1</v>
      </c>
      <c r="M84" s="52">
        <v>128.6</v>
      </c>
      <c r="N84" s="52">
        <v>128.30000000000001</v>
      </c>
      <c r="O84" s="52">
        <v>127.8</v>
      </c>
      <c r="P84" s="52">
        <v>126</v>
      </c>
      <c r="Q84" s="52">
        <v>126.1</v>
      </c>
      <c r="R84" s="52">
        <v>127</v>
      </c>
      <c r="S84" s="52">
        <v>125.8</v>
      </c>
      <c r="T84" s="100">
        <v>128.19999999999999</v>
      </c>
      <c r="U84" s="100">
        <v>127.4</v>
      </c>
      <c r="V84" s="100">
        <v>127</v>
      </c>
      <c r="W84" s="100">
        <v>127</v>
      </c>
      <c r="X84" s="100">
        <v>129.30000000000001</v>
      </c>
      <c r="Y84" s="100">
        <v>128.9</v>
      </c>
      <c r="Z84" s="100">
        <v>129</v>
      </c>
      <c r="AA84" s="100">
        <v>128.69999999999999</v>
      </c>
      <c r="AB84" s="100">
        <v>129</v>
      </c>
      <c r="AC84" s="100">
        <v>130.30000000000001</v>
      </c>
      <c r="AD84" s="100">
        <v>129.6</v>
      </c>
      <c r="AE84" s="100">
        <v>130.6</v>
      </c>
      <c r="AF84" s="100">
        <v>130.69999999999999</v>
      </c>
      <c r="AG84" s="102"/>
      <c r="AH84" s="56">
        <f t="shared" si="16"/>
        <v>130.9</v>
      </c>
      <c r="AI84" s="57">
        <f t="shared" si="17"/>
        <v>125.8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100"/>
      <c r="Y85" s="100"/>
      <c r="Z85" s="100"/>
      <c r="AA85" s="100"/>
      <c r="AB85" s="100"/>
      <c r="AC85" s="100"/>
      <c r="AD85" s="100"/>
      <c r="AE85" s="100"/>
      <c r="AF85" s="100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100"/>
      <c r="Y86" s="100"/>
      <c r="Z86" s="100"/>
      <c r="AA86" s="100"/>
      <c r="AB86" s="100"/>
      <c r="AC86" s="100"/>
      <c r="AD86" s="100"/>
      <c r="AE86" s="100"/>
      <c r="AF86" s="100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131.4</v>
      </c>
      <c r="C87" s="104">
        <v>130.69999999999999</v>
      </c>
      <c r="D87" s="104">
        <v>131.19999999999999</v>
      </c>
      <c r="E87" s="104">
        <v>132.80000000000001</v>
      </c>
      <c r="F87" s="104">
        <v>131</v>
      </c>
      <c r="G87" s="104">
        <v>131</v>
      </c>
      <c r="H87" s="104">
        <v>132</v>
      </c>
      <c r="I87" s="104">
        <v>134.1</v>
      </c>
      <c r="J87" s="104">
        <v>130.69999999999999</v>
      </c>
      <c r="K87" s="104">
        <v>131.30000000000001</v>
      </c>
      <c r="L87" s="104">
        <v>131.69999999999999</v>
      </c>
      <c r="M87" s="104">
        <v>133.80000000000001</v>
      </c>
      <c r="N87" s="104">
        <v>132.9</v>
      </c>
      <c r="O87" s="104">
        <v>131.6</v>
      </c>
      <c r="P87" s="104">
        <v>133.6</v>
      </c>
      <c r="Q87" s="104">
        <v>134.30000000000001</v>
      </c>
      <c r="R87" s="104">
        <v>134.30000000000001</v>
      </c>
      <c r="S87" s="104">
        <v>131.80000000000001</v>
      </c>
      <c r="T87" s="104">
        <v>134.69999999999999</v>
      </c>
      <c r="U87" s="104">
        <v>134.1</v>
      </c>
      <c r="V87" s="104">
        <v>134.30000000000001</v>
      </c>
      <c r="W87" s="104">
        <v>134.30000000000001</v>
      </c>
      <c r="X87" s="100">
        <v>136.19999999999999</v>
      </c>
      <c r="Y87" s="100">
        <v>136.30000000000001</v>
      </c>
      <c r="Z87" s="100">
        <v>134</v>
      </c>
      <c r="AA87" s="100">
        <v>135</v>
      </c>
      <c r="AB87" s="100">
        <v>131</v>
      </c>
      <c r="AC87" s="100">
        <v>136.19999999999999</v>
      </c>
      <c r="AD87" s="100">
        <v>133.19999999999999</v>
      </c>
      <c r="AE87" s="100">
        <v>131.1</v>
      </c>
      <c r="AF87" s="100">
        <v>134.19999999999999</v>
      </c>
      <c r="AG87" s="106"/>
      <c r="AH87" s="56">
        <f t="shared" si="16"/>
        <v>136.30000000000001</v>
      </c>
      <c r="AI87" s="57">
        <f t="shared" si="17"/>
        <v>130.69999999999999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132.9</v>
      </c>
      <c r="C88" s="52">
        <v>132.19999999999999</v>
      </c>
      <c r="D88" s="52">
        <v>133.4</v>
      </c>
      <c r="E88" s="52">
        <v>133</v>
      </c>
      <c r="F88" s="52">
        <v>130.69999999999999</v>
      </c>
      <c r="G88" s="52">
        <v>129.4</v>
      </c>
      <c r="H88" s="52">
        <v>131.6</v>
      </c>
      <c r="I88" s="52">
        <v>131.5</v>
      </c>
      <c r="J88" s="52">
        <v>127.9</v>
      </c>
      <c r="K88" s="52">
        <v>127.5</v>
      </c>
      <c r="L88" s="52">
        <v>129.80000000000001</v>
      </c>
      <c r="M88" s="52">
        <v>130.19999999999999</v>
      </c>
      <c r="N88" s="52">
        <v>129.5</v>
      </c>
      <c r="O88" s="52">
        <v>127.2</v>
      </c>
      <c r="P88" s="52">
        <v>132.80000000000001</v>
      </c>
      <c r="Q88" s="52">
        <v>133.19999999999999</v>
      </c>
      <c r="R88" s="52">
        <v>132.1</v>
      </c>
      <c r="S88" s="52">
        <v>129.1</v>
      </c>
      <c r="T88" s="52">
        <v>132.80000000000001</v>
      </c>
      <c r="U88" s="52">
        <v>130.1</v>
      </c>
      <c r="V88" s="52">
        <v>132.4</v>
      </c>
      <c r="W88" s="52">
        <v>132.4</v>
      </c>
      <c r="X88" s="100">
        <v>134.4</v>
      </c>
      <c r="Y88" s="100">
        <v>135.1</v>
      </c>
      <c r="Z88" s="100">
        <v>133.80000000000001</v>
      </c>
      <c r="AA88" s="100">
        <v>135.6</v>
      </c>
      <c r="AB88" s="100">
        <v>130</v>
      </c>
      <c r="AC88" s="100">
        <v>133</v>
      </c>
      <c r="AD88" s="100">
        <v>132.6</v>
      </c>
      <c r="AE88" s="100">
        <v>131.19999999999999</v>
      </c>
      <c r="AF88" s="100">
        <v>134.19999999999999</v>
      </c>
      <c r="AG88" s="102"/>
      <c r="AH88" s="56">
        <f t="shared" si="16"/>
        <v>135.6</v>
      </c>
      <c r="AI88" s="57">
        <f t="shared" si="17"/>
        <v>127.2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66.8</v>
      </c>
      <c r="C89" s="107">
        <v>66.7</v>
      </c>
      <c r="D89" s="107">
        <v>67.2</v>
      </c>
      <c r="E89" s="107">
        <v>66.900000000000006</v>
      </c>
      <c r="F89" s="107">
        <v>66.5</v>
      </c>
      <c r="G89" s="107">
        <v>66.5</v>
      </c>
      <c r="H89" s="107">
        <v>66.099999999999994</v>
      </c>
      <c r="I89" s="107">
        <v>66</v>
      </c>
      <c r="J89" s="107">
        <v>64.5</v>
      </c>
      <c r="K89" s="107">
        <v>64.8</v>
      </c>
      <c r="L89" s="107">
        <v>65</v>
      </c>
      <c r="M89" s="107">
        <v>65.8</v>
      </c>
      <c r="N89" s="107">
        <v>65.599999999999994</v>
      </c>
      <c r="O89" s="107">
        <v>65.599999999999994</v>
      </c>
      <c r="P89" s="107">
        <v>64.3</v>
      </c>
      <c r="Q89" s="107">
        <v>64.7</v>
      </c>
      <c r="R89" s="107">
        <v>64.900000000000006</v>
      </c>
      <c r="S89" s="107">
        <v>64.400000000000006</v>
      </c>
      <c r="T89" s="107">
        <v>65.7</v>
      </c>
      <c r="U89" s="107">
        <v>65.2</v>
      </c>
      <c r="V89" s="107">
        <v>65.2</v>
      </c>
      <c r="W89" s="107">
        <v>65.2</v>
      </c>
      <c r="X89" s="107">
        <v>66</v>
      </c>
      <c r="Y89" s="107">
        <v>66.099999999999994</v>
      </c>
      <c r="Z89" s="107">
        <v>66.2</v>
      </c>
      <c r="AA89" s="107">
        <v>66</v>
      </c>
      <c r="AB89" s="107">
        <v>66</v>
      </c>
      <c r="AC89" s="107">
        <v>66.8</v>
      </c>
      <c r="AD89" s="107">
        <v>66.599999999999994</v>
      </c>
      <c r="AE89" s="107">
        <v>67.2</v>
      </c>
      <c r="AF89" s="107">
        <v>67.3</v>
      </c>
      <c r="AG89" s="109"/>
      <c r="AH89" s="56">
        <f t="shared" si="16"/>
        <v>67.3</v>
      </c>
      <c r="AI89" s="57">
        <f t="shared" si="17"/>
        <v>64.3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112.54</v>
      </c>
      <c r="C91" s="114">
        <f t="shared" ref="C91:AF91" si="21">SUM(C14,C17,C20:C21,C40,C42:C43,C45,C47,C92:C95,C100,C106,C112,C121,C123,C135,C142,C145:C146,C153,C155,C157,C161:C163,C165:C167,C172,C178:C179,C181:C183,C191,C196)</f>
        <v>109.64</v>
      </c>
      <c r="D91" s="114">
        <f t="shared" si="21"/>
        <v>108.03999999999998</v>
      </c>
      <c r="E91" s="114">
        <f t="shared" si="21"/>
        <v>107.43999999999998</v>
      </c>
      <c r="F91" s="115">
        <f t="shared" si="21"/>
        <v>127.54000000000003</v>
      </c>
      <c r="G91" s="115">
        <f t="shared" si="21"/>
        <v>145.14000000000001</v>
      </c>
      <c r="H91" s="115">
        <f t="shared" si="21"/>
        <v>168.04</v>
      </c>
      <c r="I91" s="115">
        <f t="shared" si="21"/>
        <v>212.33999999999997</v>
      </c>
      <c r="J91" s="115">
        <f t="shared" si="21"/>
        <v>242.93999999999997</v>
      </c>
      <c r="K91" s="115">
        <f t="shared" si="21"/>
        <v>263.84000000000003</v>
      </c>
      <c r="L91" s="115">
        <f t="shared" si="21"/>
        <v>272.04000000000002</v>
      </c>
      <c r="M91" s="115">
        <f t="shared" si="21"/>
        <v>256.43999999999994</v>
      </c>
      <c r="N91" s="115">
        <f t="shared" si="21"/>
        <v>261.94000000000005</v>
      </c>
      <c r="O91" s="115">
        <f t="shared" si="21"/>
        <v>240.23999999999995</v>
      </c>
      <c r="P91" s="115">
        <f t="shared" si="21"/>
        <v>249.93999999999997</v>
      </c>
      <c r="Q91" s="115">
        <f t="shared" si="21"/>
        <v>239.74</v>
      </c>
      <c r="R91" s="115">
        <f t="shared" si="21"/>
        <v>237.03999999999996</v>
      </c>
      <c r="S91" s="115">
        <f t="shared" si="21"/>
        <v>235.14</v>
      </c>
      <c r="T91" s="115">
        <f t="shared" si="21"/>
        <v>270.64</v>
      </c>
      <c r="U91" s="115">
        <f t="shared" si="21"/>
        <v>264.14</v>
      </c>
      <c r="V91" s="115">
        <f t="shared" si="21"/>
        <v>282.14000000000004</v>
      </c>
      <c r="W91" s="115">
        <f t="shared" si="21"/>
        <v>282.14000000000004</v>
      </c>
      <c r="X91" s="115">
        <f t="shared" si="21"/>
        <v>325.74</v>
      </c>
      <c r="Y91" s="115">
        <f t="shared" si="21"/>
        <v>295.94000000000005</v>
      </c>
      <c r="Z91" s="115">
        <f t="shared" si="21"/>
        <v>275.44</v>
      </c>
      <c r="AA91" s="115">
        <f t="shared" si="21"/>
        <v>252.03999999999996</v>
      </c>
      <c r="AB91" s="115">
        <f t="shared" si="21"/>
        <v>223.13999999999996</v>
      </c>
      <c r="AC91" s="115">
        <f t="shared" si="21"/>
        <v>212.64</v>
      </c>
      <c r="AD91" s="115">
        <f t="shared" si="21"/>
        <v>164.43999999999994</v>
      </c>
      <c r="AE91" s="115">
        <f t="shared" si="21"/>
        <v>140.03999999999996</v>
      </c>
      <c r="AF91" s="115">
        <f t="shared" si="21"/>
        <v>130.13999999999999</v>
      </c>
      <c r="AG91" s="116"/>
      <c r="AH91" s="56">
        <f>MAX(B91:AF91)</f>
        <v>325.74</v>
      </c>
      <c r="AI91" s="57">
        <f>MIN(B91:AF91)</f>
        <v>107.43999999999998</v>
      </c>
    </row>
    <row r="92" spans="1:88" x14ac:dyDescent="0.25">
      <c r="A92" s="117" t="s">
        <v>96</v>
      </c>
      <c r="B92" s="60">
        <v>17</v>
      </c>
      <c r="C92" s="60">
        <v>18.2</v>
      </c>
      <c r="D92" s="60">
        <v>17.2</v>
      </c>
      <c r="E92" s="60">
        <v>21.1</v>
      </c>
      <c r="F92" s="118">
        <v>15.9</v>
      </c>
      <c r="G92" s="118">
        <v>13.9</v>
      </c>
      <c r="H92" s="118">
        <v>23.3</v>
      </c>
      <c r="I92" s="118">
        <v>22.7</v>
      </c>
      <c r="J92" s="118">
        <v>16.600000000000001</v>
      </c>
      <c r="K92" s="118">
        <v>29.6</v>
      </c>
      <c r="L92" s="54">
        <v>11.5</v>
      </c>
      <c r="M92" s="118">
        <v>42.2</v>
      </c>
      <c r="N92" s="118">
        <v>46.5</v>
      </c>
      <c r="O92" s="118">
        <v>53.6</v>
      </c>
      <c r="P92" s="118">
        <v>57.5</v>
      </c>
      <c r="Q92" s="118">
        <v>56.5</v>
      </c>
      <c r="R92" s="118">
        <v>54.3</v>
      </c>
      <c r="S92" s="118">
        <v>50.8</v>
      </c>
      <c r="T92" s="54">
        <v>49.2</v>
      </c>
      <c r="U92" s="54">
        <v>43.2</v>
      </c>
      <c r="V92" s="54">
        <v>39.4</v>
      </c>
      <c r="W92" s="54">
        <v>39.4</v>
      </c>
      <c r="X92" s="118">
        <v>12.5</v>
      </c>
      <c r="Y92" s="118">
        <v>27.4</v>
      </c>
      <c r="Z92" s="118">
        <v>34</v>
      </c>
      <c r="AA92" s="118">
        <v>41.1</v>
      </c>
      <c r="AB92" s="54">
        <v>51.8</v>
      </c>
      <c r="AC92" s="54">
        <v>34.200000000000003</v>
      </c>
      <c r="AD92" s="54">
        <v>43.8</v>
      </c>
      <c r="AE92" s="54">
        <v>27.6</v>
      </c>
      <c r="AF92" s="54">
        <v>28.3</v>
      </c>
      <c r="AG92" s="120">
        <v>75</v>
      </c>
      <c r="AH92" s="56">
        <f t="shared" ref="AH92:AH97" si="22">IF(ABS(MAX(B92:AF92))&gt;ABS(MIN(B92:AF92)),MAX(B92:AF92),MIN(B92:AF92))</f>
        <v>57.5</v>
      </c>
      <c r="AI92" s="121">
        <f t="shared" ref="AI92:AI97" si="23">INDEX($B$9:$AF$9,1,MATCH(AH92,B92:AF92,0))</f>
        <v>0.5</v>
      </c>
    </row>
    <row r="93" spans="1:88" x14ac:dyDescent="0.25">
      <c r="A93" s="122" t="s">
        <v>97</v>
      </c>
      <c r="B93" s="62">
        <v>-74.5</v>
      </c>
      <c r="C93" s="62">
        <v>-75</v>
      </c>
      <c r="D93" s="62">
        <v>-75</v>
      </c>
      <c r="E93" s="62">
        <v>-70</v>
      </c>
      <c r="F93" s="62">
        <v>-67</v>
      </c>
      <c r="G93" s="62">
        <v>-73</v>
      </c>
      <c r="H93" s="62">
        <v>-65</v>
      </c>
      <c r="I93" s="62">
        <v>-55</v>
      </c>
      <c r="J93" s="62">
        <v>-45</v>
      </c>
      <c r="K93" s="62">
        <v>-50</v>
      </c>
      <c r="L93" s="62">
        <v>-46.9</v>
      </c>
      <c r="M93" s="62">
        <v>-58.9</v>
      </c>
      <c r="N93" s="62">
        <v>-51.5</v>
      </c>
      <c r="O93" s="62">
        <v>-64.7</v>
      </c>
      <c r="P93" s="62">
        <v>-66.900000000000006</v>
      </c>
      <c r="Q93" s="62">
        <v>-68.2</v>
      </c>
      <c r="R93" s="62">
        <v>-68.8</v>
      </c>
      <c r="S93" s="62">
        <v>-73</v>
      </c>
      <c r="T93" s="62">
        <v>-62</v>
      </c>
      <c r="U93" s="62">
        <v>-56</v>
      </c>
      <c r="V93" s="62">
        <v>-52</v>
      </c>
      <c r="W93" s="62">
        <v>-52</v>
      </c>
      <c r="X93" s="62">
        <v>-32</v>
      </c>
      <c r="Y93" s="62">
        <v>-45</v>
      </c>
      <c r="Z93" s="62">
        <v>-50</v>
      </c>
      <c r="AA93" s="62">
        <f>-24.3-33.7</f>
        <v>-58</v>
      </c>
      <c r="AB93" s="52">
        <v>-66</v>
      </c>
      <c r="AC93" s="52">
        <f>-31-36.2</f>
        <v>-67.2</v>
      </c>
      <c r="AD93" s="52">
        <f>-36.2-42.5</f>
        <v>-78.7</v>
      </c>
      <c r="AE93" s="52">
        <f>-35.7-42.2</f>
        <v>-77.900000000000006</v>
      </c>
      <c r="AF93" s="52">
        <f>-37.4-43.4</f>
        <v>-80.8</v>
      </c>
      <c r="AG93" s="120">
        <v>240</v>
      </c>
      <c r="AH93" s="56">
        <f t="shared" si="22"/>
        <v>-80.8</v>
      </c>
      <c r="AI93" s="121">
        <f t="shared" si="23"/>
        <v>1</v>
      </c>
    </row>
    <row r="94" spans="1:88" x14ac:dyDescent="0.25">
      <c r="A94" s="122" t="s">
        <v>98</v>
      </c>
      <c r="B94" s="62">
        <v>-4.9000000000000004</v>
      </c>
      <c r="C94" s="62">
        <v>-7.5</v>
      </c>
      <c r="D94" s="62">
        <v>-7</v>
      </c>
      <c r="E94" s="62">
        <v>-7.5</v>
      </c>
      <c r="F94" s="62">
        <v>-6</v>
      </c>
      <c r="G94" s="62">
        <v>-1.6</v>
      </c>
      <c r="H94" s="62">
        <v>-1.3</v>
      </c>
      <c r="I94" s="62">
        <v>4.0999999999999996</v>
      </c>
      <c r="J94" s="62">
        <v>5.0999999999999996</v>
      </c>
      <c r="K94" s="62">
        <v>3.6</v>
      </c>
      <c r="L94" s="62">
        <v>7.6</v>
      </c>
      <c r="M94" s="62">
        <v>33</v>
      </c>
      <c r="N94" s="62">
        <v>35.4</v>
      </c>
      <c r="O94" s="62">
        <v>20</v>
      </c>
      <c r="P94" s="62">
        <v>1.5</v>
      </c>
      <c r="Q94" s="62">
        <v>3.8</v>
      </c>
      <c r="R94" s="62">
        <v>2.6</v>
      </c>
      <c r="S94" s="62">
        <v>-3</v>
      </c>
      <c r="T94" s="62">
        <v>4.0999999999999996</v>
      </c>
      <c r="U94" s="62">
        <v>2</v>
      </c>
      <c r="V94" s="62">
        <v>6</v>
      </c>
      <c r="W94" s="62">
        <v>6</v>
      </c>
      <c r="X94" s="62">
        <v>39.799999999999997</v>
      </c>
      <c r="Y94" s="62">
        <v>18.5</v>
      </c>
      <c r="Z94" s="62">
        <v>5</v>
      </c>
      <c r="AA94" s="62">
        <v>2.6</v>
      </c>
      <c r="AB94" s="52">
        <v>1.4</v>
      </c>
      <c r="AC94" s="52">
        <v>1.2</v>
      </c>
      <c r="AD94" s="52">
        <v>-1.3</v>
      </c>
      <c r="AE94" s="52">
        <v>-5.8</v>
      </c>
      <c r="AF94" s="52">
        <v>-6.2</v>
      </c>
      <c r="AG94" s="120">
        <v>60</v>
      </c>
      <c r="AH94" s="56">
        <f t="shared" si="22"/>
        <v>39.799999999999997</v>
      </c>
      <c r="AI94" s="121">
        <f t="shared" si="23"/>
        <v>0.77083333333333337</v>
      </c>
    </row>
    <row r="95" spans="1:88" x14ac:dyDescent="0.25">
      <c r="A95" s="124" t="s">
        <v>99</v>
      </c>
      <c r="B95" s="65">
        <v>0</v>
      </c>
      <c r="C95" s="65">
        <v>-1.8</v>
      </c>
      <c r="D95" s="65">
        <v>-2.4</v>
      </c>
      <c r="E95" s="65">
        <v>0</v>
      </c>
      <c r="F95" s="65">
        <v>9.6999999999999993</v>
      </c>
      <c r="G95" s="65">
        <v>12.2</v>
      </c>
      <c r="H95" s="65">
        <v>17.399999999999999</v>
      </c>
      <c r="I95" s="65">
        <v>25.9</v>
      </c>
      <c r="J95" s="65">
        <v>51.6</v>
      </c>
      <c r="K95" s="65">
        <v>46.4</v>
      </c>
      <c r="L95" s="65">
        <v>64.8</v>
      </c>
      <c r="M95" s="65">
        <v>4.0999999999999996</v>
      </c>
      <c r="N95" s="65">
        <v>-4.5</v>
      </c>
      <c r="O95" s="65">
        <v>-4.5</v>
      </c>
      <c r="P95" s="65">
        <v>22</v>
      </c>
      <c r="Q95" s="65">
        <v>12.3</v>
      </c>
      <c r="R95" s="65">
        <v>13.6</v>
      </c>
      <c r="S95" s="65">
        <v>25</v>
      </c>
      <c r="T95" s="65">
        <v>44</v>
      </c>
      <c r="U95" s="65">
        <v>39.6</v>
      </c>
      <c r="V95" s="65">
        <v>50.2</v>
      </c>
      <c r="W95" s="65">
        <v>50.2</v>
      </c>
      <c r="X95" s="65">
        <v>68.400000000000006</v>
      </c>
      <c r="Y95" s="65">
        <v>58</v>
      </c>
      <c r="Z95" s="65">
        <v>49.4</v>
      </c>
      <c r="AA95" s="65">
        <v>37.4</v>
      </c>
      <c r="AB95" s="125">
        <v>15.5</v>
      </c>
      <c r="AC95" s="125">
        <v>24</v>
      </c>
      <c r="AD95" s="125">
        <v>0</v>
      </c>
      <c r="AE95" s="125">
        <v>7.3</v>
      </c>
      <c r="AF95" s="125">
        <v>0</v>
      </c>
      <c r="AG95" s="127">
        <v>120</v>
      </c>
      <c r="AH95" s="56">
        <f t="shared" si="22"/>
        <v>68.400000000000006</v>
      </c>
      <c r="AI95" s="121">
        <f t="shared" si="23"/>
        <v>0.77083333333333337</v>
      </c>
    </row>
    <row r="96" spans="1:88" x14ac:dyDescent="0.25">
      <c r="A96" s="124" t="s">
        <v>100</v>
      </c>
      <c r="B96" s="65">
        <v>32.5</v>
      </c>
      <c r="C96" s="65">
        <v>32.1</v>
      </c>
      <c r="D96" s="65">
        <v>31.2</v>
      </c>
      <c r="E96" s="65">
        <v>32.9</v>
      </c>
      <c r="F96" s="65">
        <v>39.700000000000003</v>
      </c>
      <c r="G96" s="65">
        <v>36.5</v>
      </c>
      <c r="H96" s="65">
        <v>37.299999999999997</v>
      </c>
      <c r="I96" s="65">
        <v>44.2</v>
      </c>
      <c r="J96" s="65">
        <v>63.8</v>
      </c>
      <c r="K96" s="65">
        <v>56.7</v>
      </c>
      <c r="L96" s="65">
        <v>69</v>
      </c>
      <c r="M96" s="65">
        <v>29</v>
      </c>
      <c r="N96" s="65">
        <v>17.5</v>
      </c>
      <c r="O96" s="65">
        <v>22.8</v>
      </c>
      <c r="P96" s="65">
        <v>40.299999999999997</v>
      </c>
      <c r="Q96" s="65">
        <v>34.9</v>
      </c>
      <c r="R96" s="65">
        <v>34.5</v>
      </c>
      <c r="S96" s="65">
        <v>45</v>
      </c>
      <c r="T96" s="65">
        <v>33.700000000000003</v>
      </c>
      <c r="U96" s="65">
        <v>47.4</v>
      </c>
      <c r="V96" s="65">
        <v>58.1</v>
      </c>
      <c r="W96" s="65">
        <v>58.1</v>
      </c>
      <c r="X96" s="65">
        <v>68.3</v>
      </c>
      <c r="Y96" s="65">
        <v>62</v>
      </c>
      <c r="Z96" s="65">
        <v>57</v>
      </c>
      <c r="AA96" s="65">
        <v>44.7</v>
      </c>
      <c r="AB96" s="125">
        <v>33.4</v>
      </c>
      <c r="AC96" s="125">
        <v>41.8</v>
      </c>
      <c r="AD96" s="125">
        <v>28.5</v>
      </c>
      <c r="AE96" s="125">
        <v>38.1</v>
      </c>
      <c r="AF96" s="125">
        <v>30.9</v>
      </c>
      <c r="AG96" s="127"/>
      <c r="AH96" s="56">
        <f t="shared" si="22"/>
        <v>69</v>
      </c>
      <c r="AI96" s="121">
        <f t="shared" si="23"/>
        <v>0.33333333333333331</v>
      </c>
    </row>
    <row r="97" spans="1:37" ht="15.75" thickBot="1" x14ac:dyDescent="0.3">
      <c r="A97" s="124" t="s">
        <v>101</v>
      </c>
      <c r="B97" s="65">
        <v>56.4</v>
      </c>
      <c r="C97" s="65">
        <v>60.7</v>
      </c>
      <c r="D97" s="65">
        <v>58.3</v>
      </c>
      <c r="E97" s="65">
        <v>51.6</v>
      </c>
      <c r="F97" s="65">
        <v>55.7</v>
      </c>
      <c r="G97" s="65">
        <v>54.3</v>
      </c>
      <c r="H97" s="65">
        <v>47.2</v>
      </c>
      <c r="I97" s="65">
        <v>48.3</v>
      </c>
      <c r="J97" s="65">
        <v>61.1</v>
      </c>
      <c r="K97" s="65">
        <v>43</v>
      </c>
      <c r="L97" s="65">
        <v>57</v>
      </c>
      <c r="M97" s="65">
        <v>33.700000000000003</v>
      </c>
      <c r="N97" s="65">
        <v>28.2</v>
      </c>
      <c r="O97" s="65">
        <v>33.799999999999997</v>
      </c>
      <c r="P97" s="65">
        <v>26.5</v>
      </c>
      <c r="Q97" s="65">
        <v>28.6</v>
      </c>
      <c r="R97" s="65">
        <v>32.9</v>
      </c>
      <c r="S97" s="65">
        <v>36</v>
      </c>
      <c r="T97" s="65">
        <v>35</v>
      </c>
      <c r="U97" s="65">
        <v>41.7</v>
      </c>
      <c r="V97" s="65">
        <v>42.5</v>
      </c>
      <c r="W97" s="65">
        <v>42.5</v>
      </c>
      <c r="X97" s="65">
        <v>66.5</v>
      </c>
      <c r="Y97" s="65">
        <v>40</v>
      </c>
      <c r="Z97" s="65">
        <v>24</v>
      </c>
      <c r="AA97" s="65">
        <v>8.4</v>
      </c>
      <c r="AB97" s="125">
        <v>-9.3000000000000007</v>
      </c>
      <c r="AC97" s="125">
        <v>43.9</v>
      </c>
      <c r="AD97" s="125">
        <v>28</v>
      </c>
      <c r="AE97" s="125">
        <v>46.1</v>
      </c>
      <c r="AF97" s="125">
        <v>34.9</v>
      </c>
      <c r="AG97" s="128"/>
      <c r="AH97" s="56">
        <f t="shared" si="22"/>
        <v>66.5</v>
      </c>
      <c r="AI97" s="121">
        <f t="shared" si="23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1058.1400000000001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7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2078/07/7)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2078/07/7)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729.24</v>
      </c>
      <c r="U211" s="173">
        <f t="shared" si="52"/>
        <v>725.93999999999994</v>
      </c>
      <c r="V211" s="173">
        <f t="shared" si="52"/>
        <v>713.83999999999992</v>
      </c>
      <c r="W211" s="173">
        <f t="shared" si="52"/>
        <v>702.14</v>
      </c>
      <c r="X211" s="173">
        <f t="shared" si="52"/>
        <v>742.93999999999994</v>
      </c>
      <c r="Y211" s="173">
        <f t="shared" si="52"/>
        <v>799.14</v>
      </c>
      <c r="Z211" s="173">
        <f t="shared" si="52"/>
        <v>835.83999999999992</v>
      </c>
      <c r="AA211" s="173">
        <f t="shared" si="52"/>
        <v>884.84</v>
      </c>
      <c r="AB211" s="173">
        <f t="shared" si="52"/>
        <v>974.94</v>
      </c>
      <c r="AC211" s="173">
        <f t="shared" si="52"/>
        <v>1048.1400000000001</v>
      </c>
      <c r="AD211" s="173">
        <f t="shared" si="52"/>
        <v>1058.1400000000001</v>
      </c>
      <c r="AE211" s="173">
        <f t="shared" si="52"/>
        <v>1055.1399999999999</v>
      </c>
      <c r="AF211" s="173">
        <f t="shared" si="52"/>
        <v>1096.6400000000001</v>
      </c>
      <c r="AG211" s="173">
        <f t="shared" si="52"/>
        <v>1051.44</v>
      </c>
      <c r="AH211" s="173">
        <f t="shared" si="52"/>
        <v>1076.74</v>
      </c>
      <c r="AI211" s="173">
        <f t="shared" si="52"/>
        <v>1081.74</v>
      </c>
      <c r="AJ211" s="173">
        <f t="shared" si="52"/>
        <v>1076.1400000000001</v>
      </c>
      <c r="AK211" s="173">
        <f t="shared" si="52"/>
        <v>1115.44</v>
      </c>
      <c r="AL211" s="173">
        <f t="shared" si="52"/>
        <v>1084.8400000000001</v>
      </c>
      <c r="AM211" s="173">
        <f t="shared" si="52"/>
        <v>1149.8400000000001</v>
      </c>
      <c r="AN211" s="173">
        <f t="shared" si="52"/>
        <v>1204.1400000000001</v>
      </c>
      <c r="AO211" s="173">
        <f t="shared" si="52"/>
        <v>1391.74</v>
      </c>
      <c r="AP211" s="173">
        <f t="shared" si="52"/>
        <v>1392.5400000000002</v>
      </c>
      <c r="AQ211" s="173">
        <f t="shared" si="52"/>
        <v>1303.94</v>
      </c>
      <c r="AR211" s="173">
        <f t="shared" si="52"/>
        <v>1255.3400000000001</v>
      </c>
      <c r="AS211" s="173">
        <f t="shared" si="52"/>
        <v>1172.44</v>
      </c>
      <c r="AT211" s="173">
        <f t="shared" si="52"/>
        <v>1103.3400000000001</v>
      </c>
      <c r="AU211" s="173">
        <f t="shared" si="52"/>
        <v>1086.6400000000001</v>
      </c>
      <c r="AV211" s="173">
        <f t="shared" si="52"/>
        <v>952.74</v>
      </c>
      <c r="AW211" s="173">
        <f t="shared" si="52"/>
        <v>911.74</v>
      </c>
      <c r="AX211" s="173">
        <f t="shared" si="52"/>
        <v>904.54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782" priority="493">
      <formula>S$9&gt;=20/24</formula>
    </cfRule>
    <cfRule type="expression" dxfId="8781" priority="494">
      <formula>AND(S$9&gt;=14/24,S$9&lt;20/24)</formula>
    </cfRule>
    <cfRule type="expression" dxfId="8780" priority="495">
      <formula>AND(S$9&gt;=8/24,S$9&lt;14/24)</formula>
    </cfRule>
    <cfRule type="expression" dxfId="8779" priority="496">
      <formula>S$9&lt;8/24</formula>
    </cfRule>
  </conditionalFormatting>
  <conditionalFormatting sqref="B8:AF10 AA79:AF79 B79:Q79 B54:AF54 B80:AF80 C191:AF197 B66:AF70 M60:M65 T210:AX210 N59:N65 B72:AF76 B78:AF78 L58:N58 L59:M59 B55:K59 B61:K65 L35:N35 M15:N16 M26:N27 L11:N13 O12:Q13 M25:P25 O43:P44 O58:Q65 O37:R40 R13:U13 Q43:W43 L56:W57 X83:AB89 O11:AF11 X17:AF29 S38:AF40 L51:AF53 AB82:AF89">
    <cfRule type="expression" dxfId="8778" priority="489">
      <formula>B$9&gt;=20/24</formula>
    </cfRule>
    <cfRule type="expression" dxfId="8777" priority="490">
      <formula>AND(B$9&gt;=14/24,B$9&lt;20/24)</formula>
    </cfRule>
    <cfRule type="expression" dxfId="8776" priority="491">
      <formula>AND(B$9&gt;=8/24,B$9&lt;14/24)</formula>
    </cfRule>
    <cfRule type="expression" dxfId="8775" priority="492">
      <formula>B$9&lt;8/24</formula>
    </cfRule>
  </conditionalFormatting>
  <conditionalFormatting sqref="B189:AF189">
    <cfRule type="expression" dxfId="8774" priority="485">
      <formula>B$9&gt;=20/24</formula>
    </cfRule>
    <cfRule type="expression" dxfId="8773" priority="486">
      <formula>AND(B$9&gt;=14/24,B$9&lt;20/24)</formula>
    </cfRule>
    <cfRule type="expression" dxfId="8772" priority="487">
      <formula>AND(B$9&gt;=8/24,B$9&lt;14/24)</formula>
    </cfRule>
    <cfRule type="expression" dxfId="8771" priority="488">
      <formula>B$9&lt;8/24</formula>
    </cfRule>
  </conditionalFormatting>
  <conditionalFormatting sqref="AL4:AL6">
    <cfRule type="iconSet" priority="484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8770" priority="480">
      <formula>L$9&gt;=20/24</formula>
    </cfRule>
    <cfRule type="expression" dxfId="8769" priority="481">
      <formula>AND(L$9&gt;=14/24,L$9&lt;20/24)</formula>
    </cfRule>
    <cfRule type="expression" dxfId="8768" priority="482">
      <formula>AND(L$9&gt;=8/24,L$9&lt;14/24)</formula>
    </cfRule>
    <cfRule type="expression" dxfId="8767" priority="483">
      <formula>L$9&lt;8/24</formula>
    </cfRule>
  </conditionalFormatting>
  <conditionalFormatting sqref="O41:W41">
    <cfRule type="expression" dxfId="8766" priority="476">
      <formula>O$9&gt;=20/24</formula>
    </cfRule>
    <cfRule type="expression" dxfId="8765" priority="477">
      <formula>AND(O$9&gt;=14/24,O$9&lt;20/24)</formula>
    </cfRule>
    <cfRule type="expression" dxfId="8764" priority="478">
      <formula>AND(O$9&gt;=8/24,O$9&lt;14/24)</formula>
    </cfRule>
    <cfRule type="expression" dxfId="8763" priority="479">
      <formula>O$9&lt;8/24</formula>
    </cfRule>
  </conditionalFormatting>
  <conditionalFormatting sqref="S37:AF37">
    <cfRule type="expression" dxfId="8762" priority="468">
      <formula>S$9&gt;=20/24</formula>
    </cfRule>
    <cfRule type="expression" dxfId="8761" priority="469">
      <formula>AND(S$9&gt;=14/24,S$9&lt;20/24)</formula>
    </cfRule>
    <cfRule type="expression" dxfId="8760" priority="470">
      <formula>AND(S$9&gt;=8/24,S$9&lt;14/24)</formula>
    </cfRule>
    <cfRule type="expression" dxfId="8759" priority="471">
      <formula>S$9&lt;8/24</formula>
    </cfRule>
  </conditionalFormatting>
  <conditionalFormatting sqref="R55:AF55">
    <cfRule type="expression" dxfId="8758" priority="464">
      <formula>R$9&gt;=20/24</formula>
    </cfRule>
    <cfRule type="expression" dxfId="8757" priority="465">
      <formula>AND(R$9&gt;=14/24,R$9&lt;20/24)</formula>
    </cfRule>
    <cfRule type="expression" dxfId="8756" priority="466">
      <formula>AND(R$9&gt;=8/24,R$9&lt;14/24)</formula>
    </cfRule>
    <cfRule type="expression" dxfId="8755" priority="467">
      <formula>R$9&lt;8/24</formula>
    </cfRule>
  </conditionalFormatting>
  <conditionalFormatting sqref="R79:Z79">
    <cfRule type="expression" dxfId="8754" priority="460">
      <formula>R$9&gt;=20/24</formula>
    </cfRule>
    <cfRule type="expression" dxfId="8753" priority="461">
      <formula>AND(R$9&gt;=14/24,R$9&lt;20/24)</formula>
    </cfRule>
    <cfRule type="expression" dxfId="8752" priority="462">
      <formula>AND(R$9&gt;=8/24,R$9&lt;14/24)</formula>
    </cfRule>
    <cfRule type="expression" dxfId="8751" priority="463">
      <formula>R$9&lt;8/24</formula>
    </cfRule>
  </conditionalFormatting>
  <conditionalFormatting sqref="T82:AA82">
    <cfRule type="expression" dxfId="8750" priority="456">
      <formula>T$9&gt;=20/24</formula>
    </cfRule>
    <cfRule type="expression" dxfId="8749" priority="457">
      <formula>AND(T$9&gt;=14/24,T$9&lt;20/24)</formula>
    </cfRule>
    <cfRule type="expression" dxfId="8748" priority="458">
      <formula>AND(T$9&gt;=8/24,T$9&lt;14/24)</formula>
    </cfRule>
    <cfRule type="expression" dxfId="8747" priority="459">
      <formula>T$9&lt;8/24</formula>
    </cfRule>
  </conditionalFormatting>
  <conditionalFormatting sqref="O43:P44 Q43:W43">
    <cfRule type="expression" dxfId="8746" priority="440">
      <formula>O$9&gt;=20/24</formula>
    </cfRule>
    <cfRule type="expression" dxfId="8745" priority="441">
      <formula>AND(O$9&gt;=14/24,O$9&lt;20/24)</formula>
    </cfRule>
    <cfRule type="expression" dxfId="8744" priority="442">
      <formula>AND(O$9&gt;=8/24,O$9&lt;14/24)</formula>
    </cfRule>
    <cfRule type="expression" dxfId="8743" priority="443">
      <formula>O$9&lt;8/24</formula>
    </cfRule>
  </conditionalFormatting>
  <conditionalFormatting sqref="U35:AF35">
    <cfRule type="expression" dxfId="8742" priority="436">
      <formula>U$9&gt;=20/24</formula>
    </cfRule>
    <cfRule type="expression" dxfId="8741" priority="437">
      <formula>AND(U$9&gt;=14/24,U$9&lt;20/24)</formula>
    </cfRule>
    <cfRule type="expression" dxfId="8740" priority="438">
      <formula>AND(U$9&gt;=8/24,U$9&lt;14/24)</formula>
    </cfRule>
    <cfRule type="expression" dxfId="8739" priority="439">
      <formula>U$9&lt;8/24</formula>
    </cfRule>
  </conditionalFormatting>
  <conditionalFormatting sqref="X30:AF31 X33:AF33">
    <cfRule type="expression" dxfId="8738" priority="432">
      <formula>X$9&gt;=20/24</formula>
    </cfRule>
    <cfRule type="expression" dxfId="8737" priority="433">
      <formula>AND(X$9&gt;=14/24,X$9&lt;20/24)</formula>
    </cfRule>
    <cfRule type="expression" dxfId="8736" priority="434">
      <formula>AND(X$9&gt;=8/24,X$9&lt;14/24)</formula>
    </cfRule>
    <cfRule type="expression" dxfId="8735" priority="435">
      <formula>X$9&lt;8/24</formula>
    </cfRule>
  </conditionalFormatting>
  <conditionalFormatting sqref="X41:AF41 X43:AF46">
    <cfRule type="expression" dxfId="8734" priority="428">
      <formula>X$9&gt;=20/24</formula>
    </cfRule>
    <cfRule type="expression" dxfId="8733" priority="429">
      <formula>AND(X$9&gt;=14/24,X$9&lt;20/24)</formula>
    </cfRule>
    <cfRule type="expression" dxfId="8732" priority="430">
      <formula>AND(X$9&gt;=8/24,X$9&lt;14/24)</formula>
    </cfRule>
    <cfRule type="expression" dxfId="8731" priority="431">
      <formula>X$9&lt;8/24</formula>
    </cfRule>
  </conditionalFormatting>
  <conditionalFormatting sqref="X47:AF47">
    <cfRule type="expression" dxfId="8730" priority="424">
      <formula>X$9&gt;=20/24</formula>
    </cfRule>
    <cfRule type="expression" dxfId="8729" priority="425">
      <formula>AND(X$9&gt;=14/24,X$9&lt;20/24)</formula>
    </cfRule>
    <cfRule type="expression" dxfId="8728" priority="426">
      <formula>AND(X$9&gt;=8/24,X$9&lt;14/24)</formula>
    </cfRule>
    <cfRule type="expression" dxfId="8727" priority="427">
      <formula>X$9&lt;8/24</formula>
    </cfRule>
  </conditionalFormatting>
  <conditionalFormatting sqref="X48:AF48">
    <cfRule type="expression" dxfId="8726" priority="420">
      <formula>X$9&gt;=20/24</formula>
    </cfRule>
    <cfRule type="expression" dxfId="8725" priority="421">
      <formula>AND(X$9&gt;=14/24,X$9&lt;20/24)</formula>
    </cfRule>
    <cfRule type="expression" dxfId="8724" priority="422">
      <formula>AND(X$9&gt;=8/24,X$9&lt;14/24)</formula>
    </cfRule>
    <cfRule type="expression" dxfId="8723" priority="423">
      <formula>X$9&lt;8/24</formula>
    </cfRule>
  </conditionalFormatting>
  <conditionalFormatting sqref="R58:Z58 R59:AF65">
    <cfRule type="expression" dxfId="8722" priority="416">
      <formula>R$9&gt;=20/24</formula>
    </cfRule>
    <cfRule type="expression" dxfId="8721" priority="417">
      <formula>AND(R$9&gt;=14/24,R$9&lt;20/24)</formula>
    </cfRule>
    <cfRule type="expression" dxfId="8720" priority="418">
      <formula>AND(R$9&gt;=8/24,R$9&lt;14/24)</formula>
    </cfRule>
    <cfRule type="expression" dxfId="8719" priority="419">
      <formula>R$9&lt;8/24</formula>
    </cfRule>
  </conditionalFormatting>
  <conditionalFormatting sqref="AB92:AF95">
    <cfRule type="expression" dxfId="8718" priority="412">
      <formula>AB$9&gt;=20/24</formula>
    </cfRule>
    <cfRule type="expression" dxfId="8717" priority="413">
      <formula>AND(AB$9&gt;=14/24,AB$9&lt;20/24)</formula>
    </cfRule>
    <cfRule type="expression" dxfId="8716" priority="414">
      <formula>AND(AB$9&gt;=8/24,AB$9&lt;14/24)</formula>
    </cfRule>
    <cfRule type="expression" dxfId="8715" priority="415">
      <formula>AB$9&lt;8/24</formula>
    </cfRule>
  </conditionalFormatting>
  <conditionalFormatting sqref="B60:K60">
    <cfRule type="expression" dxfId="8714" priority="408">
      <formula>B$9&gt;=20/24</formula>
    </cfRule>
    <cfRule type="expression" dxfId="8713" priority="409">
      <formula>AND(B$9&gt;=14/24,B$9&lt;20/24)</formula>
    </cfRule>
    <cfRule type="expression" dxfId="8712" priority="410">
      <formula>AND(B$9&gt;=8/24,B$9&lt;14/24)</formula>
    </cfRule>
    <cfRule type="expression" dxfId="8711" priority="411">
      <formula>B$9&lt;8/24</formula>
    </cfRule>
  </conditionalFormatting>
  <conditionalFormatting sqref="T92:AA95">
    <cfRule type="expression" dxfId="8710" priority="404">
      <formula>T$9&gt;=20/24</formula>
    </cfRule>
    <cfRule type="expression" dxfId="8709" priority="405">
      <formula>AND(T$9&gt;=14/24,T$9&lt;20/24)</formula>
    </cfRule>
    <cfRule type="expression" dxfId="8708" priority="406">
      <formula>AND(T$9&gt;=8/24,T$9&lt;14/24)</formula>
    </cfRule>
    <cfRule type="expression" dxfId="8707" priority="407">
      <formula>T$9&lt;8/24</formula>
    </cfRule>
  </conditionalFormatting>
  <conditionalFormatting sqref="E12 D11:E11 B36:AF36 B50:AF50 B54:AF54 C49:AG49 F11:F12 I15:K18 C38:K41 C43:K43 G11:N13 M26:N27 M15:N16 B35:N35 C45:N45 O12:Q13 M25:P25 O43:P44 C37:V37 R13:U13 O38:V41 U35:W35 Q43:W43 O11:AF11 X17:AF31 X33:AF35 X43:AF48 W37:AF41 C51:AF53">
    <cfRule type="expression" dxfId="8706" priority="403">
      <formula>B11&gt;$AG11</formula>
    </cfRule>
  </conditionalFormatting>
  <conditionalFormatting sqref="A98:A154 A82:A95 A11:A13 A15:A31 A43:A70 A78:A80 A72:A76 A33:A41 A167:A198">
    <cfRule type="expression" dxfId="8705" priority="402">
      <formula>$AH11=0</formula>
    </cfRule>
  </conditionalFormatting>
  <conditionalFormatting sqref="AB96:AF96">
    <cfRule type="expression" dxfId="8704" priority="398">
      <formula>AB$9&gt;=20/24</formula>
    </cfRule>
    <cfRule type="expression" dxfId="8703" priority="399">
      <formula>AND(AB$9&gt;=14/24,AB$9&lt;20/24)</formula>
    </cfRule>
    <cfRule type="expression" dxfId="8702" priority="400">
      <formula>AND(AB$9&gt;=8/24,AB$9&lt;14/24)</formula>
    </cfRule>
    <cfRule type="expression" dxfId="8701" priority="401">
      <formula>AB$9&lt;8/24</formula>
    </cfRule>
  </conditionalFormatting>
  <conditionalFormatting sqref="T96:AA96">
    <cfRule type="expression" dxfId="8700" priority="394">
      <formula>T$9&gt;=20/24</formula>
    </cfRule>
    <cfRule type="expression" dxfId="8699" priority="395">
      <formula>AND(T$9&gt;=14/24,T$9&lt;20/24)</formula>
    </cfRule>
    <cfRule type="expression" dxfId="8698" priority="396">
      <formula>AND(T$9&gt;=8/24,T$9&lt;14/24)</formula>
    </cfRule>
    <cfRule type="expression" dxfId="8697" priority="397">
      <formula>T$9&lt;8/24</formula>
    </cfRule>
  </conditionalFormatting>
  <conditionalFormatting sqref="A96">
    <cfRule type="expression" dxfId="8696" priority="393">
      <formula>$AH96=0</formula>
    </cfRule>
  </conditionalFormatting>
  <conditionalFormatting sqref="X34:AF34">
    <cfRule type="expression" dxfId="8695" priority="389">
      <formula>X$9&gt;=20/24</formula>
    </cfRule>
    <cfRule type="expression" dxfId="8694" priority="390">
      <formula>AND(X$9&gt;=14/24,X$9&lt;20/24)</formula>
    </cfRule>
    <cfRule type="expression" dxfId="8693" priority="391">
      <formula>AND(X$9&gt;=8/24,X$9&lt;14/24)</formula>
    </cfRule>
    <cfRule type="expression" dxfId="8692" priority="392">
      <formula>X$9&lt;8/24</formula>
    </cfRule>
  </conditionalFormatting>
  <conditionalFormatting sqref="X34:AF34">
    <cfRule type="expression" dxfId="8691" priority="385">
      <formula>X$9&gt;=20/24</formula>
    </cfRule>
    <cfRule type="expression" dxfId="8690" priority="386">
      <formula>AND(X$9&gt;=14/24,X$9&lt;20/24)</formula>
    </cfRule>
    <cfRule type="expression" dxfId="8689" priority="387">
      <formula>AND(X$9&gt;=8/24,X$9&lt;14/24)</formula>
    </cfRule>
    <cfRule type="expression" dxfId="8688" priority="388">
      <formula>X$9&lt;8/24</formula>
    </cfRule>
  </conditionalFormatting>
  <conditionalFormatting sqref="L60:L65">
    <cfRule type="expression" dxfId="8687" priority="373">
      <formula>L$9&gt;=20/24</formula>
    </cfRule>
    <cfRule type="expression" dxfId="8686" priority="374">
      <formula>AND(L$9&gt;=14/24,L$9&lt;20/24)</formula>
    </cfRule>
    <cfRule type="expression" dxfId="8685" priority="375">
      <formula>AND(L$9&gt;=8/24,L$9&lt;14/24)</formula>
    </cfRule>
    <cfRule type="expression" dxfId="8684" priority="376">
      <formula>L$9&lt;8/24</formula>
    </cfRule>
  </conditionalFormatting>
  <conditionalFormatting sqref="AL31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A32">
    <cfRule type="expression" dxfId="8683" priority="358">
      <formula>$AH32=0</formula>
    </cfRule>
  </conditionalFormatting>
  <conditionalFormatting sqref="B81:AF81">
    <cfRule type="expression" dxfId="8682" priority="354">
      <formula>B$9&gt;=20/24</formula>
    </cfRule>
    <cfRule type="expression" dxfId="8681" priority="355">
      <formula>AND(B$9&gt;=14/24,B$9&lt;20/24)</formula>
    </cfRule>
    <cfRule type="expression" dxfId="8680" priority="356">
      <formula>AND(B$9&gt;=8/24,B$9&lt;14/24)</formula>
    </cfRule>
    <cfRule type="expression" dxfId="8679" priority="357">
      <formula>B$9&lt;8/24</formula>
    </cfRule>
  </conditionalFormatting>
  <conditionalFormatting sqref="A81">
    <cfRule type="expression" dxfId="8678" priority="353">
      <formula>$AH81=0</formula>
    </cfRule>
  </conditionalFormatting>
  <conditionalFormatting sqref="M14:P14">
    <cfRule type="expression" dxfId="8677" priority="345">
      <formula>M$9&gt;=20/24</formula>
    </cfRule>
    <cfRule type="expression" dxfId="8676" priority="346">
      <formula>AND(M$9&gt;=14/24,M$9&lt;20/24)</formula>
    </cfRule>
    <cfRule type="expression" dxfId="8675" priority="347">
      <formula>AND(M$9&gt;=8/24,M$9&lt;14/24)</formula>
    </cfRule>
    <cfRule type="expression" dxfId="8674" priority="348">
      <formula>M$9&lt;8/24</formula>
    </cfRule>
  </conditionalFormatting>
  <conditionalFormatting sqref="I14:K14 M14:P14">
    <cfRule type="expression" dxfId="8673" priority="344">
      <formula>I14&gt;$AG14</formula>
    </cfRule>
  </conditionalFormatting>
  <conditionalFormatting sqref="A14">
    <cfRule type="expression" dxfId="8672" priority="343">
      <formula>$AH14=0</formula>
    </cfRule>
  </conditionalFormatting>
  <conditionalFormatting sqref="A161:A166">
    <cfRule type="expression" dxfId="8671" priority="342">
      <formula>$AH161=0</formula>
    </cfRule>
  </conditionalFormatting>
  <conditionalFormatting sqref="A155:A160">
    <cfRule type="expression" dxfId="8670" priority="341">
      <formula>$AH155=0</formula>
    </cfRule>
  </conditionalFormatting>
  <conditionalFormatting sqref="O42:W42">
    <cfRule type="expression" dxfId="8669" priority="333">
      <formula>O$9&gt;=20/24</formula>
    </cfRule>
    <cfRule type="expression" dxfId="8668" priority="334">
      <formula>AND(O$9&gt;=14/24,O$9&lt;20/24)</formula>
    </cfRule>
    <cfRule type="expression" dxfId="8667" priority="335">
      <formula>AND(O$9&gt;=8/24,O$9&lt;14/24)</formula>
    </cfRule>
    <cfRule type="expression" dxfId="8666" priority="336">
      <formula>O$9&lt;8/24</formula>
    </cfRule>
  </conditionalFormatting>
  <conditionalFormatting sqref="X42:AF42">
    <cfRule type="expression" dxfId="8665" priority="329">
      <formula>X$9&gt;=20/24</formula>
    </cfRule>
    <cfRule type="expression" dxfId="8664" priority="330">
      <formula>AND(X$9&gt;=14/24,X$9&lt;20/24)</formula>
    </cfRule>
    <cfRule type="expression" dxfId="8663" priority="331">
      <formula>AND(X$9&gt;=8/24,X$9&lt;14/24)</formula>
    </cfRule>
    <cfRule type="expression" dxfId="8662" priority="332">
      <formula>X$9&lt;8/24</formula>
    </cfRule>
  </conditionalFormatting>
  <conditionalFormatting sqref="C42:K42 O42:AF42">
    <cfRule type="expression" dxfId="8661" priority="328">
      <formula>C42&gt;$AG42</formula>
    </cfRule>
  </conditionalFormatting>
  <conditionalFormatting sqref="A42">
    <cfRule type="expression" dxfId="8660" priority="327">
      <formula>$AH42=0</formula>
    </cfRule>
  </conditionalFormatting>
  <conditionalFormatting sqref="B77:AF77">
    <cfRule type="expression" dxfId="8659" priority="323">
      <formula>B$9&gt;=20/24</formula>
    </cfRule>
    <cfRule type="expression" dxfId="8658" priority="324">
      <formula>AND(B$9&gt;=14/24,B$9&lt;20/24)</formula>
    </cfRule>
    <cfRule type="expression" dxfId="8657" priority="325">
      <formula>AND(B$9&gt;=8/24,B$9&lt;14/24)</formula>
    </cfRule>
    <cfRule type="expression" dxfId="8656" priority="326">
      <formula>B$9&lt;8/24</formula>
    </cfRule>
  </conditionalFormatting>
  <conditionalFormatting sqref="A77">
    <cfRule type="expression" dxfId="8655" priority="322">
      <formula>$AH77=0</formula>
    </cfRule>
  </conditionalFormatting>
  <conditionalFormatting sqref="B71:AG71">
    <cfRule type="expression" dxfId="8654" priority="318">
      <formula>B$9&gt;=20/24</formula>
    </cfRule>
    <cfRule type="expression" dxfId="8653" priority="319">
      <formula>AND(B$9&gt;=14/24,B$9&lt;20/24)</formula>
    </cfRule>
    <cfRule type="expression" dxfId="8652" priority="320">
      <formula>AND(B$9&gt;=8/24,B$9&lt;14/24)</formula>
    </cfRule>
    <cfRule type="expression" dxfId="8651" priority="321">
      <formula>B$9&lt;8/24</formula>
    </cfRule>
  </conditionalFormatting>
  <conditionalFormatting sqref="A71">
    <cfRule type="expression" dxfId="8650" priority="317">
      <formula>$AH71=0</formula>
    </cfRule>
  </conditionalFormatting>
  <conditionalFormatting sqref="AL32:AL33 AL7:AL30">
    <cfRule type="iconSet" priority="499">
      <iconSet iconSet="3TrafficLights2" reverse="1">
        <cfvo type="percent" val="0"/>
        <cfvo type="num" val="1"/>
        <cfvo type="num" val="1"/>
      </iconSet>
    </cfRule>
  </conditionalFormatting>
  <conditionalFormatting sqref="T83:W89">
    <cfRule type="expression" dxfId="8649" priority="309">
      <formula>T$9&gt;=20/24</formula>
    </cfRule>
    <cfRule type="expression" dxfId="8648" priority="310">
      <formula>AND(T$9&gt;=14/24,T$9&lt;20/24)</formula>
    </cfRule>
    <cfRule type="expression" dxfId="8647" priority="311">
      <formula>AND(T$9&gt;=8/24,T$9&lt;14/24)</formula>
    </cfRule>
    <cfRule type="expression" dxfId="8646" priority="312">
      <formula>T$9&lt;8/24</formula>
    </cfRule>
  </conditionalFormatting>
  <conditionalFormatting sqref="B82:Q89 R83:S89">
    <cfRule type="expression" dxfId="8645" priority="305">
      <formula>B$9&gt;=20/24</formula>
    </cfRule>
    <cfRule type="expression" dxfId="8644" priority="306">
      <formula>AND(B$9&gt;=14/24,B$9&lt;20/24)</formula>
    </cfRule>
    <cfRule type="expression" dxfId="8643" priority="307">
      <formula>AND(B$9&gt;=8/24,B$9&lt;14/24)</formula>
    </cfRule>
    <cfRule type="expression" dxfId="8642" priority="308">
      <formula>B$9&lt;8/24</formula>
    </cfRule>
  </conditionalFormatting>
  <conditionalFormatting sqref="R82:S82">
    <cfRule type="expression" dxfId="8641" priority="301">
      <formula>R$9&gt;=20/24</formula>
    </cfRule>
    <cfRule type="expression" dxfId="8640" priority="302">
      <formula>AND(R$9&gt;=14/24,R$9&lt;20/24)</formula>
    </cfRule>
    <cfRule type="expression" dxfId="8639" priority="303">
      <formula>AND(R$9&gt;=8/24,R$9&lt;14/24)</formula>
    </cfRule>
    <cfRule type="expression" dxfId="8638" priority="304">
      <formula>R$9&lt;8/24</formula>
    </cfRule>
  </conditionalFormatting>
  <conditionalFormatting sqref="B93:L95 B92:E92">
    <cfRule type="expression" dxfId="8637" priority="297">
      <formula>B$9&gt;=20/24</formula>
    </cfRule>
    <cfRule type="expression" dxfId="8636" priority="298">
      <formula>AND(B$9&gt;=14/24,B$9&lt;20/24)</formula>
    </cfRule>
    <cfRule type="expression" dxfId="8635" priority="299">
      <formula>AND(B$9&gt;=8/24,B$9&lt;14/24)</formula>
    </cfRule>
    <cfRule type="expression" dxfId="8634" priority="300">
      <formula>B$9&lt;8/24</formula>
    </cfRule>
  </conditionalFormatting>
  <conditionalFormatting sqref="M93:Q95 N92:Q92">
    <cfRule type="expression" dxfId="8633" priority="293">
      <formula>M$9&gt;=20/24</formula>
    </cfRule>
    <cfRule type="expression" dxfId="8632" priority="294">
      <formula>AND(M$9&gt;=14/24,M$9&lt;20/24)</formula>
    </cfRule>
    <cfRule type="expression" dxfId="8631" priority="295">
      <formula>AND(M$9&gt;=8/24,M$9&lt;14/24)</formula>
    </cfRule>
    <cfRule type="expression" dxfId="8630" priority="296">
      <formula>M$9&lt;8/24</formula>
    </cfRule>
  </conditionalFormatting>
  <conditionalFormatting sqref="R92:S95">
    <cfRule type="expression" dxfId="8629" priority="289">
      <formula>R$9&gt;=20/24</formula>
    </cfRule>
    <cfRule type="expression" dxfId="8628" priority="290">
      <formula>AND(R$9&gt;=14/24,R$9&lt;20/24)</formula>
    </cfRule>
    <cfRule type="expression" dxfId="8627" priority="291">
      <formula>AND(R$9&gt;=8/24,R$9&lt;14/24)</formula>
    </cfRule>
    <cfRule type="expression" dxfId="8626" priority="292">
      <formula>R$9&lt;8/24</formula>
    </cfRule>
  </conditionalFormatting>
  <conditionalFormatting sqref="B96:L96">
    <cfRule type="expression" dxfId="8625" priority="285">
      <formula>B$9&gt;=20/24</formula>
    </cfRule>
    <cfRule type="expression" dxfId="8624" priority="286">
      <formula>AND(B$9&gt;=14/24,B$9&lt;20/24)</formula>
    </cfRule>
    <cfRule type="expression" dxfId="8623" priority="287">
      <formula>AND(B$9&gt;=8/24,B$9&lt;14/24)</formula>
    </cfRule>
    <cfRule type="expression" dxfId="8622" priority="288">
      <formula>B$9&lt;8/24</formula>
    </cfRule>
  </conditionalFormatting>
  <conditionalFormatting sqref="M96:Q96">
    <cfRule type="expression" dxfId="8621" priority="281">
      <formula>M$9&gt;=20/24</formula>
    </cfRule>
    <cfRule type="expression" dxfId="8620" priority="282">
      <formula>AND(M$9&gt;=14/24,M$9&lt;20/24)</formula>
    </cfRule>
    <cfRule type="expression" dxfId="8619" priority="283">
      <formula>AND(M$9&gt;=8/24,M$9&lt;14/24)</formula>
    </cfRule>
    <cfRule type="expression" dxfId="8618" priority="284">
      <formula>M$9&lt;8/24</formula>
    </cfRule>
  </conditionalFormatting>
  <conditionalFormatting sqref="R96:S96">
    <cfRule type="expression" dxfId="8617" priority="277">
      <formula>R$9&gt;=20/24</formula>
    </cfRule>
    <cfRule type="expression" dxfId="8616" priority="278">
      <formula>AND(R$9&gt;=14/24,R$9&lt;20/24)</formula>
    </cfRule>
    <cfRule type="expression" dxfId="8615" priority="279">
      <formula>AND(R$9&gt;=8/24,R$9&lt;14/24)</formula>
    </cfRule>
    <cfRule type="expression" dxfId="8614" priority="280">
      <formula>R$9&lt;8/24</formula>
    </cfRule>
  </conditionalFormatting>
  <conditionalFormatting sqref="L92:M92">
    <cfRule type="expression" dxfId="8613" priority="273">
      <formula>L$9&gt;=20/24</formula>
    </cfRule>
    <cfRule type="expression" dxfId="8612" priority="274">
      <formula>AND(L$9&gt;=14/24,L$9&lt;20/24)</formula>
    </cfRule>
    <cfRule type="expression" dxfId="8611" priority="275">
      <formula>AND(L$9&gt;=8/24,L$9&lt;14/24)</formula>
    </cfRule>
    <cfRule type="expression" dxfId="8610" priority="276">
      <formula>L$9&lt;8/24</formula>
    </cfRule>
  </conditionalFormatting>
  <conditionalFormatting sqref="F92:K92">
    <cfRule type="expression" dxfId="8609" priority="269">
      <formula>F$9&gt;=20/24</formula>
    </cfRule>
    <cfRule type="expression" dxfId="8608" priority="270">
      <formula>AND(F$9&gt;=14/24,F$9&lt;20/24)</formula>
    </cfRule>
    <cfRule type="expression" dxfId="8607" priority="271">
      <formula>AND(F$9&gt;=8/24,F$9&lt;14/24)</formula>
    </cfRule>
    <cfRule type="expression" dxfId="8606" priority="272">
      <formula>F$9&lt;8/24</formula>
    </cfRule>
  </conditionalFormatting>
  <conditionalFormatting sqref="T92:W92">
    <cfRule type="expression" dxfId="8605" priority="265">
      <formula>T$9&gt;=20/24</formula>
    </cfRule>
    <cfRule type="expression" dxfId="8604" priority="266">
      <formula>AND(T$9&gt;=14/24,T$9&lt;20/24)</formula>
    </cfRule>
    <cfRule type="expression" dxfId="8603" priority="267">
      <formula>AND(T$9&gt;=8/24,T$9&lt;14/24)</formula>
    </cfRule>
    <cfRule type="expression" dxfId="8602" priority="268">
      <formula>T$9&lt;8/24</formula>
    </cfRule>
  </conditionalFormatting>
  <conditionalFormatting sqref="M92:S92">
    <cfRule type="expression" dxfId="8601" priority="261">
      <formula>M$9&gt;=20/24</formula>
    </cfRule>
    <cfRule type="expression" dxfId="8600" priority="262">
      <formula>AND(M$9&gt;=14/24,M$9&lt;20/24)</formula>
    </cfRule>
    <cfRule type="expression" dxfId="8599" priority="263">
      <formula>AND(M$9&gt;=8/24,M$9&lt;14/24)</formula>
    </cfRule>
    <cfRule type="expression" dxfId="8598" priority="264">
      <formula>M$9&lt;8/24</formula>
    </cfRule>
  </conditionalFormatting>
  <conditionalFormatting sqref="AB97:AF97">
    <cfRule type="expression" dxfId="8597" priority="257">
      <formula>AB$9&gt;=20/24</formula>
    </cfRule>
    <cfRule type="expression" dxfId="8596" priority="258">
      <formula>AND(AB$9&gt;=14/24,AB$9&lt;20/24)</formula>
    </cfRule>
    <cfRule type="expression" dxfId="8595" priority="259">
      <formula>AND(AB$9&gt;=8/24,AB$9&lt;14/24)</formula>
    </cfRule>
    <cfRule type="expression" dxfId="8594" priority="260">
      <formula>AB$9&lt;8/24</formula>
    </cfRule>
  </conditionalFormatting>
  <conditionalFormatting sqref="T97:AA97">
    <cfRule type="expression" dxfId="8593" priority="253">
      <formula>T$9&gt;=20/24</formula>
    </cfRule>
    <cfRule type="expression" dxfId="8592" priority="254">
      <formula>AND(T$9&gt;=14/24,T$9&lt;20/24)</formula>
    </cfRule>
    <cfRule type="expression" dxfId="8591" priority="255">
      <formula>AND(T$9&gt;=8/24,T$9&lt;14/24)</formula>
    </cfRule>
    <cfRule type="expression" dxfId="8590" priority="256">
      <formula>T$9&lt;8/24</formula>
    </cfRule>
  </conditionalFormatting>
  <conditionalFormatting sqref="A97">
    <cfRule type="expression" dxfId="8589" priority="252">
      <formula>$AH97=0</formula>
    </cfRule>
  </conditionalFormatting>
  <conditionalFormatting sqref="B97:L97">
    <cfRule type="expression" dxfId="8588" priority="248">
      <formula>B$9&gt;=20/24</formula>
    </cfRule>
    <cfRule type="expression" dxfId="8587" priority="249">
      <formula>AND(B$9&gt;=14/24,B$9&lt;20/24)</formula>
    </cfRule>
    <cfRule type="expression" dxfId="8586" priority="250">
      <formula>AND(B$9&gt;=8/24,B$9&lt;14/24)</formula>
    </cfRule>
    <cfRule type="expression" dxfId="8585" priority="251">
      <formula>B$9&lt;8/24</formula>
    </cfRule>
  </conditionalFormatting>
  <conditionalFormatting sqref="M97:Q97">
    <cfRule type="expression" dxfId="8584" priority="244">
      <formula>M$9&gt;=20/24</formula>
    </cfRule>
    <cfRule type="expression" dxfId="8583" priority="245">
      <formula>AND(M$9&gt;=14/24,M$9&lt;20/24)</formula>
    </cfRule>
    <cfRule type="expression" dxfId="8582" priority="246">
      <formula>AND(M$9&gt;=8/24,M$9&lt;14/24)</formula>
    </cfRule>
    <cfRule type="expression" dxfId="8581" priority="247">
      <formula>M$9&lt;8/24</formula>
    </cfRule>
  </conditionalFormatting>
  <conditionalFormatting sqref="R97:S97">
    <cfRule type="expression" dxfId="8580" priority="240">
      <formula>R$9&gt;=20/24</formula>
    </cfRule>
    <cfRule type="expression" dxfId="8579" priority="241">
      <formula>AND(R$9&gt;=14/24,R$9&lt;20/24)</formula>
    </cfRule>
    <cfRule type="expression" dxfId="8578" priority="242">
      <formula>AND(R$9&gt;=8/24,R$9&lt;14/24)</formula>
    </cfRule>
    <cfRule type="expression" dxfId="8577" priority="243">
      <formula>R$9&lt;8/24</formula>
    </cfRule>
  </conditionalFormatting>
  <conditionalFormatting sqref="R12:U12 V12:AF15">
    <cfRule type="expression" dxfId="8576" priority="236">
      <formula>R$9&gt;=20/24</formula>
    </cfRule>
    <cfRule type="expression" dxfId="8575" priority="237">
      <formula>AND(R$9&gt;=14/24,R$9&lt;20/24)</formula>
    </cfRule>
    <cfRule type="expression" dxfId="8574" priority="238">
      <formula>AND(R$9&gt;=8/24,R$9&lt;14/24)</formula>
    </cfRule>
    <cfRule type="expression" dxfId="8573" priority="239">
      <formula>R$9&lt;8/24</formula>
    </cfRule>
  </conditionalFormatting>
  <conditionalFormatting sqref="X16:AF16">
    <cfRule type="expression" dxfId="8572" priority="232">
      <formula>X$9&gt;=20/24</formula>
    </cfRule>
    <cfRule type="expression" dxfId="8571" priority="233">
      <formula>AND(X$9&gt;=14/24,X$9&lt;20/24)</formula>
    </cfRule>
    <cfRule type="expression" dxfId="8570" priority="234">
      <formula>AND(X$9&gt;=8/24,X$9&lt;14/24)</formula>
    </cfRule>
    <cfRule type="expression" dxfId="8569" priority="235">
      <formula>X$9&lt;8/24</formula>
    </cfRule>
  </conditionalFormatting>
  <conditionalFormatting sqref="R12:AF12">
    <cfRule type="expression" dxfId="8568" priority="228">
      <formula>R$9&gt;=20/24</formula>
    </cfRule>
    <cfRule type="expression" dxfId="8567" priority="229">
      <formula>AND(R$9&gt;=14/24,R$9&lt;20/24)</formula>
    </cfRule>
    <cfRule type="expression" dxfId="8566" priority="230">
      <formula>AND(R$9&gt;=8/24,R$9&lt;14/24)</formula>
    </cfRule>
    <cfRule type="expression" dxfId="8565" priority="231">
      <formula>R$9&lt;8/24</formula>
    </cfRule>
  </conditionalFormatting>
  <conditionalFormatting sqref="AB56:AF57">
    <cfRule type="expression" dxfId="8564" priority="224">
      <formula>AB$9&gt;=20/24</formula>
    </cfRule>
    <cfRule type="expression" dxfId="8563" priority="225">
      <formula>AND(AB$9&gt;=14/24,AB$9&lt;20/24)</formula>
    </cfRule>
    <cfRule type="expression" dxfId="8562" priority="226">
      <formula>AND(AB$9&gt;=8/24,AB$9&lt;14/24)</formula>
    </cfRule>
    <cfRule type="expression" dxfId="8561" priority="227">
      <formula>AB$9&lt;8/24</formula>
    </cfRule>
  </conditionalFormatting>
  <conditionalFormatting sqref="B11:C13 D12:D13 E13:F13 B15:H15 B25:L25">
    <cfRule type="expression" dxfId="8560" priority="220">
      <formula>B$9&gt;=20/24</formula>
    </cfRule>
    <cfRule type="expression" dxfId="8559" priority="221">
      <formula>AND(B$9&gt;=14/24,B$9&lt;20/24)</formula>
    </cfRule>
    <cfRule type="expression" dxfId="8558" priority="222">
      <formula>AND(B$9&gt;=8/24,B$9&lt;14/24)</formula>
    </cfRule>
    <cfRule type="expression" dxfId="8557" priority="223">
      <formula>B$9&lt;8/24</formula>
    </cfRule>
  </conditionalFormatting>
  <conditionalFormatting sqref="B11:C13 D12:D13 E13:F13 B15:H15 B25:L25">
    <cfRule type="expression" dxfId="8556" priority="219">
      <formula>B11&gt;$AG11</formula>
    </cfRule>
  </conditionalFormatting>
  <conditionalFormatting sqref="B14:H14">
    <cfRule type="expression" dxfId="8555" priority="215">
      <formula>B$9&gt;=20/24</formula>
    </cfRule>
    <cfRule type="expression" dxfId="8554" priority="216">
      <formula>AND(B$9&gt;=14/24,B$9&lt;20/24)</formula>
    </cfRule>
    <cfRule type="expression" dxfId="8553" priority="217">
      <formula>AND(B$9&gt;=8/24,B$9&lt;14/24)</formula>
    </cfRule>
    <cfRule type="expression" dxfId="8552" priority="218">
      <formula>B$9&lt;8/24</formula>
    </cfRule>
  </conditionalFormatting>
  <conditionalFormatting sqref="B14:H14">
    <cfRule type="expression" dxfId="8551" priority="214">
      <formula>B14&gt;$AG14</formula>
    </cfRule>
  </conditionalFormatting>
  <conditionalFormatting sqref="B16:H24 B26:L31 I19:N24 M28:N31">
    <cfRule type="expression" dxfId="8550" priority="210">
      <formula>B$9&gt;=20/24</formula>
    </cfRule>
    <cfRule type="expression" dxfId="8549" priority="211">
      <formula>AND(B$9&gt;=14/24,B$9&lt;20/24)</formula>
    </cfRule>
    <cfRule type="expression" dxfId="8548" priority="212">
      <formula>AND(B$9&gt;=8/24,B$9&lt;14/24)</formula>
    </cfRule>
    <cfRule type="expression" dxfId="8547" priority="213">
      <formula>B$9&lt;8/24</formula>
    </cfRule>
  </conditionalFormatting>
  <conditionalFormatting sqref="B33:N33">
    <cfRule type="expression" dxfId="8546" priority="206">
      <formula>B$9&gt;=20/24</formula>
    </cfRule>
    <cfRule type="expression" dxfId="8545" priority="207">
      <formula>AND(B$9&gt;=14/24,B$9&lt;20/24)</formula>
    </cfRule>
    <cfRule type="expression" dxfId="8544" priority="208">
      <formula>AND(B$9&gt;=8/24,B$9&lt;14/24)</formula>
    </cfRule>
    <cfRule type="expression" dxfId="8543" priority="209">
      <formula>B$9&lt;8/24</formula>
    </cfRule>
  </conditionalFormatting>
  <conditionalFormatting sqref="B16:H24 B26:L31 I19:N24 M28:N31 B33:N34">
    <cfRule type="expression" dxfId="8542" priority="205">
      <formula>B16&gt;$AG16</formula>
    </cfRule>
  </conditionalFormatting>
  <conditionalFormatting sqref="B34:N34">
    <cfRule type="expression" dxfId="8541" priority="201">
      <formula>B$9&gt;=20/24</formula>
    </cfRule>
    <cfRule type="expression" dxfId="8540" priority="202">
      <formula>AND(B$9&gt;=14/24,B$9&lt;20/24)</formula>
    </cfRule>
    <cfRule type="expression" dxfId="8539" priority="203">
      <formula>AND(B$9&gt;=8/24,B$9&lt;14/24)</formula>
    </cfRule>
    <cfRule type="expression" dxfId="8538" priority="204">
      <formula>B$9&lt;8/24</formula>
    </cfRule>
  </conditionalFormatting>
  <conditionalFormatting sqref="B32:N32">
    <cfRule type="expression" dxfId="8537" priority="197">
      <formula>B$9&gt;=20/24</formula>
    </cfRule>
    <cfRule type="expression" dxfId="8536" priority="198">
      <formula>AND(B$9&gt;=14/24,B$9&lt;20/24)</formula>
    </cfRule>
    <cfRule type="expression" dxfId="8535" priority="199">
      <formula>AND(B$9&gt;=8/24,B$9&lt;14/24)</formula>
    </cfRule>
    <cfRule type="expression" dxfId="8534" priority="200">
      <formula>B$9&lt;8/24</formula>
    </cfRule>
  </conditionalFormatting>
  <conditionalFormatting sqref="B32:N32">
    <cfRule type="expression" dxfId="8533" priority="196">
      <formula>B32&gt;$AG32</formula>
    </cfRule>
  </conditionalFormatting>
  <conditionalFormatting sqref="B49 B43:B45 B37:B41 C44:K44">
    <cfRule type="expression" dxfId="8532" priority="195">
      <formula>B37&gt;$AG37</formula>
    </cfRule>
  </conditionalFormatting>
  <conditionalFormatting sqref="B42">
    <cfRule type="expression" dxfId="8531" priority="194">
      <formula>B42&gt;$AG42</formula>
    </cfRule>
  </conditionalFormatting>
  <conditionalFormatting sqref="B46:N46">
    <cfRule type="expression" dxfId="8530" priority="190">
      <formula>B$9&gt;=20/24</formula>
    </cfRule>
    <cfRule type="expression" dxfId="8529" priority="191">
      <formula>AND(B$9&gt;=14/24,B$9&lt;20/24)</formula>
    </cfRule>
    <cfRule type="expression" dxfId="8528" priority="192">
      <formula>AND(B$9&gt;=8/24,B$9&lt;14/24)</formula>
    </cfRule>
    <cfRule type="expression" dxfId="8527" priority="193">
      <formula>B$9&lt;8/24</formula>
    </cfRule>
  </conditionalFormatting>
  <conditionalFormatting sqref="B47:N47">
    <cfRule type="expression" dxfId="8526" priority="186">
      <formula>B$9&gt;=20/24</formula>
    </cfRule>
    <cfRule type="expression" dxfId="8525" priority="187">
      <formula>AND(B$9&gt;=14/24,B$9&lt;20/24)</formula>
    </cfRule>
    <cfRule type="expression" dxfId="8524" priority="188">
      <formula>AND(B$9&gt;=8/24,B$9&lt;14/24)</formula>
    </cfRule>
    <cfRule type="expression" dxfId="8523" priority="189">
      <formula>B$9&lt;8/24</formula>
    </cfRule>
  </conditionalFormatting>
  <conditionalFormatting sqref="B48:N48">
    <cfRule type="expression" dxfId="8522" priority="182">
      <formula>B$9&gt;=20/24</formula>
    </cfRule>
    <cfRule type="expression" dxfId="8521" priority="183">
      <formula>AND(B$9&gt;=14/24,B$9&lt;20/24)</formula>
    </cfRule>
    <cfRule type="expression" dxfId="8520" priority="184">
      <formula>AND(B$9&gt;=8/24,B$9&lt;14/24)</formula>
    </cfRule>
    <cfRule type="expression" dxfId="8519" priority="185">
      <formula>B$9&lt;8/24</formula>
    </cfRule>
  </conditionalFormatting>
  <conditionalFormatting sqref="B46:N46">
    <cfRule type="expression" dxfId="8518" priority="178">
      <formula>B$9&gt;=20/24</formula>
    </cfRule>
    <cfRule type="expression" dxfId="8517" priority="179">
      <formula>AND(B$9&gt;=14/24,B$9&lt;20/24)</formula>
    </cfRule>
    <cfRule type="expression" dxfId="8516" priority="180">
      <formula>AND(B$9&gt;=8/24,B$9&lt;14/24)</formula>
    </cfRule>
    <cfRule type="expression" dxfId="8515" priority="181">
      <formula>B$9&lt;8/24</formula>
    </cfRule>
  </conditionalFormatting>
  <conditionalFormatting sqref="B46:N48">
    <cfRule type="expression" dxfId="8514" priority="177">
      <formula>B46&gt;$AG46</formula>
    </cfRule>
  </conditionalFormatting>
  <conditionalFormatting sqref="B51:B53">
    <cfRule type="expression" dxfId="8513" priority="173">
      <formula>B$9&gt;=20/24</formula>
    </cfRule>
    <cfRule type="expression" dxfId="8512" priority="174">
      <formula>AND(B$9&gt;=14/24,B$9&lt;20/24)</formula>
    </cfRule>
    <cfRule type="expression" dxfId="8511" priority="175">
      <formula>AND(B$9&gt;=8/24,B$9&lt;14/24)</formula>
    </cfRule>
    <cfRule type="expression" dxfId="8510" priority="176">
      <formula>B$9&lt;8/24</formula>
    </cfRule>
  </conditionalFormatting>
  <conditionalFormatting sqref="B51:B53">
    <cfRule type="expression" dxfId="8509" priority="172">
      <formula>B51&gt;$AG51</formula>
    </cfRule>
  </conditionalFormatting>
  <conditionalFormatting sqref="L15:L18 M17:N18">
    <cfRule type="expression" dxfId="8508" priority="168">
      <formula>L$9&gt;=20/24</formula>
    </cfRule>
    <cfRule type="expression" dxfId="8507" priority="169">
      <formula>AND(L$9&gt;=14/24,L$9&lt;20/24)</formula>
    </cfRule>
    <cfRule type="expression" dxfId="8506" priority="170">
      <formula>AND(L$9&gt;=8/24,L$9&lt;14/24)</formula>
    </cfRule>
    <cfRule type="expression" dxfId="8505" priority="171">
      <formula>L$9&lt;8/24</formula>
    </cfRule>
  </conditionalFormatting>
  <conditionalFormatting sqref="L15:L18 M17:N18">
    <cfRule type="expression" dxfId="8504" priority="167">
      <formula>L15&gt;$AG15</formula>
    </cfRule>
  </conditionalFormatting>
  <conditionalFormatting sqref="L14">
    <cfRule type="expression" dxfId="8503" priority="163">
      <formula>L$9&gt;=20/24</formula>
    </cfRule>
    <cfRule type="expression" dxfId="8502" priority="164">
      <formula>AND(L$9&gt;=14/24,L$9&lt;20/24)</formula>
    </cfRule>
    <cfRule type="expression" dxfId="8501" priority="165">
      <formula>AND(L$9&gt;=8/24,L$9&lt;14/24)</formula>
    </cfRule>
    <cfRule type="expression" dxfId="8500" priority="166">
      <formula>L$9&lt;8/24</formula>
    </cfRule>
  </conditionalFormatting>
  <conditionalFormatting sqref="L14">
    <cfRule type="expression" dxfId="8499" priority="162">
      <formula>L14&gt;$AG14</formula>
    </cfRule>
  </conditionalFormatting>
  <conditionalFormatting sqref="L38:N40 L43:N44">
    <cfRule type="expression" dxfId="8498" priority="158">
      <formula>L$9&gt;=20/24</formula>
    </cfRule>
    <cfRule type="expression" dxfId="8497" priority="159">
      <formula>AND(L$9&gt;=14/24,L$9&lt;20/24)</formula>
    </cfRule>
    <cfRule type="expression" dxfId="8496" priority="160">
      <formula>AND(L$9&gt;=8/24,L$9&lt;14/24)</formula>
    </cfRule>
    <cfRule type="expression" dxfId="8495" priority="161">
      <formula>L$9&lt;8/24</formula>
    </cfRule>
  </conditionalFormatting>
  <conditionalFormatting sqref="L41:N41">
    <cfRule type="expression" dxfId="8494" priority="154">
      <formula>L$9&gt;=20/24</formula>
    </cfRule>
    <cfRule type="expression" dxfId="8493" priority="155">
      <formula>AND(L$9&gt;=14/24,L$9&lt;20/24)</formula>
    </cfRule>
    <cfRule type="expression" dxfId="8492" priority="156">
      <formula>AND(L$9&gt;=8/24,L$9&lt;14/24)</formula>
    </cfRule>
    <cfRule type="expression" dxfId="8491" priority="157">
      <formula>L$9&lt;8/24</formula>
    </cfRule>
  </conditionalFormatting>
  <conditionalFormatting sqref="L43:N44">
    <cfRule type="expression" dxfId="8490" priority="150">
      <formula>L$9&gt;=20/24</formula>
    </cfRule>
    <cfRule type="expression" dxfId="8489" priority="151">
      <formula>AND(L$9&gt;=14/24,L$9&lt;20/24)</formula>
    </cfRule>
    <cfRule type="expression" dxfId="8488" priority="152">
      <formula>AND(L$9&gt;=8/24,L$9&lt;14/24)</formula>
    </cfRule>
    <cfRule type="expression" dxfId="8487" priority="153">
      <formula>L$9&lt;8/24</formula>
    </cfRule>
  </conditionalFormatting>
  <conditionalFormatting sqref="L43:N44 L38:N41">
    <cfRule type="expression" dxfId="8486" priority="149">
      <formula>L38&gt;$AG38</formula>
    </cfRule>
  </conditionalFormatting>
  <conditionalFormatting sqref="L42:N42">
    <cfRule type="expression" dxfId="8485" priority="145">
      <formula>L$9&gt;=20/24</formula>
    </cfRule>
    <cfRule type="expression" dxfId="8484" priority="146">
      <formula>AND(L$9&gt;=14/24,L$9&lt;20/24)</formula>
    </cfRule>
    <cfRule type="expression" dxfId="8483" priority="147">
      <formula>AND(L$9&gt;=8/24,L$9&lt;14/24)</formula>
    </cfRule>
    <cfRule type="expression" dxfId="8482" priority="148">
      <formula>L$9&lt;8/24</formula>
    </cfRule>
  </conditionalFormatting>
  <conditionalFormatting sqref="L42:N42">
    <cfRule type="expression" dxfId="8481" priority="144">
      <formula>L42&gt;$AG42</formula>
    </cfRule>
  </conditionalFormatting>
  <conditionalFormatting sqref="L37:N37">
    <cfRule type="expression" dxfId="8480" priority="140">
      <formula>L$9&gt;=20/24</formula>
    </cfRule>
    <cfRule type="expression" dxfId="8479" priority="141">
      <formula>AND(L$9&gt;=14/24,L$9&lt;20/24)</formula>
    </cfRule>
    <cfRule type="expression" dxfId="8478" priority="142">
      <formula>AND(L$9&gt;=8/24,L$9&lt;14/24)</formula>
    </cfRule>
    <cfRule type="expression" dxfId="8477" priority="143">
      <formula>L$9&lt;8/24</formula>
    </cfRule>
  </conditionalFormatting>
  <conditionalFormatting sqref="L45:N45">
    <cfRule type="expression" dxfId="8476" priority="136">
      <formula>L$9&gt;=20/24</formula>
    </cfRule>
    <cfRule type="expression" dxfId="8475" priority="137">
      <formula>AND(L$9&gt;=14/24,L$9&lt;20/24)</formula>
    </cfRule>
    <cfRule type="expression" dxfId="8474" priority="138">
      <formula>AND(L$9&gt;=8/24,L$9&lt;14/24)</formula>
    </cfRule>
    <cfRule type="expression" dxfId="8473" priority="139">
      <formula>L$9&lt;8/24</formula>
    </cfRule>
  </conditionalFormatting>
  <conditionalFormatting sqref="L45:N45">
    <cfRule type="expression" dxfId="8472" priority="132">
      <formula>L$9&gt;=20/24</formula>
    </cfRule>
    <cfRule type="expression" dxfId="8471" priority="133">
      <formula>AND(L$9&gt;=14/24,L$9&lt;20/24)</formula>
    </cfRule>
    <cfRule type="expression" dxfId="8470" priority="134">
      <formula>AND(L$9&gt;=8/24,L$9&lt;14/24)</formula>
    </cfRule>
    <cfRule type="expression" dxfId="8469" priority="135">
      <formula>L$9&lt;8/24</formula>
    </cfRule>
  </conditionalFormatting>
  <conditionalFormatting sqref="O35:P35 O15:P16 O26:P27">
    <cfRule type="expression" dxfId="8468" priority="128">
      <formula>O$9&gt;=20/24</formula>
    </cfRule>
    <cfRule type="expression" dxfId="8467" priority="129">
      <formula>AND(O$9&gt;=14/24,O$9&lt;20/24)</formula>
    </cfRule>
    <cfRule type="expression" dxfId="8466" priority="130">
      <formula>AND(O$9&gt;=8/24,O$9&lt;14/24)</formula>
    </cfRule>
    <cfRule type="expression" dxfId="8465" priority="131">
      <formula>O$9&lt;8/24</formula>
    </cfRule>
  </conditionalFormatting>
  <conditionalFormatting sqref="O26:P27 O15:P16 O35:P35">
    <cfRule type="expression" dxfId="8464" priority="127">
      <formula>O15&gt;$AG15</formula>
    </cfRule>
  </conditionalFormatting>
  <conditionalFormatting sqref="O19:P24 O28:P31">
    <cfRule type="expression" dxfId="8463" priority="123">
      <formula>O$9&gt;=20/24</formula>
    </cfRule>
    <cfRule type="expression" dxfId="8462" priority="124">
      <formula>AND(O$9&gt;=14/24,O$9&lt;20/24)</formula>
    </cfRule>
    <cfRule type="expression" dxfId="8461" priority="125">
      <formula>AND(O$9&gt;=8/24,O$9&lt;14/24)</formula>
    </cfRule>
    <cfRule type="expression" dxfId="8460" priority="126">
      <formula>O$9&lt;8/24</formula>
    </cfRule>
  </conditionalFormatting>
  <conditionalFormatting sqref="O33:P33">
    <cfRule type="expression" dxfId="8459" priority="119">
      <formula>O$9&gt;=20/24</formula>
    </cfRule>
    <cfRule type="expression" dxfId="8458" priority="120">
      <formula>AND(O$9&gt;=14/24,O$9&lt;20/24)</formula>
    </cfRule>
    <cfRule type="expression" dxfId="8457" priority="121">
      <formula>AND(O$9&gt;=8/24,O$9&lt;14/24)</formula>
    </cfRule>
    <cfRule type="expression" dxfId="8456" priority="122">
      <formula>O$9&lt;8/24</formula>
    </cfRule>
  </conditionalFormatting>
  <conditionalFormatting sqref="O19:P24 O28:P31 O33:P34">
    <cfRule type="expression" dxfId="8455" priority="118">
      <formula>O19&gt;$AG19</formula>
    </cfRule>
  </conditionalFormatting>
  <conditionalFormatting sqref="O34:P34">
    <cfRule type="expression" dxfId="8454" priority="114">
      <formula>O$9&gt;=20/24</formula>
    </cfRule>
    <cfRule type="expression" dxfId="8453" priority="115">
      <formula>AND(O$9&gt;=14/24,O$9&lt;20/24)</formula>
    </cfRule>
    <cfRule type="expression" dxfId="8452" priority="116">
      <formula>AND(O$9&gt;=8/24,O$9&lt;14/24)</formula>
    </cfRule>
    <cfRule type="expression" dxfId="8451" priority="117">
      <formula>O$9&lt;8/24</formula>
    </cfRule>
  </conditionalFormatting>
  <conditionalFormatting sqref="O32:P32">
    <cfRule type="expression" dxfId="8450" priority="110">
      <formula>O$9&gt;=20/24</formula>
    </cfRule>
    <cfRule type="expression" dxfId="8449" priority="111">
      <formula>AND(O$9&gt;=14/24,O$9&lt;20/24)</formula>
    </cfRule>
    <cfRule type="expression" dxfId="8448" priority="112">
      <formula>AND(O$9&gt;=8/24,O$9&lt;14/24)</formula>
    </cfRule>
    <cfRule type="expression" dxfId="8447" priority="113">
      <formula>O$9&lt;8/24</formula>
    </cfRule>
  </conditionalFormatting>
  <conditionalFormatting sqref="O32:P32">
    <cfRule type="expression" dxfId="8446" priority="109">
      <formula>O32&gt;$AG32</formula>
    </cfRule>
  </conditionalFormatting>
  <conditionalFormatting sqref="O17:P18">
    <cfRule type="expression" dxfId="8445" priority="105">
      <formula>O$9&gt;=20/24</formula>
    </cfRule>
    <cfRule type="expression" dxfId="8444" priority="106">
      <formula>AND(O$9&gt;=14/24,O$9&lt;20/24)</formula>
    </cfRule>
    <cfRule type="expression" dxfId="8443" priority="107">
      <formula>AND(O$9&gt;=8/24,O$9&lt;14/24)</formula>
    </cfRule>
    <cfRule type="expression" dxfId="8442" priority="108">
      <formula>O$9&lt;8/24</formula>
    </cfRule>
  </conditionalFormatting>
  <conditionalFormatting sqref="O17:P18">
    <cfRule type="expression" dxfId="8441" priority="104">
      <formula>O17&gt;$AG17</formula>
    </cfRule>
  </conditionalFormatting>
  <conditionalFormatting sqref="O45:P45">
    <cfRule type="expression" dxfId="8440" priority="103">
      <formula>O45&gt;$AG45</formula>
    </cfRule>
  </conditionalFormatting>
  <conditionalFormatting sqref="O46:P46">
    <cfRule type="expression" dxfId="8439" priority="99">
      <formula>O$9&gt;=20/24</formula>
    </cfRule>
    <cfRule type="expression" dxfId="8438" priority="100">
      <formula>AND(O$9&gt;=14/24,O$9&lt;20/24)</formula>
    </cfRule>
    <cfRule type="expression" dxfId="8437" priority="101">
      <formula>AND(O$9&gt;=8/24,O$9&lt;14/24)</formula>
    </cfRule>
    <cfRule type="expression" dxfId="8436" priority="102">
      <formula>O$9&lt;8/24</formula>
    </cfRule>
  </conditionalFormatting>
  <conditionalFormatting sqref="O47:P47">
    <cfRule type="expression" dxfId="8435" priority="95">
      <formula>O$9&gt;=20/24</formula>
    </cfRule>
    <cfRule type="expression" dxfId="8434" priority="96">
      <formula>AND(O$9&gt;=14/24,O$9&lt;20/24)</formula>
    </cfRule>
    <cfRule type="expression" dxfId="8433" priority="97">
      <formula>AND(O$9&gt;=8/24,O$9&lt;14/24)</formula>
    </cfRule>
    <cfRule type="expression" dxfId="8432" priority="98">
      <formula>O$9&lt;8/24</formula>
    </cfRule>
  </conditionalFormatting>
  <conditionalFormatting sqref="O48:P48">
    <cfRule type="expression" dxfId="8431" priority="91">
      <formula>O$9&gt;=20/24</formula>
    </cfRule>
    <cfRule type="expression" dxfId="8430" priority="92">
      <formula>AND(O$9&gt;=14/24,O$9&lt;20/24)</formula>
    </cfRule>
    <cfRule type="expression" dxfId="8429" priority="93">
      <formula>AND(O$9&gt;=8/24,O$9&lt;14/24)</formula>
    </cfRule>
    <cfRule type="expression" dxfId="8428" priority="94">
      <formula>O$9&lt;8/24</formula>
    </cfRule>
  </conditionalFormatting>
  <conditionalFormatting sqref="O46:P46">
    <cfRule type="expression" dxfId="8427" priority="87">
      <formula>O$9&gt;=20/24</formula>
    </cfRule>
    <cfRule type="expression" dxfId="8426" priority="88">
      <formula>AND(O$9&gt;=14/24,O$9&lt;20/24)</formula>
    </cfRule>
    <cfRule type="expression" dxfId="8425" priority="89">
      <formula>AND(O$9&gt;=8/24,O$9&lt;14/24)</formula>
    </cfRule>
    <cfRule type="expression" dxfId="8424" priority="90">
      <formula>O$9&lt;8/24</formula>
    </cfRule>
  </conditionalFormatting>
  <conditionalFormatting sqref="O46:P48">
    <cfRule type="expression" dxfId="8423" priority="86">
      <formula>O46&gt;$AG46</formula>
    </cfRule>
  </conditionalFormatting>
  <conditionalFormatting sqref="O45:P45">
    <cfRule type="expression" dxfId="8422" priority="82">
      <formula>O$9&gt;=20/24</formula>
    </cfRule>
    <cfRule type="expression" dxfId="8421" priority="83">
      <formula>AND(O$9&gt;=14/24,O$9&lt;20/24)</formula>
    </cfRule>
    <cfRule type="expression" dxfId="8420" priority="84">
      <formula>AND(O$9&gt;=8/24,O$9&lt;14/24)</formula>
    </cfRule>
    <cfRule type="expression" dxfId="8419" priority="85">
      <formula>O$9&lt;8/24</formula>
    </cfRule>
  </conditionalFormatting>
  <conditionalFormatting sqref="O45:P45">
    <cfRule type="expression" dxfId="8418" priority="78">
      <formula>O$9&gt;=20/24</formula>
    </cfRule>
    <cfRule type="expression" dxfId="8417" priority="79">
      <formula>AND(O$9&gt;=14/24,O$9&lt;20/24)</formula>
    </cfRule>
    <cfRule type="expression" dxfId="8416" priority="80">
      <formula>AND(O$9&gt;=8/24,O$9&lt;14/24)</formula>
    </cfRule>
    <cfRule type="expression" dxfId="8415" priority="81">
      <formula>O$9&lt;8/24</formula>
    </cfRule>
  </conditionalFormatting>
  <conditionalFormatting sqref="Q25:W25">
    <cfRule type="expression" dxfId="8414" priority="74">
      <formula>Q$9&gt;=20/24</formula>
    </cfRule>
    <cfRule type="expression" dxfId="8413" priority="75">
      <formula>AND(Q$9&gt;=14/24,Q$9&lt;20/24)</formula>
    </cfRule>
    <cfRule type="expression" dxfId="8412" priority="76">
      <formula>AND(Q$9&gt;=8/24,Q$9&lt;14/24)</formula>
    </cfRule>
    <cfRule type="expression" dxfId="8411" priority="77">
      <formula>Q$9&lt;8/24</formula>
    </cfRule>
  </conditionalFormatting>
  <conditionalFormatting sqref="Q25:W25">
    <cfRule type="expression" dxfId="8410" priority="73">
      <formula>Q25&gt;$AG25</formula>
    </cfRule>
  </conditionalFormatting>
  <conditionalFormatting sqref="Q14:U14">
    <cfRule type="expression" dxfId="8409" priority="69">
      <formula>Q$9&gt;=20/24</formula>
    </cfRule>
    <cfRule type="expression" dxfId="8408" priority="70">
      <formula>AND(Q$9&gt;=14/24,Q$9&lt;20/24)</formula>
    </cfRule>
    <cfRule type="expression" dxfId="8407" priority="71">
      <formula>AND(Q$9&gt;=8/24,Q$9&lt;14/24)</formula>
    </cfRule>
    <cfRule type="expression" dxfId="8406" priority="72">
      <formula>Q$9&lt;8/24</formula>
    </cfRule>
  </conditionalFormatting>
  <conditionalFormatting sqref="Q14:U14">
    <cfRule type="expression" dxfId="8405" priority="68">
      <formula>Q14&gt;$AG14</formula>
    </cfRule>
  </conditionalFormatting>
  <conditionalFormatting sqref="Q35:T35 Q15:U16 V16:W16 Q26:W27">
    <cfRule type="expression" dxfId="8404" priority="64">
      <formula>Q$9&gt;=20/24</formula>
    </cfRule>
    <cfRule type="expression" dxfId="8403" priority="65">
      <formula>AND(Q$9&gt;=14/24,Q$9&lt;20/24)</formula>
    </cfRule>
    <cfRule type="expression" dxfId="8402" priority="66">
      <formula>AND(Q$9&gt;=8/24,Q$9&lt;14/24)</formula>
    </cfRule>
    <cfRule type="expression" dxfId="8401" priority="67">
      <formula>Q$9&lt;8/24</formula>
    </cfRule>
  </conditionalFormatting>
  <conditionalFormatting sqref="Q35:T35 Q15:U16 Q26:W27 V16:W16">
    <cfRule type="expression" dxfId="8400" priority="63">
      <formula>Q15&gt;$AG15</formula>
    </cfRule>
  </conditionalFormatting>
  <conditionalFormatting sqref="Q19:W24 Q28:W31">
    <cfRule type="expression" dxfId="8399" priority="59">
      <formula>Q$9&gt;=20/24</formula>
    </cfRule>
    <cfRule type="expression" dxfId="8398" priority="60">
      <formula>AND(Q$9&gt;=14/24,Q$9&lt;20/24)</formula>
    </cfRule>
    <cfRule type="expression" dxfId="8397" priority="61">
      <formula>AND(Q$9&gt;=8/24,Q$9&lt;14/24)</formula>
    </cfRule>
    <cfRule type="expression" dxfId="8396" priority="62">
      <formula>Q$9&lt;8/24</formula>
    </cfRule>
  </conditionalFormatting>
  <conditionalFormatting sqref="Q33:W33">
    <cfRule type="expression" dxfId="8395" priority="55">
      <formula>Q$9&gt;=20/24</formula>
    </cfRule>
    <cfRule type="expression" dxfId="8394" priority="56">
      <formula>AND(Q$9&gt;=14/24,Q$9&lt;20/24)</formula>
    </cfRule>
    <cfRule type="expression" dxfId="8393" priority="57">
      <formula>AND(Q$9&gt;=8/24,Q$9&lt;14/24)</formula>
    </cfRule>
    <cfRule type="expression" dxfId="8392" priority="58">
      <formula>Q$9&lt;8/24</formula>
    </cfRule>
  </conditionalFormatting>
  <conditionalFormatting sqref="Q19:W24 Q28:W31 Q33:W34">
    <cfRule type="expression" dxfId="8391" priority="54">
      <formula>Q19&gt;$AG19</formula>
    </cfRule>
  </conditionalFormatting>
  <conditionalFormatting sqref="Q34:W34">
    <cfRule type="expression" dxfId="8390" priority="50">
      <formula>Q$9&gt;=20/24</formula>
    </cfRule>
    <cfRule type="expression" dxfId="8389" priority="51">
      <formula>AND(Q$9&gt;=14/24,Q$9&lt;20/24)</formula>
    </cfRule>
    <cfRule type="expression" dxfId="8388" priority="52">
      <formula>AND(Q$9&gt;=8/24,Q$9&lt;14/24)</formula>
    </cfRule>
    <cfRule type="expression" dxfId="8387" priority="53">
      <formula>Q$9&lt;8/24</formula>
    </cfRule>
  </conditionalFormatting>
  <conditionalFormatting sqref="Q32:AF32">
    <cfRule type="expression" dxfId="8386" priority="46">
      <formula>Q$9&gt;=20/24</formula>
    </cfRule>
    <cfRule type="expression" dxfId="8385" priority="47">
      <formula>AND(Q$9&gt;=14/24,Q$9&lt;20/24)</formula>
    </cfRule>
    <cfRule type="expression" dxfId="8384" priority="48">
      <formula>AND(Q$9&gt;=8/24,Q$9&lt;14/24)</formula>
    </cfRule>
    <cfRule type="expression" dxfId="8383" priority="49">
      <formula>Q$9&lt;8/24</formula>
    </cfRule>
  </conditionalFormatting>
  <conditionalFormatting sqref="Q32:AF32">
    <cfRule type="expression" dxfId="8382" priority="45">
      <formula>Q32&gt;$AG32</formula>
    </cfRule>
  </conditionalFormatting>
  <conditionalFormatting sqref="Q17:W18">
    <cfRule type="expression" dxfId="8381" priority="41">
      <formula>Q$9&gt;=20/24</formula>
    </cfRule>
    <cfRule type="expression" dxfId="8380" priority="42">
      <formula>AND(Q$9&gt;=14/24,Q$9&lt;20/24)</formula>
    </cfRule>
    <cfRule type="expression" dxfId="8379" priority="43">
      <formula>AND(Q$9&gt;=8/24,Q$9&lt;14/24)</formula>
    </cfRule>
    <cfRule type="expression" dxfId="8378" priority="44">
      <formula>Q$9&lt;8/24</formula>
    </cfRule>
  </conditionalFormatting>
  <conditionalFormatting sqref="Q17:W18">
    <cfRule type="expression" dxfId="8377" priority="40">
      <formula>Q17&gt;$AG17</formula>
    </cfRule>
  </conditionalFormatting>
  <conditionalFormatting sqref="Q44:W44">
    <cfRule type="expression" dxfId="8376" priority="36">
      <formula>Q$9&gt;=20/24</formula>
    </cfRule>
    <cfRule type="expression" dxfId="8375" priority="37">
      <formula>AND(Q$9&gt;=14/24,Q$9&lt;20/24)</formula>
    </cfRule>
    <cfRule type="expression" dxfId="8374" priority="38">
      <formula>AND(Q$9&gt;=8/24,Q$9&lt;14/24)</formula>
    </cfRule>
    <cfRule type="expression" dxfId="8373" priority="39">
      <formula>Q$9&lt;8/24</formula>
    </cfRule>
  </conditionalFormatting>
  <conditionalFormatting sqref="Q44:W44">
    <cfRule type="expression" dxfId="8372" priority="32">
      <formula>Q$9&gt;=20/24</formula>
    </cfRule>
    <cfRule type="expression" dxfId="8371" priority="33">
      <formula>AND(Q$9&gt;=14/24,Q$9&lt;20/24)</formula>
    </cfRule>
    <cfRule type="expression" dxfId="8370" priority="34">
      <formula>AND(Q$9&gt;=8/24,Q$9&lt;14/24)</formula>
    </cfRule>
    <cfRule type="expression" dxfId="8369" priority="35">
      <formula>Q$9&lt;8/24</formula>
    </cfRule>
  </conditionalFormatting>
  <conditionalFormatting sqref="Q44:W44">
    <cfRule type="expression" dxfId="8368" priority="31">
      <formula>Q44&gt;$AG44</formula>
    </cfRule>
  </conditionalFormatting>
  <conditionalFormatting sqref="Q45:W45">
    <cfRule type="expression" dxfId="8367" priority="30">
      <formula>Q45&gt;$AG45</formula>
    </cfRule>
  </conditionalFormatting>
  <conditionalFormatting sqref="Q46:W46">
    <cfRule type="expression" dxfId="8366" priority="26">
      <formula>Q$9&gt;=20/24</formula>
    </cfRule>
    <cfRule type="expression" dxfId="8365" priority="27">
      <formula>AND(Q$9&gt;=14/24,Q$9&lt;20/24)</formula>
    </cfRule>
    <cfRule type="expression" dxfId="8364" priority="28">
      <formula>AND(Q$9&gt;=8/24,Q$9&lt;14/24)</formula>
    </cfRule>
    <cfRule type="expression" dxfId="8363" priority="29">
      <formula>Q$9&lt;8/24</formula>
    </cfRule>
  </conditionalFormatting>
  <conditionalFormatting sqref="Q47:W47">
    <cfRule type="expression" dxfId="8362" priority="22">
      <formula>Q$9&gt;=20/24</formula>
    </cfRule>
    <cfRule type="expression" dxfId="8361" priority="23">
      <formula>AND(Q$9&gt;=14/24,Q$9&lt;20/24)</formula>
    </cfRule>
    <cfRule type="expression" dxfId="8360" priority="24">
      <formula>AND(Q$9&gt;=8/24,Q$9&lt;14/24)</formula>
    </cfRule>
    <cfRule type="expression" dxfId="8359" priority="25">
      <formula>Q$9&lt;8/24</formula>
    </cfRule>
  </conditionalFormatting>
  <conditionalFormatting sqref="Q48:W48">
    <cfRule type="expression" dxfId="8358" priority="18">
      <formula>Q$9&gt;=20/24</formula>
    </cfRule>
    <cfRule type="expression" dxfId="8357" priority="19">
      <formula>AND(Q$9&gt;=14/24,Q$9&lt;20/24)</formula>
    </cfRule>
    <cfRule type="expression" dxfId="8356" priority="20">
      <formula>AND(Q$9&gt;=8/24,Q$9&lt;14/24)</formula>
    </cfRule>
    <cfRule type="expression" dxfId="8355" priority="21">
      <formula>Q$9&lt;8/24</formula>
    </cfRule>
  </conditionalFormatting>
  <conditionalFormatting sqref="Q46:W46">
    <cfRule type="expression" dxfId="8354" priority="14">
      <formula>Q$9&gt;=20/24</formula>
    </cfRule>
    <cfRule type="expression" dxfId="8353" priority="15">
      <formula>AND(Q$9&gt;=14/24,Q$9&lt;20/24)</formula>
    </cfRule>
    <cfRule type="expression" dxfId="8352" priority="16">
      <formula>AND(Q$9&gt;=8/24,Q$9&lt;14/24)</formula>
    </cfRule>
    <cfRule type="expression" dxfId="8351" priority="17">
      <formula>Q$9&lt;8/24</formula>
    </cfRule>
  </conditionalFormatting>
  <conditionalFormatting sqref="Q46:W48">
    <cfRule type="expression" dxfId="8350" priority="13">
      <formula>Q46&gt;$AG46</formula>
    </cfRule>
  </conditionalFormatting>
  <conditionalFormatting sqref="Q45:W45">
    <cfRule type="expression" dxfId="8349" priority="9">
      <formula>Q$9&gt;=20/24</formula>
    </cfRule>
    <cfRule type="expression" dxfId="8348" priority="10">
      <formula>AND(Q$9&gt;=14/24,Q$9&lt;20/24)</formula>
    </cfRule>
    <cfRule type="expression" dxfId="8347" priority="11">
      <formula>AND(Q$9&gt;=8/24,Q$9&lt;14/24)</formula>
    </cfRule>
    <cfRule type="expression" dxfId="8346" priority="12">
      <formula>Q$9&lt;8/24</formula>
    </cfRule>
  </conditionalFormatting>
  <conditionalFormatting sqref="Q45:W45">
    <cfRule type="expression" dxfId="8345" priority="5">
      <formula>Q$9&gt;=20/24</formula>
    </cfRule>
    <cfRule type="expression" dxfId="8344" priority="6">
      <formula>AND(Q$9&gt;=14/24,Q$9&lt;20/24)</formula>
    </cfRule>
    <cfRule type="expression" dxfId="8343" priority="7">
      <formula>AND(Q$9&gt;=8/24,Q$9&lt;14/24)</formula>
    </cfRule>
    <cfRule type="expression" dxfId="8342" priority="8">
      <formula>Q$9&lt;8/24</formula>
    </cfRule>
  </conditionalFormatting>
  <conditionalFormatting sqref="AA56:AA58 AB58:AF58">
    <cfRule type="expression" dxfId="8341" priority="1">
      <formula>AA$9&gt;=20/24</formula>
    </cfRule>
    <cfRule type="expression" dxfId="8340" priority="2">
      <formula>AND(AA$9&gt;=14/24,AA$9&lt;20/24)</formula>
    </cfRule>
    <cfRule type="expression" dxfId="8339" priority="3">
      <formula>AND(AA$9&gt;=8/24,AA$9&lt;14/24)</formula>
    </cfRule>
    <cfRule type="expression" dxfId="8338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2078/07/8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-39.700000000000003</v>
      </c>
      <c r="C5" s="32">
        <f t="shared" ref="C5:AF5" si="0">C66</f>
        <v>-18</v>
      </c>
      <c r="D5" s="32">
        <f t="shared" si="0"/>
        <v>-1.3</v>
      </c>
      <c r="E5" s="32">
        <f t="shared" si="0"/>
        <v>-20</v>
      </c>
      <c r="F5" s="32">
        <f t="shared" si="0"/>
        <v>-19.399999999999999</v>
      </c>
      <c r="G5" s="32">
        <f t="shared" si="0"/>
        <v>-18</v>
      </c>
      <c r="H5" s="32">
        <f t="shared" si="0"/>
        <v>-22</v>
      </c>
      <c r="I5" s="32">
        <f t="shared" si="0"/>
        <v>-40</v>
      </c>
      <c r="J5" s="32">
        <f t="shared" si="0"/>
        <v>-8</v>
      </c>
      <c r="K5" s="32">
        <f t="shared" si="0"/>
        <v>-29</v>
      </c>
      <c r="L5" s="32">
        <f t="shared" si="0"/>
        <v>-3</v>
      </c>
      <c r="M5" s="32">
        <f t="shared" si="0"/>
        <v>-10</v>
      </c>
      <c r="N5" s="32">
        <f t="shared" si="0"/>
        <v>-25</v>
      </c>
      <c r="O5" s="32">
        <f t="shared" si="0"/>
        <v>-5</v>
      </c>
      <c r="P5" s="32">
        <f t="shared" si="0"/>
        <v>-10</v>
      </c>
      <c r="Q5" s="32">
        <f t="shared" si="0"/>
        <v>0</v>
      </c>
      <c r="R5" s="32">
        <f t="shared" si="0"/>
        <v>-32</v>
      </c>
      <c r="S5" s="32">
        <f t="shared" si="0"/>
        <v>-13.2</v>
      </c>
      <c r="T5" s="32">
        <f t="shared" si="0"/>
        <v>2.2999999999999998</v>
      </c>
      <c r="U5" s="32">
        <f t="shared" si="0"/>
        <v>-2.5</v>
      </c>
      <c r="V5" s="32">
        <f t="shared" si="0"/>
        <v>6.8</v>
      </c>
      <c r="W5" s="32">
        <f t="shared" si="0"/>
        <v>1.6</v>
      </c>
      <c r="X5" s="32">
        <f t="shared" si="0"/>
        <v>-3.4</v>
      </c>
      <c r="Y5" s="32">
        <f t="shared" si="0"/>
        <v>-14</v>
      </c>
      <c r="Z5" s="32">
        <f t="shared" si="0"/>
        <v>-14</v>
      </c>
      <c r="AA5" s="32">
        <f t="shared" si="0"/>
        <v>-20.2</v>
      </c>
      <c r="AB5" s="32">
        <f t="shared" si="0"/>
        <v>-24.5</v>
      </c>
      <c r="AC5" s="32">
        <f t="shared" si="0"/>
        <v>-19.5</v>
      </c>
      <c r="AD5" s="32">
        <f t="shared" si="0"/>
        <v>-23</v>
      </c>
      <c r="AE5" s="32">
        <f t="shared" si="0"/>
        <v>-15.7</v>
      </c>
      <c r="AF5" s="32">
        <f t="shared" si="0"/>
        <v>-34.6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1101MW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Load=818</v>
      </c>
      <c r="B7" s="37">
        <f t="shared" ref="B7:AF7" si="1">B73</f>
        <v>833.54</v>
      </c>
      <c r="C7" s="37">
        <f t="shared" si="1"/>
        <v>855.04</v>
      </c>
      <c r="D7" s="37">
        <f t="shared" si="1"/>
        <v>826.7399999999999</v>
      </c>
      <c r="E7" s="37">
        <f t="shared" si="1"/>
        <v>818.43999999999994</v>
      </c>
      <c r="F7" s="37">
        <f t="shared" si="1"/>
        <v>818.93999999999994</v>
      </c>
      <c r="G7" s="37">
        <f t="shared" si="1"/>
        <v>865.64</v>
      </c>
      <c r="H7" s="37">
        <f t="shared" si="1"/>
        <v>889.24</v>
      </c>
      <c r="I7" s="37">
        <f t="shared" si="1"/>
        <v>972.24</v>
      </c>
      <c r="J7" s="37">
        <f t="shared" si="1"/>
        <v>1010.64</v>
      </c>
      <c r="K7" s="37">
        <f t="shared" si="1"/>
        <v>1066.6399999999999</v>
      </c>
      <c r="L7" s="37">
        <f>L73</f>
        <v>1100.6399999999999</v>
      </c>
      <c r="M7" s="37">
        <f t="shared" si="1"/>
        <v>1072.04</v>
      </c>
      <c r="N7" s="37">
        <f t="shared" si="1"/>
        <v>1043.6399999999999</v>
      </c>
      <c r="O7" s="37">
        <f t="shared" si="1"/>
        <v>1053.24</v>
      </c>
      <c r="P7" s="37">
        <f t="shared" si="1"/>
        <v>1038.24</v>
      </c>
      <c r="Q7" s="37">
        <f t="shared" si="1"/>
        <v>1031.24</v>
      </c>
      <c r="R7" s="37">
        <f t="shared" si="1"/>
        <v>1031.94</v>
      </c>
      <c r="S7" s="37">
        <f t="shared" si="1"/>
        <v>1066.8400000000001</v>
      </c>
      <c r="T7" s="37">
        <f t="shared" si="1"/>
        <v>1111.54</v>
      </c>
      <c r="U7" s="37">
        <f t="shared" si="1"/>
        <v>1109.6400000000001</v>
      </c>
      <c r="V7" s="37">
        <f t="shared" si="1"/>
        <v>1186.3399999999999</v>
      </c>
      <c r="W7" s="37">
        <f t="shared" si="1"/>
        <v>1325.94</v>
      </c>
      <c r="X7" s="37">
        <f t="shared" si="1"/>
        <v>1310.94</v>
      </c>
      <c r="Y7" s="37">
        <f t="shared" si="1"/>
        <v>1253.94</v>
      </c>
      <c r="Z7" s="37">
        <f t="shared" si="1"/>
        <v>1225.94</v>
      </c>
      <c r="AA7" s="37">
        <f t="shared" si="1"/>
        <v>1149.8400000000001</v>
      </c>
      <c r="AB7" s="37">
        <f t="shared" si="1"/>
        <v>1111.04</v>
      </c>
      <c r="AC7" s="37">
        <f t="shared" si="1"/>
        <v>1056.54</v>
      </c>
      <c r="AD7" s="37">
        <f t="shared" si="1"/>
        <v>891.84</v>
      </c>
      <c r="AE7" s="37">
        <f t="shared" si="1"/>
        <v>859.44</v>
      </c>
      <c r="AF7" s="37">
        <f t="shared" si="1"/>
        <v>855.54000000000008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70</v>
      </c>
      <c r="C11" s="54">
        <v>70</v>
      </c>
      <c r="D11" s="54">
        <v>50</v>
      </c>
      <c r="E11" s="54">
        <v>50</v>
      </c>
      <c r="F11" s="54">
        <v>50</v>
      </c>
      <c r="G11" s="54">
        <v>60</v>
      </c>
      <c r="H11" s="54">
        <v>60</v>
      </c>
      <c r="I11" s="54">
        <v>60</v>
      </c>
      <c r="J11" s="54">
        <v>60</v>
      </c>
      <c r="K11" s="49">
        <v>125</v>
      </c>
      <c r="L11" s="50">
        <v>150</v>
      </c>
      <c r="M11" s="50">
        <v>140</v>
      </c>
      <c r="N11" s="50">
        <v>140</v>
      </c>
      <c r="O11" s="50">
        <v>130</v>
      </c>
      <c r="P11" s="50">
        <v>130</v>
      </c>
      <c r="Q11" s="51">
        <v>110</v>
      </c>
      <c r="R11" s="52">
        <v>146</v>
      </c>
      <c r="S11" s="52">
        <v>125.6</v>
      </c>
      <c r="T11" s="52">
        <v>151</v>
      </c>
      <c r="U11" s="52">
        <v>144.80000000000001</v>
      </c>
      <c r="V11" s="52">
        <v>201</v>
      </c>
      <c r="W11" s="52">
        <v>265</v>
      </c>
      <c r="X11" s="52">
        <v>280</v>
      </c>
      <c r="Y11" s="53">
        <v>280</v>
      </c>
      <c r="Z11" s="53">
        <v>248</v>
      </c>
      <c r="AA11" s="54">
        <v>200</v>
      </c>
      <c r="AB11" s="54">
        <v>200</v>
      </c>
      <c r="AC11" s="54">
        <v>160</v>
      </c>
      <c r="AD11" s="54">
        <v>100</v>
      </c>
      <c r="AE11" s="49">
        <v>80</v>
      </c>
      <c r="AF11" s="49">
        <v>80</v>
      </c>
      <c r="AG11" s="55">
        <v>456</v>
      </c>
      <c r="AH11" s="56">
        <f>MAX(B11:AF11)</f>
        <v>280</v>
      </c>
      <c r="AI11" s="57">
        <f>MIN(B11:AF11)</f>
        <v>50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50</v>
      </c>
      <c r="C12" s="60">
        <v>50</v>
      </c>
      <c r="D12" s="60">
        <v>50</v>
      </c>
      <c r="E12" s="60">
        <v>50</v>
      </c>
      <c r="F12" s="60">
        <v>50</v>
      </c>
      <c r="G12" s="60">
        <v>60</v>
      </c>
      <c r="H12" s="60">
        <v>60</v>
      </c>
      <c r="I12" s="60">
        <v>60</v>
      </c>
      <c r="J12" s="60">
        <v>60</v>
      </c>
      <c r="K12" s="60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60">
        <v>60</v>
      </c>
      <c r="S12" s="60">
        <v>60</v>
      </c>
      <c r="T12" s="60">
        <v>60.4</v>
      </c>
      <c r="U12" s="60">
        <v>60.4</v>
      </c>
      <c r="V12" s="60">
        <v>60.4</v>
      </c>
      <c r="W12" s="60">
        <v>60</v>
      </c>
      <c r="X12" s="60">
        <v>60</v>
      </c>
      <c r="Y12" s="60">
        <v>60</v>
      </c>
      <c r="Z12" s="60">
        <v>60</v>
      </c>
      <c r="AA12" s="50">
        <v>60</v>
      </c>
      <c r="AB12" s="50">
        <v>60</v>
      </c>
      <c r="AC12" s="50">
        <v>50</v>
      </c>
      <c r="AD12" s="50">
        <v>50</v>
      </c>
      <c r="AE12" s="49">
        <v>40</v>
      </c>
      <c r="AF12" s="49">
        <v>40</v>
      </c>
      <c r="AG12" s="61">
        <v>60</v>
      </c>
      <c r="AH12" s="56">
        <f t="shared" ref="AH12:AH76" si="2">MAX(B12:AF12)</f>
        <v>60.4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2">
        <v>25</v>
      </c>
      <c r="C13" s="62">
        <v>25</v>
      </c>
      <c r="D13" s="62">
        <v>25</v>
      </c>
      <c r="E13" s="62">
        <v>25</v>
      </c>
      <c r="F13" s="62">
        <v>25</v>
      </c>
      <c r="G13" s="62">
        <v>25</v>
      </c>
      <c r="H13" s="62">
        <v>25</v>
      </c>
      <c r="I13" s="62">
        <v>25</v>
      </c>
      <c r="J13" s="62">
        <v>25</v>
      </c>
      <c r="K13" s="62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62">
        <v>25.6</v>
      </c>
      <c r="U13" s="62">
        <v>25.6</v>
      </c>
      <c r="V13" s="62">
        <v>25.6</v>
      </c>
      <c r="W13" s="62">
        <v>25.6</v>
      </c>
      <c r="X13" s="62">
        <v>25.6</v>
      </c>
      <c r="Y13" s="62">
        <v>25.6</v>
      </c>
      <c r="Z13" s="62">
        <v>25.6</v>
      </c>
      <c r="AA13" s="50">
        <v>25.6</v>
      </c>
      <c r="AB13" s="50">
        <v>25.4</v>
      </c>
      <c r="AC13" s="50">
        <v>25</v>
      </c>
      <c r="AD13" s="50">
        <v>25</v>
      </c>
      <c r="AE13" s="50">
        <v>25</v>
      </c>
      <c r="AF13" s="50">
        <v>25</v>
      </c>
      <c r="AG13" s="61">
        <v>52.4</v>
      </c>
      <c r="AH13" s="56">
        <f t="shared" si="2"/>
        <v>25.6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37</v>
      </c>
      <c r="C14" s="62">
        <v>37</v>
      </c>
      <c r="D14" s="62">
        <v>37</v>
      </c>
      <c r="E14" s="62">
        <v>37</v>
      </c>
      <c r="F14" s="62">
        <v>37</v>
      </c>
      <c r="G14" s="62">
        <v>37</v>
      </c>
      <c r="H14" s="62">
        <v>37</v>
      </c>
      <c r="I14" s="62">
        <v>37</v>
      </c>
      <c r="J14" s="62">
        <v>37</v>
      </c>
      <c r="K14" s="62">
        <v>37</v>
      </c>
      <c r="L14" s="50">
        <v>37</v>
      </c>
      <c r="M14" s="50">
        <v>37</v>
      </c>
      <c r="N14" s="50">
        <v>37</v>
      </c>
      <c r="O14" s="50">
        <v>37</v>
      </c>
      <c r="P14" s="50">
        <v>37</v>
      </c>
      <c r="Q14" s="50">
        <v>37</v>
      </c>
      <c r="R14" s="50">
        <v>37</v>
      </c>
      <c r="S14" s="50">
        <v>37</v>
      </c>
      <c r="T14" s="50">
        <v>37</v>
      </c>
      <c r="U14" s="50">
        <v>37</v>
      </c>
      <c r="V14" s="50">
        <v>45</v>
      </c>
      <c r="W14" s="50">
        <v>45</v>
      </c>
      <c r="X14" s="62">
        <v>45</v>
      </c>
      <c r="Y14" s="62">
        <v>45</v>
      </c>
      <c r="Z14" s="62">
        <v>45</v>
      </c>
      <c r="AA14" s="50">
        <v>45.9</v>
      </c>
      <c r="AB14" s="50">
        <v>37.299999999999997</v>
      </c>
      <c r="AC14" s="50">
        <v>37</v>
      </c>
      <c r="AD14" s="50">
        <v>37</v>
      </c>
      <c r="AE14" s="50">
        <v>37</v>
      </c>
      <c r="AF14" s="50">
        <v>37</v>
      </c>
      <c r="AG14" s="64">
        <v>45</v>
      </c>
      <c r="AH14" s="56">
        <f t="shared" si="2"/>
        <v>45.9</v>
      </c>
      <c r="AI14" s="57">
        <f t="shared" si="3"/>
        <v>37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5">
        <v>19</v>
      </c>
      <c r="C15" s="65">
        <v>19</v>
      </c>
      <c r="D15" s="65">
        <v>19</v>
      </c>
      <c r="E15" s="65">
        <v>19</v>
      </c>
      <c r="F15" s="65">
        <v>19</v>
      </c>
      <c r="G15" s="65">
        <v>19</v>
      </c>
      <c r="H15" s="65">
        <v>19</v>
      </c>
      <c r="I15" s="65">
        <v>19</v>
      </c>
      <c r="J15" s="65">
        <v>26</v>
      </c>
      <c r="K15" s="65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0</v>
      </c>
      <c r="S15" s="50">
        <v>20</v>
      </c>
      <c r="T15" s="50">
        <v>20</v>
      </c>
      <c r="U15" s="65">
        <v>23</v>
      </c>
      <c r="V15" s="65">
        <v>23</v>
      </c>
      <c r="W15" s="65">
        <v>26</v>
      </c>
      <c r="X15" s="65">
        <v>26</v>
      </c>
      <c r="Y15" s="65">
        <v>26</v>
      </c>
      <c r="Z15" s="65">
        <v>26</v>
      </c>
      <c r="AA15" s="50">
        <v>26</v>
      </c>
      <c r="AB15" s="50">
        <v>26</v>
      </c>
      <c r="AC15" s="50">
        <v>26</v>
      </c>
      <c r="AD15" s="50">
        <v>18</v>
      </c>
      <c r="AE15" s="50">
        <v>18</v>
      </c>
      <c r="AF15" s="50">
        <v>18</v>
      </c>
      <c r="AG15" s="61">
        <v>45</v>
      </c>
      <c r="AH15" s="56">
        <f t="shared" si="2"/>
        <v>26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2">
        <v>20</v>
      </c>
      <c r="C16" s="62">
        <v>20</v>
      </c>
      <c r="D16" s="62">
        <v>20</v>
      </c>
      <c r="E16" s="62">
        <v>20</v>
      </c>
      <c r="F16" s="62">
        <v>20</v>
      </c>
      <c r="G16" s="62">
        <v>20</v>
      </c>
      <c r="H16" s="62">
        <v>20</v>
      </c>
      <c r="I16" s="62">
        <v>20</v>
      </c>
      <c r="J16" s="62">
        <v>25</v>
      </c>
      <c r="K16" s="62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62">
        <v>25</v>
      </c>
      <c r="Y16" s="62">
        <v>25</v>
      </c>
      <c r="Z16" s="62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25</v>
      </c>
      <c r="AF16" s="50">
        <v>25</v>
      </c>
      <c r="AG16" s="61">
        <v>42</v>
      </c>
      <c r="AH16" s="56">
        <f t="shared" si="2"/>
        <v>25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22</v>
      </c>
      <c r="C18" s="50">
        <v>22</v>
      </c>
      <c r="D18" s="50">
        <v>22</v>
      </c>
      <c r="E18" s="50">
        <v>22</v>
      </c>
      <c r="F18" s="50">
        <v>22</v>
      </c>
      <c r="G18" s="50">
        <v>22</v>
      </c>
      <c r="H18" s="50">
        <v>22</v>
      </c>
      <c r="I18" s="50">
        <v>22</v>
      </c>
      <c r="J18" s="50">
        <v>22</v>
      </c>
      <c r="K18" s="50">
        <v>22</v>
      </c>
      <c r="L18" s="50">
        <v>13</v>
      </c>
      <c r="M18" s="50">
        <v>13</v>
      </c>
      <c r="N18" s="50">
        <v>13</v>
      </c>
      <c r="O18" s="50">
        <v>13</v>
      </c>
      <c r="P18" s="50">
        <v>13</v>
      </c>
      <c r="Q18" s="50">
        <v>13</v>
      </c>
      <c r="R18" s="50">
        <v>21.8</v>
      </c>
      <c r="S18" s="50">
        <v>21.8</v>
      </c>
      <c r="T18" s="50">
        <v>21.8</v>
      </c>
      <c r="U18" s="50">
        <v>21.8</v>
      </c>
      <c r="V18" s="50">
        <v>25</v>
      </c>
      <c r="W18" s="50">
        <v>25</v>
      </c>
      <c r="X18" s="50">
        <v>25</v>
      </c>
      <c r="Y18" s="50">
        <v>23</v>
      </c>
      <c r="Z18" s="50">
        <v>23</v>
      </c>
      <c r="AA18" s="50">
        <v>23</v>
      </c>
      <c r="AB18" s="50">
        <v>23.3</v>
      </c>
      <c r="AC18" s="50">
        <v>23.3</v>
      </c>
      <c r="AD18" s="50">
        <v>20</v>
      </c>
      <c r="AE18" s="50">
        <v>20</v>
      </c>
      <c r="AF18" s="50">
        <v>20</v>
      </c>
      <c r="AG18" s="61">
        <v>30</v>
      </c>
      <c r="AH18" s="56">
        <f t="shared" si="2"/>
        <v>25</v>
      </c>
      <c r="AI18" s="57">
        <f t="shared" si="3"/>
        <v>13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22</v>
      </c>
      <c r="C21" s="50">
        <v>22</v>
      </c>
      <c r="D21" s="50">
        <v>22</v>
      </c>
      <c r="E21" s="50">
        <v>22</v>
      </c>
      <c r="F21" s="50">
        <v>22</v>
      </c>
      <c r="G21" s="50">
        <v>22</v>
      </c>
      <c r="H21" s="50">
        <v>22</v>
      </c>
      <c r="I21" s="50">
        <v>22</v>
      </c>
      <c r="J21" s="50">
        <v>22</v>
      </c>
      <c r="K21" s="50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25</v>
      </c>
      <c r="AH21" s="56">
        <f t="shared" si="2"/>
        <v>22</v>
      </c>
      <c r="AI21" s="57">
        <f t="shared" si="3"/>
        <v>22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22.1</v>
      </c>
      <c r="C22" s="50">
        <v>22.1</v>
      </c>
      <c r="D22" s="50">
        <v>22.1</v>
      </c>
      <c r="E22" s="50">
        <v>22.1</v>
      </c>
      <c r="F22" s="50">
        <v>22.1</v>
      </c>
      <c r="G22" s="50">
        <v>22.1</v>
      </c>
      <c r="H22" s="50">
        <v>22.1</v>
      </c>
      <c r="I22" s="50">
        <v>22.1</v>
      </c>
      <c r="J22" s="50">
        <v>22.1</v>
      </c>
      <c r="K22" s="50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18</v>
      </c>
      <c r="AE22" s="50">
        <v>18</v>
      </c>
      <c r="AF22" s="50">
        <v>18</v>
      </c>
      <c r="AG22" s="61">
        <v>25</v>
      </c>
      <c r="AH22" s="56">
        <f t="shared" si="2"/>
        <v>22.1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17</v>
      </c>
      <c r="M23" s="50">
        <v>17</v>
      </c>
      <c r="N23" s="50">
        <v>17</v>
      </c>
      <c r="O23" s="50">
        <v>17</v>
      </c>
      <c r="P23" s="50">
        <v>17</v>
      </c>
      <c r="Q23" s="50">
        <v>17</v>
      </c>
      <c r="R23" s="50">
        <v>17</v>
      </c>
      <c r="S23" s="50">
        <v>17</v>
      </c>
      <c r="T23" s="50">
        <v>17</v>
      </c>
      <c r="U23" s="50">
        <v>17</v>
      </c>
      <c r="V23" s="50">
        <v>17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18</v>
      </c>
      <c r="AE23" s="50">
        <v>18</v>
      </c>
      <c r="AF23" s="50">
        <v>18</v>
      </c>
      <c r="AG23" s="61">
        <v>25</v>
      </c>
      <c r="AH23" s="56">
        <f t="shared" si="2"/>
        <v>22</v>
      </c>
      <c r="AI23" s="57">
        <f t="shared" si="3"/>
        <v>17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21</v>
      </c>
      <c r="J24" s="50">
        <v>21</v>
      </c>
      <c r="K24" s="50">
        <v>21</v>
      </c>
      <c r="L24" s="50">
        <v>21</v>
      </c>
      <c r="M24" s="50">
        <v>21</v>
      </c>
      <c r="N24" s="50">
        <v>21</v>
      </c>
      <c r="O24" s="50">
        <v>21</v>
      </c>
      <c r="P24" s="50">
        <v>21</v>
      </c>
      <c r="Q24" s="50">
        <v>21</v>
      </c>
      <c r="R24" s="50">
        <v>21</v>
      </c>
      <c r="S24" s="50">
        <v>21</v>
      </c>
      <c r="T24" s="50">
        <v>21</v>
      </c>
      <c r="U24" s="50">
        <v>21</v>
      </c>
      <c r="V24" s="50">
        <v>21</v>
      </c>
      <c r="W24" s="50">
        <v>21</v>
      </c>
      <c r="X24" s="50">
        <v>21</v>
      </c>
      <c r="Y24" s="50">
        <v>21</v>
      </c>
      <c r="Z24" s="50">
        <v>21</v>
      </c>
      <c r="AA24" s="50">
        <v>21</v>
      </c>
      <c r="AB24" s="50">
        <v>21</v>
      </c>
      <c r="AC24" s="50">
        <v>21</v>
      </c>
      <c r="AD24" s="50">
        <v>18</v>
      </c>
      <c r="AE24" s="50">
        <v>18</v>
      </c>
      <c r="AF24" s="50">
        <v>18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2</v>
      </c>
      <c r="C25" s="50">
        <v>4</v>
      </c>
      <c r="D25" s="50">
        <v>4</v>
      </c>
      <c r="E25" s="50">
        <v>4</v>
      </c>
      <c r="F25" s="50">
        <v>4</v>
      </c>
      <c r="G25" s="50">
        <v>4</v>
      </c>
      <c r="H25" s="50">
        <v>4</v>
      </c>
      <c r="I25" s="50">
        <v>4</v>
      </c>
      <c r="J25" s="50">
        <v>4</v>
      </c>
      <c r="K25" s="50">
        <v>4</v>
      </c>
      <c r="L25" s="50">
        <v>4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4</v>
      </c>
      <c r="S25" s="50">
        <v>4</v>
      </c>
      <c r="T25" s="50">
        <v>4</v>
      </c>
      <c r="U25" s="50">
        <v>4</v>
      </c>
      <c r="V25" s="50">
        <v>4</v>
      </c>
      <c r="W25" s="50">
        <v>4</v>
      </c>
      <c r="X25" s="50">
        <v>4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50">
        <v>4</v>
      </c>
      <c r="AF25" s="50">
        <v>4</v>
      </c>
      <c r="AG25" s="61">
        <v>20</v>
      </c>
      <c r="AH25" s="56">
        <f>MAX(B25:AF25)</f>
        <v>4</v>
      </c>
      <c r="AI25" s="57">
        <f>MIN(B25:AF25)</f>
        <v>2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14</v>
      </c>
      <c r="C26" s="50">
        <v>14</v>
      </c>
      <c r="D26" s="50">
        <v>14</v>
      </c>
      <c r="E26" s="50">
        <v>14</v>
      </c>
      <c r="F26" s="50">
        <v>14</v>
      </c>
      <c r="G26" s="50">
        <v>14</v>
      </c>
      <c r="H26" s="50">
        <v>14</v>
      </c>
      <c r="I26" s="50">
        <v>14</v>
      </c>
      <c r="J26" s="50">
        <v>14</v>
      </c>
      <c r="K26" s="50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49">
        <v>0</v>
      </c>
      <c r="AB26" s="49">
        <v>0</v>
      </c>
      <c r="AC26" s="49">
        <v>10</v>
      </c>
      <c r="AD26" s="49">
        <v>10</v>
      </c>
      <c r="AE26" s="49">
        <v>10</v>
      </c>
      <c r="AF26" s="49">
        <v>10</v>
      </c>
      <c r="AG26" s="61">
        <v>23.5</v>
      </c>
      <c r="AH26" s="56">
        <f t="shared" si="2"/>
        <v>14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6</v>
      </c>
      <c r="C27" s="50">
        <v>6</v>
      </c>
      <c r="D27" s="50">
        <v>6</v>
      </c>
      <c r="E27" s="50">
        <v>6</v>
      </c>
      <c r="F27" s="50">
        <v>6</v>
      </c>
      <c r="G27" s="50">
        <v>6</v>
      </c>
      <c r="H27" s="50">
        <v>6</v>
      </c>
      <c r="I27" s="50">
        <v>6</v>
      </c>
      <c r="J27" s="50">
        <v>6</v>
      </c>
      <c r="K27" s="50">
        <v>6</v>
      </c>
      <c r="L27" s="50">
        <v>6</v>
      </c>
      <c r="M27" s="50">
        <v>6</v>
      </c>
      <c r="N27" s="50">
        <v>6</v>
      </c>
      <c r="O27" s="50">
        <v>6</v>
      </c>
      <c r="P27" s="50">
        <v>6</v>
      </c>
      <c r="Q27" s="50">
        <v>6</v>
      </c>
      <c r="R27" s="50">
        <v>0</v>
      </c>
      <c r="S27" s="50">
        <v>6</v>
      </c>
      <c r="T27" s="50">
        <v>6</v>
      </c>
      <c r="U27" s="50">
        <v>6</v>
      </c>
      <c r="V27" s="50">
        <v>6</v>
      </c>
      <c r="W27" s="50">
        <v>6</v>
      </c>
      <c r="X27" s="50">
        <v>6</v>
      </c>
      <c r="Y27" s="50">
        <v>6</v>
      </c>
      <c r="Z27" s="50">
        <v>6</v>
      </c>
      <c r="AA27" s="50">
        <v>6</v>
      </c>
      <c r="AB27" s="50">
        <v>6</v>
      </c>
      <c r="AC27" s="50">
        <v>6</v>
      </c>
      <c r="AD27" s="50">
        <v>6</v>
      </c>
      <c r="AE27" s="50">
        <v>6</v>
      </c>
      <c r="AF27" s="50">
        <v>6</v>
      </c>
      <c r="AG27" s="61">
        <v>22.2</v>
      </c>
      <c r="AH27" s="56">
        <f t="shared" si="2"/>
        <v>6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3</v>
      </c>
      <c r="U32" s="50">
        <v>3</v>
      </c>
      <c r="V32" s="50">
        <v>3</v>
      </c>
      <c r="W32" s="50">
        <v>3</v>
      </c>
      <c r="X32" s="50">
        <v>3</v>
      </c>
      <c r="Y32" s="50">
        <v>3</v>
      </c>
      <c r="Z32" s="50">
        <v>7</v>
      </c>
      <c r="AA32" s="50">
        <v>7</v>
      </c>
      <c r="AB32" s="50">
        <v>7</v>
      </c>
      <c r="AC32" s="50">
        <v>7</v>
      </c>
      <c r="AD32" s="50">
        <v>7</v>
      </c>
      <c r="AE32" s="50">
        <v>7</v>
      </c>
      <c r="AF32" s="50">
        <v>7</v>
      </c>
      <c r="AG32" s="69">
        <v>20</v>
      </c>
      <c r="AH32" s="56">
        <f t="shared" si="2"/>
        <v>7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200</v>
      </c>
      <c r="F34" s="63">
        <v>200</v>
      </c>
      <c r="G34" s="63">
        <v>200</v>
      </c>
      <c r="H34" s="63">
        <v>200</v>
      </c>
      <c r="I34" s="63">
        <v>200</v>
      </c>
      <c r="J34" s="63">
        <v>200</v>
      </c>
      <c r="K34" s="63">
        <v>200</v>
      </c>
      <c r="L34" s="63">
        <v>200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200</v>
      </c>
      <c r="AD34" s="63">
        <v>180</v>
      </c>
      <c r="AE34" s="63">
        <v>180</v>
      </c>
      <c r="AF34" s="63">
        <v>180</v>
      </c>
      <c r="AG34" s="69">
        <v>85</v>
      </c>
      <c r="AH34" s="56">
        <f t="shared" si="2"/>
        <v>200</v>
      </c>
      <c r="AI34" s="57">
        <f t="shared" si="3"/>
        <v>180</v>
      </c>
      <c r="AK34" s="58"/>
    </row>
    <row r="35" spans="1:88" ht="15.75" thickBot="1" x14ac:dyDescent="0.3">
      <c r="A35" s="71" t="s">
        <v>43</v>
      </c>
      <c r="B35" s="72">
        <v>125</v>
      </c>
      <c r="C35" s="72">
        <v>125</v>
      </c>
      <c r="D35" s="72">
        <v>125</v>
      </c>
      <c r="E35" s="72">
        <v>125</v>
      </c>
      <c r="F35" s="72">
        <v>125</v>
      </c>
      <c r="G35" s="72">
        <v>125</v>
      </c>
      <c r="H35" s="72">
        <v>125</v>
      </c>
      <c r="I35" s="72">
        <v>125</v>
      </c>
      <c r="J35" s="72">
        <v>130</v>
      </c>
      <c r="K35" s="72">
        <v>130</v>
      </c>
      <c r="L35" s="72">
        <v>130</v>
      </c>
      <c r="M35" s="72">
        <v>130</v>
      </c>
      <c r="N35" s="72">
        <v>130</v>
      </c>
      <c r="O35" s="72">
        <v>130</v>
      </c>
      <c r="P35" s="72">
        <v>130</v>
      </c>
      <c r="Q35" s="72">
        <v>130</v>
      </c>
      <c r="R35" s="72">
        <v>144</v>
      </c>
      <c r="S35" s="72">
        <v>144</v>
      </c>
      <c r="T35" s="72">
        <v>144</v>
      </c>
      <c r="U35" s="72">
        <v>144</v>
      </c>
      <c r="V35" s="72">
        <v>144</v>
      </c>
      <c r="W35" s="72">
        <v>144</v>
      </c>
      <c r="X35" s="72">
        <v>144</v>
      </c>
      <c r="Y35" s="72">
        <v>144</v>
      </c>
      <c r="Z35" s="72">
        <v>144</v>
      </c>
      <c r="AA35" s="72">
        <v>128.6</v>
      </c>
      <c r="AB35" s="72">
        <v>127</v>
      </c>
      <c r="AC35" s="72">
        <v>127</v>
      </c>
      <c r="AD35" s="72">
        <v>124</v>
      </c>
      <c r="AE35" s="72">
        <v>124</v>
      </c>
      <c r="AF35" s="72">
        <v>124</v>
      </c>
      <c r="AG35" s="69">
        <v>240</v>
      </c>
      <c r="AH35" s="56">
        <f t="shared" si="2"/>
        <v>144</v>
      </c>
      <c r="AI35" s="57">
        <f t="shared" si="3"/>
        <v>124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619.29999999999995</v>
      </c>
      <c r="C36" s="74">
        <f t="shared" si="4"/>
        <v>621.29999999999995</v>
      </c>
      <c r="D36" s="74">
        <f t="shared" si="4"/>
        <v>601.29999999999995</v>
      </c>
      <c r="E36" s="74">
        <f t="shared" si="4"/>
        <v>601.29999999999995</v>
      </c>
      <c r="F36" s="74">
        <f t="shared" si="4"/>
        <v>601.29999999999995</v>
      </c>
      <c r="G36" s="74">
        <f t="shared" si="4"/>
        <v>621.29999999999995</v>
      </c>
      <c r="H36" s="74">
        <f t="shared" si="4"/>
        <v>621.29999999999995</v>
      </c>
      <c r="I36" s="74">
        <f t="shared" si="4"/>
        <v>620.29999999999995</v>
      </c>
      <c r="J36" s="74">
        <f t="shared" si="4"/>
        <v>632.29999999999995</v>
      </c>
      <c r="K36" s="74">
        <f t="shared" si="4"/>
        <v>697.3</v>
      </c>
      <c r="L36" s="74">
        <f t="shared" si="4"/>
        <v>708.3</v>
      </c>
      <c r="M36" s="74">
        <f t="shared" si="4"/>
        <v>698.3</v>
      </c>
      <c r="N36" s="74">
        <f t="shared" si="4"/>
        <v>698.3</v>
      </c>
      <c r="O36" s="74">
        <f t="shared" si="4"/>
        <v>688.3</v>
      </c>
      <c r="P36" s="74">
        <f t="shared" si="4"/>
        <v>688.3</v>
      </c>
      <c r="Q36" s="74">
        <f t="shared" si="4"/>
        <v>668.3</v>
      </c>
      <c r="R36" s="74">
        <f t="shared" si="4"/>
        <v>681.1</v>
      </c>
      <c r="S36" s="74">
        <f t="shared" si="4"/>
        <v>686.7</v>
      </c>
      <c r="T36" s="74">
        <f t="shared" si="4"/>
        <v>716.1</v>
      </c>
      <c r="U36" s="74">
        <f t="shared" si="4"/>
        <v>712.90000000000009</v>
      </c>
      <c r="V36" s="74">
        <f t="shared" si="4"/>
        <v>780.3</v>
      </c>
      <c r="W36" s="74">
        <f t="shared" si="4"/>
        <v>851.9</v>
      </c>
      <c r="X36" s="74">
        <f t="shared" si="4"/>
        <v>866.90000000000009</v>
      </c>
      <c r="Y36" s="74">
        <f t="shared" si="4"/>
        <v>864.90000000000009</v>
      </c>
      <c r="Z36" s="74">
        <f t="shared" si="4"/>
        <v>836.9</v>
      </c>
      <c r="AA36" s="74">
        <f t="shared" si="4"/>
        <v>775.8</v>
      </c>
      <c r="AB36" s="74">
        <f t="shared" si="4"/>
        <v>767.3</v>
      </c>
      <c r="AC36" s="74">
        <f t="shared" si="4"/>
        <v>726.6</v>
      </c>
      <c r="AD36" s="74">
        <f t="shared" si="4"/>
        <v>624.20000000000005</v>
      </c>
      <c r="AE36" s="74">
        <f t="shared" si="4"/>
        <v>594.20000000000005</v>
      </c>
      <c r="AF36" s="74">
        <f t="shared" si="4"/>
        <v>594.20000000000005</v>
      </c>
      <c r="AG36" s="69">
        <f>SUM(AG11:AG35)</f>
        <v>1431.83</v>
      </c>
      <c r="AH36" s="56">
        <f t="shared" si="2"/>
        <v>866.90000000000009</v>
      </c>
      <c r="AI36" s="57">
        <f t="shared" si="3"/>
        <v>594.20000000000005</v>
      </c>
      <c r="AK36" s="58"/>
    </row>
    <row r="37" spans="1:88" x14ac:dyDescent="0.25">
      <c r="A37" s="59" t="s">
        <v>45</v>
      </c>
      <c r="B37" s="50">
        <v>95.8</v>
      </c>
      <c r="C37" s="63">
        <v>96.7</v>
      </c>
      <c r="D37" s="63">
        <v>85.7</v>
      </c>
      <c r="E37" s="63">
        <v>75</v>
      </c>
      <c r="F37" s="63">
        <v>75</v>
      </c>
      <c r="G37" s="63">
        <v>90</v>
      </c>
      <c r="H37" s="63">
        <v>111</v>
      </c>
      <c r="I37" s="63">
        <v>141</v>
      </c>
      <c r="J37" s="63">
        <v>140</v>
      </c>
      <c r="K37" s="63">
        <v>140</v>
      </c>
      <c r="L37" s="50">
        <v>142</v>
      </c>
      <c r="M37" s="50">
        <v>144</v>
      </c>
      <c r="N37" s="50">
        <v>144.30000000000001</v>
      </c>
      <c r="O37" s="50">
        <v>144.30000000000001</v>
      </c>
      <c r="P37" s="50">
        <v>144.30000000000001</v>
      </c>
      <c r="Q37" s="50">
        <v>144.30000000000001</v>
      </c>
      <c r="R37" s="50">
        <v>144.19999999999999</v>
      </c>
      <c r="S37" s="50">
        <v>144.69999999999999</v>
      </c>
      <c r="T37" s="50">
        <v>144.5</v>
      </c>
      <c r="U37" s="50">
        <v>144.5</v>
      </c>
      <c r="V37" s="50">
        <v>144.5</v>
      </c>
      <c r="W37" s="50">
        <v>144.5</v>
      </c>
      <c r="X37" s="50">
        <v>144.30000000000001</v>
      </c>
      <c r="Y37" s="50">
        <v>144.30000000000001</v>
      </c>
      <c r="Z37" s="50">
        <v>144.30000000000001</v>
      </c>
      <c r="AA37" s="50">
        <v>144.1</v>
      </c>
      <c r="AB37" s="50">
        <v>130.4</v>
      </c>
      <c r="AC37" s="50">
        <v>120</v>
      </c>
      <c r="AD37" s="50">
        <v>110</v>
      </c>
      <c r="AE37" s="49">
        <v>91</v>
      </c>
      <c r="AF37" s="49">
        <v>97</v>
      </c>
      <c r="AG37" s="64">
        <v>144</v>
      </c>
      <c r="AH37" s="56">
        <f t="shared" si="2"/>
        <v>144.69999999999999</v>
      </c>
      <c r="AI37" s="57">
        <f t="shared" si="3"/>
        <v>75</v>
      </c>
      <c r="AK37" s="58"/>
    </row>
    <row r="38" spans="1:88" x14ac:dyDescent="0.25">
      <c r="A38" s="68" t="s">
        <v>46</v>
      </c>
      <c r="B38" s="52">
        <v>24.8</v>
      </c>
      <c r="C38" s="63">
        <v>24.8</v>
      </c>
      <c r="D38" s="63">
        <v>24.8</v>
      </c>
      <c r="E38" s="63">
        <v>25</v>
      </c>
      <c r="F38" s="63">
        <v>25</v>
      </c>
      <c r="G38" s="63">
        <v>35</v>
      </c>
      <c r="H38" s="63">
        <v>35</v>
      </c>
      <c r="I38" s="63">
        <v>35</v>
      </c>
      <c r="J38" s="63">
        <v>35</v>
      </c>
      <c r="K38" s="63">
        <v>35</v>
      </c>
      <c r="L38" s="52">
        <v>35</v>
      </c>
      <c r="M38" s="52">
        <v>35</v>
      </c>
      <c r="N38" s="52">
        <v>35.299999999999997</v>
      </c>
      <c r="O38" s="52">
        <v>35.299999999999997</v>
      </c>
      <c r="P38" s="52">
        <v>35.299999999999997</v>
      </c>
      <c r="Q38" s="52">
        <v>35.299999999999997</v>
      </c>
      <c r="R38" s="52">
        <v>35.299999999999997</v>
      </c>
      <c r="S38" s="52">
        <v>35.299999999999997</v>
      </c>
      <c r="T38" s="52">
        <v>35.299999999999997</v>
      </c>
      <c r="U38" s="52">
        <v>35.4</v>
      </c>
      <c r="V38" s="52">
        <v>35.4</v>
      </c>
      <c r="W38" s="52">
        <v>35.4</v>
      </c>
      <c r="X38" s="52">
        <v>35.4</v>
      </c>
      <c r="Y38" s="52">
        <v>35.4</v>
      </c>
      <c r="Z38" s="52">
        <v>35.4</v>
      </c>
      <c r="AA38" s="52">
        <v>35.799999999999997</v>
      </c>
      <c r="AB38" s="52">
        <v>35.799999999999997</v>
      </c>
      <c r="AC38" s="52">
        <v>35.799999999999997</v>
      </c>
      <c r="AD38" s="52">
        <v>26</v>
      </c>
      <c r="AE38" s="63">
        <v>30</v>
      </c>
      <c r="AF38" s="63">
        <v>35</v>
      </c>
      <c r="AG38" s="69">
        <v>70</v>
      </c>
      <c r="AH38" s="56">
        <f t="shared" si="2"/>
        <v>35.799999999999997</v>
      </c>
      <c r="AI38" s="57">
        <f t="shared" si="3"/>
        <v>24.8</v>
      </c>
      <c r="AK38" s="58"/>
    </row>
    <row r="39" spans="1:88" x14ac:dyDescent="0.25">
      <c r="A39" s="68" t="s">
        <v>47</v>
      </c>
      <c r="B39" s="52">
        <v>35.9</v>
      </c>
      <c r="C39" s="63">
        <v>32.799999999999997</v>
      </c>
      <c r="D39" s="63">
        <v>32.799999999999997</v>
      </c>
      <c r="E39" s="63">
        <v>41</v>
      </c>
      <c r="F39" s="63">
        <v>41</v>
      </c>
      <c r="G39" s="63">
        <v>41</v>
      </c>
      <c r="H39" s="63">
        <v>41</v>
      </c>
      <c r="I39" s="63">
        <v>69</v>
      </c>
      <c r="J39" s="63">
        <v>60</v>
      </c>
      <c r="K39" s="63">
        <v>69</v>
      </c>
      <c r="L39" s="52">
        <v>69</v>
      </c>
      <c r="M39" s="52">
        <v>69</v>
      </c>
      <c r="N39" s="52">
        <v>70.400000000000006</v>
      </c>
      <c r="O39" s="52">
        <v>70</v>
      </c>
      <c r="P39" s="52">
        <v>60</v>
      </c>
      <c r="Q39" s="52">
        <v>63</v>
      </c>
      <c r="R39" s="52">
        <v>63</v>
      </c>
      <c r="S39" s="52">
        <v>63</v>
      </c>
      <c r="T39" s="52">
        <v>63</v>
      </c>
      <c r="U39" s="52">
        <v>69</v>
      </c>
      <c r="V39" s="52">
        <v>69</v>
      </c>
      <c r="W39" s="52">
        <v>69</v>
      </c>
      <c r="X39" s="52">
        <v>69</v>
      </c>
      <c r="Y39" s="52">
        <v>69</v>
      </c>
      <c r="Z39" s="52">
        <v>69</v>
      </c>
      <c r="AA39" s="52">
        <v>68.8</v>
      </c>
      <c r="AB39" s="52">
        <v>56.5</v>
      </c>
      <c r="AC39" s="52">
        <v>57.7</v>
      </c>
      <c r="AD39" s="52">
        <v>30</v>
      </c>
      <c r="AE39" s="63">
        <v>42</v>
      </c>
      <c r="AF39" s="63">
        <v>46</v>
      </c>
      <c r="AG39" s="69">
        <v>69</v>
      </c>
      <c r="AH39" s="56">
        <f t="shared" si="2"/>
        <v>70.400000000000006</v>
      </c>
      <c r="AI39" s="57">
        <f t="shared" si="3"/>
        <v>30</v>
      </c>
      <c r="AK39" s="58"/>
    </row>
    <row r="40" spans="1:88" x14ac:dyDescent="0.25">
      <c r="A40" s="68" t="s">
        <v>48</v>
      </c>
      <c r="B40" s="52">
        <v>20.399999999999999</v>
      </c>
      <c r="C40" s="52">
        <v>20.399999999999999</v>
      </c>
      <c r="D40" s="52">
        <v>10</v>
      </c>
      <c r="E40" s="63">
        <v>22.7</v>
      </c>
      <c r="F40" s="63">
        <v>22.7</v>
      </c>
      <c r="G40" s="63">
        <v>23</v>
      </c>
      <c r="H40" s="63">
        <v>23</v>
      </c>
      <c r="I40" s="63">
        <v>60</v>
      </c>
      <c r="J40" s="63">
        <v>60</v>
      </c>
      <c r="K40" s="63">
        <v>60</v>
      </c>
      <c r="L40" s="52">
        <v>30</v>
      </c>
      <c r="M40" s="52">
        <v>30</v>
      </c>
      <c r="N40" s="52">
        <v>30</v>
      </c>
      <c r="O40" s="52">
        <v>30</v>
      </c>
      <c r="P40" s="52">
        <v>30</v>
      </c>
      <c r="Q40" s="52">
        <v>30</v>
      </c>
      <c r="R40" s="52">
        <v>50</v>
      </c>
      <c r="S40" s="52">
        <v>60</v>
      </c>
      <c r="T40" s="52">
        <v>60</v>
      </c>
      <c r="U40" s="52">
        <v>60</v>
      </c>
      <c r="V40" s="52">
        <v>60</v>
      </c>
      <c r="W40" s="52">
        <v>60</v>
      </c>
      <c r="X40" s="52">
        <v>60</v>
      </c>
      <c r="Y40" s="52">
        <v>60</v>
      </c>
      <c r="Z40" s="52">
        <v>60</v>
      </c>
      <c r="AA40" s="52">
        <v>50.6</v>
      </c>
      <c r="AB40" s="52">
        <v>50.6</v>
      </c>
      <c r="AC40" s="52">
        <v>41</v>
      </c>
      <c r="AD40" s="52">
        <v>33.700000000000003</v>
      </c>
      <c r="AE40" s="63">
        <v>30</v>
      </c>
      <c r="AF40" s="63">
        <v>30</v>
      </c>
      <c r="AG40" s="69">
        <v>60</v>
      </c>
      <c r="AH40" s="56">
        <f t="shared" si="2"/>
        <v>60</v>
      </c>
      <c r="AI40" s="57">
        <f t="shared" si="3"/>
        <v>10</v>
      </c>
      <c r="AK40" s="58"/>
    </row>
    <row r="41" spans="1:88" x14ac:dyDescent="0.25">
      <c r="A41" s="68" t="s">
        <v>49</v>
      </c>
      <c r="B41" s="50">
        <v>29.6</v>
      </c>
      <c r="C41" s="50">
        <v>29.6</v>
      </c>
      <c r="D41" s="50">
        <v>26</v>
      </c>
      <c r="E41" s="50">
        <v>26</v>
      </c>
      <c r="F41" s="63">
        <v>26</v>
      </c>
      <c r="G41" s="63">
        <v>26</v>
      </c>
      <c r="H41" s="63">
        <v>26</v>
      </c>
      <c r="I41" s="63">
        <v>26</v>
      </c>
      <c r="J41" s="63">
        <v>26</v>
      </c>
      <c r="K41" s="63">
        <v>29</v>
      </c>
      <c r="L41" s="50">
        <v>29</v>
      </c>
      <c r="M41" s="50">
        <v>29</v>
      </c>
      <c r="N41" s="50">
        <v>29</v>
      </c>
      <c r="O41" s="50">
        <v>29</v>
      </c>
      <c r="P41" s="50">
        <v>29</v>
      </c>
      <c r="Q41" s="50">
        <v>29</v>
      </c>
      <c r="R41" s="50">
        <v>29</v>
      </c>
      <c r="S41" s="50">
        <v>29</v>
      </c>
      <c r="T41" s="50">
        <v>29</v>
      </c>
      <c r="U41" s="50">
        <v>29</v>
      </c>
      <c r="V41" s="50">
        <v>29</v>
      </c>
      <c r="W41" s="50">
        <v>29</v>
      </c>
      <c r="X41" s="50">
        <v>29</v>
      </c>
      <c r="Y41" s="50">
        <v>29</v>
      </c>
      <c r="Z41" s="50">
        <v>29</v>
      </c>
      <c r="AA41" s="52">
        <v>29.6</v>
      </c>
      <c r="AB41" s="52">
        <v>29.6</v>
      </c>
      <c r="AC41" s="52">
        <v>29.6</v>
      </c>
      <c r="AD41" s="52">
        <v>29.6</v>
      </c>
      <c r="AE41" s="52">
        <v>29.6</v>
      </c>
      <c r="AF41" s="52">
        <v>29.6</v>
      </c>
      <c r="AG41" s="69">
        <v>30</v>
      </c>
      <c r="AH41" s="56">
        <f t="shared" si="2"/>
        <v>29.6</v>
      </c>
      <c r="AI41" s="57">
        <f t="shared" si="3"/>
        <v>26</v>
      </c>
      <c r="AK41" s="58"/>
    </row>
    <row r="42" spans="1:88" x14ac:dyDescent="0.25">
      <c r="A42" s="68" t="s">
        <v>50</v>
      </c>
      <c r="B42" s="50">
        <v>0</v>
      </c>
      <c r="C42" s="50">
        <v>0</v>
      </c>
      <c r="D42" s="50">
        <v>0</v>
      </c>
      <c r="E42" s="50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50">
        <v>10</v>
      </c>
      <c r="C43" s="50">
        <v>10</v>
      </c>
      <c r="D43" s="50">
        <v>10</v>
      </c>
      <c r="E43" s="50">
        <v>10</v>
      </c>
      <c r="F43" s="75">
        <v>10</v>
      </c>
      <c r="G43" s="75">
        <v>10</v>
      </c>
      <c r="H43" s="75">
        <v>14.6</v>
      </c>
      <c r="I43" s="75">
        <v>14.6</v>
      </c>
      <c r="J43" s="75">
        <v>17</v>
      </c>
      <c r="K43" s="75">
        <v>17</v>
      </c>
      <c r="L43" s="50">
        <v>17</v>
      </c>
      <c r="M43" s="50">
        <v>17</v>
      </c>
      <c r="N43" s="50">
        <v>17</v>
      </c>
      <c r="O43" s="50">
        <v>17</v>
      </c>
      <c r="P43" s="50">
        <v>17</v>
      </c>
      <c r="Q43" s="50">
        <v>17</v>
      </c>
      <c r="R43" s="50">
        <v>17</v>
      </c>
      <c r="S43" s="50">
        <v>17</v>
      </c>
      <c r="T43" s="50">
        <v>17</v>
      </c>
      <c r="U43" s="50">
        <v>17</v>
      </c>
      <c r="V43" s="50">
        <v>17</v>
      </c>
      <c r="W43" s="50">
        <v>17</v>
      </c>
      <c r="X43" s="50">
        <v>17</v>
      </c>
      <c r="Y43" s="50">
        <v>17</v>
      </c>
      <c r="Z43" s="50">
        <v>17</v>
      </c>
      <c r="AA43" s="50">
        <v>17</v>
      </c>
      <c r="AB43" s="50">
        <v>17</v>
      </c>
      <c r="AC43" s="50">
        <v>17</v>
      </c>
      <c r="AD43" s="50">
        <v>17</v>
      </c>
      <c r="AE43" s="50">
        <v>17</v>
      </c>
      <c r="AF43" s="50">
        <v>17</v>
      </c>
      <c r="AG43" s="69">
        <v>24</v>
      </c>
      <c r="AH43" s="56">
        <f t="shared" si="2"/>
        <v>17</v>
      </c>
      <c r="AI43" s="57">
        <f t="shared" si="3"/>
        <v>10</v>
      </c>
      <c r="AK43" s="58"/>
    </row>
    <row r="44" spans="1:88" x14ac:dyDescent="0.25">
      <c r="A44" s="68" t="s">
        <v>52</v>
      </c>
      <c r="B44" s="50">
        <v>3.1</v>
      </c>
      <c r="C44" s="50">
        <v>3.1</v>
      </c>
      <c r="D44" s="50">
        <v>3.1</v>
      </c>
      <c r="E44" s="50">
        <v>3.1</v>
      </c>
      <c r="F44" s="63">
        <v>3</v>
      </c>
      <c r="G44" s="63">
        <v>3</v>
      </c>
      <c r="H44" s="63">
        <v>3</v>
      </c>
      <c r="I44" s="63">
        <v>3</v>
      </c>
      <c r="J44" s="63">
        <v>3</v>
      </c>
      <c r="K44" s="63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9">
        <v>15</v>
      </c>
      <c r="AH44" s="56">
        <f t="shared" si="2"/>
        <v>3.1</v>
      </c>
      <c r="AI44" s="57">
        <f t="shared" si="3"/>
        <v>3</v>
      </c>
      <c r="AK44" s="58"/>
      <c r="AL44" s="76"/>
      <c r="AO44" s="76"/>
    </row>
    <row r="45" spans="1:88" s="76" customFormat="1" x14ac:dyDescent="0.25">
      <c r="A45" s="68" t="s">
        <v>53</v>
      </c>
      <c r="B45" s="50">
        <v>8</v>
      </c>
      <c r="C45" s="50">
        <v>8</v>
      </c>
      <c r="D45" s="50">
        <v>8</v>
      </c>
      <c r="E45" s="50">
        <v>8</v>
      </c>
      <c r="F45" s="63">
        <v>8</v>
      </c>
      <c r="G45" s="63">
        <v>8</v>
      </c>
      <c r="H45" s="63">
        <v>10</v>
      </c>
      <c r="I45" s="63">
        <v>10</v>
      </c>
      <c r="J45" s="63">
        <v>12</v>
      </c>
      <c r="K45" s="63">
        <v>12</v>
      </c>
      <c r="L45" s="50">
        <v>12</v>
      </c>
      <c r="M45" s="50">
        <v>12</v>
      </c>
      <c r="N45" s="50">
        <v>12</v>
      </c>
      <c r="O45" s="50">
        <v>12</v>
      </c>
      <c r="P45" s="50">
        <v>12</v>
      </c>
      <c r="Q45" s="50">
        <v>12</v>
      </c>
      <c r="R45" s="50">
        <v>12</v>
      </c>
      <c r="S45" s="50">
        <v>12</v>
      </c>
      <c r="T45" s="50">
        <v>12</v>
      </c>
      <c r="U45" s="50">
        <v>12</v>
      </c>
      <c r="V45" s="50">
        <v>12</v>
      </c>
      <c r="W45" s="50">
        <v>12</v>
      </c>
      <c r="X45" s="50">
        <v>12</v>
      </c>
      <c r="Y45" s="50">
        <v>12</v>
      </c>
      <c r="Z45" s="50">
        <v>12</v>
      </c>
      <c r="AA45" s="50">
        <v>12</v>
      </c>
      <c r="AB45" s="50">
        <v>12</v>
      </c>
      <c r="AC45" s="50">
        <v>12</v>
      </c>
      <c r="AD45" s="50">
        <v>12</v>
      </c>
      <c r="AE45" s="50">
        <v>12</v>
      </c>
      <c r="AF45" s="50">
        <v>12</v>
      </c>
      <c r="AG45" s="69">
        <v>14.1</v>
      </c>
      <c r="AH45" s="56">
        <f t="shared" si="2"/>
        <v>12</v>
      </c>
      <c r="AI45" s="57">
        <f t="shared" si="3"/>
        <v>8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50">
        <v>7</v>
      </c>
      <c r="C46" s="50">
        <v>7</v>
      </c>
      <c r="D46" s="50">
        <v>7</v>
      </c>
      <c r="E46" s="50">
        <v>7</v>
      </c>
      <c r="F46" s="50">
        <v>7</v>
      </c>
      <c r="G46" s="50">
        <v>7</v>
      </c>
      <c r="H46" s="50">
        <v>7</v>
      </c>
      <c r="I46" s="50">
        <v>14</v>
      </c>
      <c r="J46" s="50">
        <v>14</v>
      </c>
      <c r="K46" s="50">
        <v>14</v>
      </c>
      <c r="L46" s="50">
        <v>14</v>
      </c>
      <c r="M46" s="50">
        <v>10</v>
      </c>
      <c r="N46" s="50">
        <v>10</v>
      </c>
      <c r="O46" s="50">
        <v>10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10</v>
      </c>
      <c r="V46" s="50">
        <v>10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10</v>
      </c>
      <c r="AE46" s="50">
        <v>7</v>
      </c>
      <c r="AF46" s="50">
        <v>7</v>
      </c>
      <c r="AG46" s="69">
        <v>14</v>
      </c>
      <c r="AH46" s="56">
        <f t="shared" si="2"/>
        <v>14</v>
      </c>
      <c r="AI46" s="57">
        <f t="shared" si="3"/>
        <v>7</v>
      </c>
      <c r="AK46" s="58"/>
    </row>
    <row r="47" spans="1:88" x14ac:dyDescent="0.25">
      <c r="A47" s="68" t="s">
        <v>55</v>
      </c>
      <c r="B47" s="50">
        <v>9.6</v>
      </c>
      <c r="C47" s="50">
        <v>9.6</v>
      </c>
      <c r="D47" s="50">
        <v>9.6</v>
      </c>
      <c r="E47" s="50">
        <v>9.6</v>
      </c>
      <c r="F47" s="50">
        <v>9.6</v>
      </c>
      <c r="G47" s="50">
        <v>9.6</v>
      </c>
      <c r="H47" s="50">
        <v>9.6</v>
      </c>
      <c r="I47" s="50">
        <v>9.6</v>
      </c>
      <c r="J47" s="50">
        <v>9.6</v>
      </c>
      <c r="K47" s="50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50">
        <v>6.2</v>
      </c>
      <c r="C48" s="50">
        <v>6.2</v>
      </c>
      <c r="D48" s="50">
        <v>6.2</v>
      </c>
      <c r="E48" s="50">
        <v>6.2</v>
      </c>
      <c r="F48" s="50">
        <v>6.2</v>
      </c>
      <c r="G48" s="50">
        <v>6.2</v>
      </c>
      <c r="H48" s="50">
        <v>6.2</v>
      </c>
      <c r="I48" s="50">
        <v>6.2</v>
      </c>
      <c r="J48" s="50">
        <v>6.2</v>
      </c>
      <c r="K48" s="50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9">
        <v>6.2</v>
      </c>
      <c r="AH48" s="56">
        <f t="shared" si="2"/>
        <v>6.2</v>
      </c>
      <c r="AI48" s="57">
        <f t="shared" si="3"/>
        <v>6.2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f t="shared" si="5"/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253.93999999999997</v>
      </c>
      <c r="C50" s="74">
        <f t="shared" si="6"/>
        <v>251.73999999999998</v>
      </c>
      <c r="D50" s="74">
        <f t="shared" si="6"/>
        <v>226.73999999999998</v>
      </c>
      <c r="E50" s="74">
        <f t="shared" si="6"/>
        <v>237.13999999999996</v>
      </c>
      <c r="F50" s="74">
        <f t="shared" si="6"/>
        <v>237.03999999999996</v>
      </c>
      <c r="G50" s="74">
        <f t="shared" si="6"/>
        <v>262.34000000000003</v>
      </c>
      <c r="H50" s="74">
        <f t="shared" si="6"/>
        <v>289.94000000000005</v>
      </c>
      <c r="I50" s="74">
        <f t="shared" si="6"/>
        <v>391.94000000000005</v>
      </c>
      <c r="J50" s="74">
        <f t="shared" si="6"/>
        <v>386.34000000000003</v>
      </c>
      <c r="K50" s="74">
        <f t="shared" si="6"/>
        <v>398.34000000000003</v>
      </c>
      <c r="L50" s="74">
        <f t="shared" si="6"/>
        <v>370.34000000000003</v>
      </c>
      <c r="M50" s="74">
        <f t="shared" si="6"/>
        <v>368.34000000000003</v>
      </c>
      <c r="N50" s="74">
        <f t="shared" si="6"/>
        <v>370.34000000000003</v>
      </c>
      <c r="O50" s="74">
        <f t="shared" si="6"/>
        <v>369.94000000000005</v>
      </c>
      <c r="P50" s="74">
        <f t="shared" si="6"/>
        <v>359.94000000000005</v>
      </c>
      <c r="Q50" s="74">
        <f t="shared" si="6"/>
        <v>362.94000000000005</v>
      </c>
      <c r="R50" s="74">
        <f t="shared" si="6"/>
        <v>382.84000000000003</v>
      </c>
      <c r="S50" s="74">
        <f t="shared" si="6"/>
        <v>393.34000000000003</v>
      </c>
      <c r="T50" s="74">
        <f t="shared" si="6"/>
        <v>393.14000000000004</v>
      </c>
      <c r="U50" s="74">
        <f t="shared" si="6"/>
        <v>399.24</v>
      </c>
      <c r="V50" s="74">
        <f t="shared" si="6"/>
        <v>399.24</v>
      </c>
      <c r="W50" s="74">
        <f t="shared" si="6"/>
        <v>403.24</v>
      </c>
      <c r="X50" s="74">
        <f t="shared" si="6"/>
        <v>403.04000000000008</v>
      </c>
      <c r="Y50" s="74">
        <f t="shared" si="6"/>
        <v>403.04000000000008</v>
      </c>
      <c r="Z50" s="74">
        <f t="shared" si="6"/>
        <v>403.04000000000008</v>
      </c>
      <c r="AA50" s="74">
        <f t="shared" si="6"/>
        <v>394.24000000000007</v>
      </c>
      <c r="AB50" s="74">
        <f t="shared" si="6"/>
        <v>368.24000000000007</v>
      </c>
      <c r="AC50" s="74">
        <f t="shared" si="6"/>
        <v>349.44000000000005</v>
      </c>
      <c r="AD50" s="74">
        <f t="shared" si="6"/>
        <v>290.64</v>
      </c>
      <c r="AE50" s="74">
        <f t="shared" si="6"/>
        <v>280.94000000000005</v>
      </c>
      <c r="AF50" s="74">
        <f t="shared" si="6"/>
        <v>295.94000000000005</v>
      </c>
      <c r="AG50" s="79">
        <f>SUM(AG37:AG49)</f>
        <v>489.91</v>
      </c>
      <c r="AH50" s="56">
        <f t="shared" si="2"/>
        <v>403.24</v>
      </c>
      <c r="AI50" s="57">
        <f t="shared" si="3"/>
        <v>226.73999999999998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20</v>
      </c>
      <c r="M51" s="80">
        <v>10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50">
        <v>40.799999999999997</v>
      </c>
      <c r="X51" s="50">
        <v>24.2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40.799999999999997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3</v>
      </c>
      <c r="M52" s="80">
        <v>4.2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52">
        <v>20.9</v>
      </c>
      <c r="X52" s="52">
        <v>14.8</v>
      </c>
      <c r="Y52" s="50">
        <v>0</v>
      </c>
      <c r="Z52" s="50">
        <v>0</v>
      </c>
      <c r="AA52" s="50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20.9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2</v>
      </c>
      <c r="M53" s="81">
        <v>1.2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2">
        <v>7.5</v>
      </c>
      <c r="X53" s="82">
        <v>5.4</v>
      </c>
      <c r="Y53" s="50">
        <v>0</v>
      </c>
      <c r="Z53" s="50">
        <v>0</v>
      </c>
      <c r="AA53" s="50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7.5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25</v>
      </c>
      <c r="M54" s="74">
        <f t="shared" si="7"/>
        <v>15.399999999999999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69.199999999999989</v>
      </c>
      <c r="X54" s="74">
        <f t="shared" si="7"/>
        <v>44.4</v>
      </c>
      <c r="Y54" s="74">
        <f t="shared" si="7"/>
        <v>0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69.199999999999989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-39.700000000000003</v>
      </c>
      <c r="C57" s="52">
        <v>-18</v>
      </c>
      <c r="D57" s="52">
        <v>-1.3</v>
      </c>
      <c r="E57" s="52">
        <v>-20</v>
      </c>
      <c r="F57" s="52">
        <v>-19.399999999999999</v>
      </c>
      <c r="G57" s="52">
        <v>-18</v>
      </c>
      <c r="H57" s="52">
        <v>-22</v>
      </c>
      <c r="I57" s="52">
        <v>-40</v>
      </c>
      <c r="J57" s="52">
        <v>-8</v>
      </c>
      <c r="K57" s="52">
        <v>-29</v>
      </c>
      <c r="L57" s="52">
        <v>-3</v>
      </c>
      <c r="M57" s="52">
        <v>-10</v>
      </c>
      <c r="N57" s="52">
        <v>-25</v>
      </c>
      <c r="O57" s="52">
        <v>-5</v>
      </c>
      <c r="P57" s="52">
        <v>-10</v>
      </c>
      <c r="Q57" s="52">
        <v>0</v>
      </c>
      <c r="R57" s="52">
        <v>-32</v>
      </c>
      <c r="S57" s="52">
        <v>-13.2</v>
      </c>
      <c r="T57" s="52">
        <v>2.2999999999999998</v>
      </c>
      <c r="U57" s="52">
        <v>-2.5</v>
      </c>
      <c r="V57" s="52">
        <v>6.8</v>
      </c>
      <c r="W57" s="52">
        <v>1.6</v>
      </c>
      <c r="X57" s="52">
        <v>-3.4</v>
      </c>
      <c r="Y57" s="52">
        <v>-14</v>
      </c>
      <c r="Z57" s="52">
        <v>-14</v>
      </c>
      <c r="AA57" s="52">
        <v>-20.2</v>
      </c>
      <c r="AB57" s="52">
        <v>-24.5</v>
      </c>
      <c r="AC57" s="52">
        <v>-19.5</v>
      </c>
      <c r="AD57" s="52">
        <v>-23</v>
      </c>
      <c r="AE57" s="52">
        <v>-15.7</v>
      </c>
      <c r="AF57" s="52">
        <v>-34.6</v>
      </c>
      <c r="AG57" s="86"/>
      <c r="AH57" s="56">
        <f t="shared" si="2"/>
        <v>6.8</v>
      </c>
      <c r="AI57" s="57">
        <f t="shared" si="3"/>
        <v>-40</v>
      </c>
      <c r="AK57" s="58"/>
    </row>
    <row r="58" spans="1:37" x14ac:dyDescent="0.25">
      <c r="A58" s="68" t="s">
        <v>66</v>
      </c>
      <c r="B58" s="62">
        <v>0</v>
      </c>
      <c r="C58" s="62">
        <v>0</v>
      </c>
      <c r="D58" s="62">
        <v>0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62">
        <v>0</v>
      </c>
      <c r="L58" s="6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50">
        <v>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62">
        <v>0</v>
      </c>
      <c r="C60" s="62">
        <v>0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-39.700000000000003</v>
      </c>
      <c r="C66" s="74">
        <f t="shared" ref="C66:AF66" si="8">SUM(C55:C65)</f>
        <v>-18</v>
      </c>
      <c r="D66" s="74">
        <f t="shared" si="8"/>
        <v>-1.3</v>
      </c>
      <c r="E66" s="74">
        <f t="shared" si="8"/>
        <v>-20</v>
      </c>
      <c r="F66" s="74">
        <f t="shared" si="8"/>
        <v>-19.399999999999999</v>
      </c>
      <c r="G66" s="74">
        <f t="shared" si="8"/>
        <v>-18</v>
      </c>
      <c r="H66" s="74">
        <f t="shared" si="8"/>
        <v>-22</v>
      </c>
      <c r="I66" s="74">
        <f t="shared" si="8"/>
        <v>-40</v>
      </c>
      <c r="J66" s="74">
        <f t="shared" si="8"/>
        <v>-8</v>
      </c>
      <c r="K66" s="74">
        <f t="shared" si="8"/>
        <v>-29</v>
      </c>
      <c r="L66" s="74">
        <f t="shared" si="8"/>
        <v>-3</v>
      </c>
      <c r="M66" s="74">
        <f t="shared" si="8"/>
        <v>-10</v>
      </c>
      <c r="N66" s="74">
        <f t="shared" si="8"/>
        <v>-25</v>
      </c>
      <c r="O66" s="74">
        <f t="shared" si="8"/>
        <v>-5</v>
      </c>
      <c r="P66" s="74">
        <f t="shared" si="8"/>
        <v>-10</v>
      </c>
      <c r="Q66" s="74">
        <f t="shared" si="8"/>
        <v>0</v>
      </c>
      <c r="R66" s="74">
        <f t="shared" si="8"/>
        <v>-32</v>
      </c>
      <c r="S66" s="74">
        <f t="shared" si="8"/>
        <v>-13.2</v>
      </c>
      <c r="T66" s="74">
        <f t="shared" si="8"/>
        <v>2.2999999999999998</v>
      </c>
      <c r="U66" s="74">
        <f t="shared" si="8"/>
        <v>-2.5</v>
      </c>
      <c r="V66" s="74">
        <f t="shared" si="8"/>
        <v>6.8</v>
      </c>
      <c r="W66" s="74">
        <f t="shared" si="8"/>
        <v>1.6</v>
      </c>
      <c r="X66" s="74">
        <f t="shared" si="8"/>
        <v>-3.4</v>
      </c>
      <c r="Y66" s="74">
        <f t="shared" si="8"/>
        <v>-14</v>
      </c>
      <c r="Z66" s="74">
        <f t="shared" si="8"/>
        <v>-14</v>
      </c>
      <c r="AA66" s="74">
        <f t="shared" si="8"/>
        <v>-20.2</v>
      </c>
      <c r="AB66" s="74">
        <f t="shared" si="8"/>
        <v>-24.5</v>
      </c>
      <c r="AC66" s="74">
        <f t="shared" si="8"/>
        <v>-19.5</v>
      </c>
      <c r="AD66" s="74">
        <f t="shared" si="8"/>
        <v>-23</v>
      </c>
      <c r="AE66" s="74">
        <f t="shared" si="8"/>
        <v>-15.7</v>
      </c>
      <c r="AF66" s="74">
        <f t="shared" si="8"/>
        <v>-34.6</v>
      </c>
      <c r="AG66" s="79">
        <f>SUM(AG55:AG65)</f>
        <v>0</v>
      </c>
      <c r="AH66" s="56">
        <f t="shared" si="2"/>
        <v>6.8</v>
      </c>
      <c r="AI66" s="57">
        <f t="shared" si="3"/>
        <v>-40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833.54</v>
      </c>
      <c r="C71" s="90">
        <f t="shared" ref="C71:AG71" si="10">C66+C54+C50+C36+C70</f>
        <v>855.04</v>
      </c>
      <c r="D71" s="90">
        <f t="shared" si="10"/>
        <v>826.7399999999999</v>
      </c>
      <c r="E71" s="90">
        <f t="shared" si="10"/>
        <v>818.43999999999994</v>
      </c>
      <c r="F71" s="90">
        <f t="shared" si="10"/>
        <v>818.93999999999994</v>
      </c>
      <c r="G71" s="90">
        <f t="shared" si="10"/>
        <v>865.64</v>
      </c>
      <c r="H71" s="90">
        <f t="shared" si="10"/>
        <v>889.24</v>
      </c>
      <c r="I71" s="90">
        <f t="shared" si="10"/>
        <v>972.24</v>
      </c>
      <c r="J71" s="90">
        <f t="shared" si="10"/>
        <v>1010.64</v>
      </c>
      <c r="K71" s="90">
        <f t="shared" si="10"/>
        <v>1066.6399999999999</v>
      </c>
      <c r="L71" s="90">
        <f t="shared" si="10"/>
        <v>1100.6399999999999</v>
      </c>
      <c r="M71" s="90">
        <f t="shared" si="10"/>
        <v>1072.04</v>
      </c>
      <c r="N71" s="90">
        <f t="shared" si="10"/>
        <v>1043.6399999999999</v>
      </c>
      <c r="O71" s="90">
        <f t="shared" si="10"/>
        <v>1053.24</v>
      </c>
      <c r="P71" s="90">
        <f t="shared" si="10"/>
        <v>1038.24</v>
      </c>
      <c r="Q71" s="90">
        <f t="shared" si="10"/>
        <v>1031.24</v>
      </c>
      <c r="R71" s="90">
        <f t="shared" si="10"/>
        <v>1031.94</v>
      </c>
      <c r="S71" s="90">
        <f t="shared" si="10"/>
        <v>1066.8400000000001</v>
      </c>
      <c r="T71" s="90">
        <f t="shared" si="10"/>
        <v>1111.54</v>
      </c>
      <c r="U71" s="90">
        <f t="shared" si="10"/>
        <v>1109.6400000000001</v>
      </c>
      <c r="V71" s="90">
        <f t="shared" si="10"/>
        <v>1186.3399999999999</v>
      </c>
      <c r="W71" s="90">
        <f t="shared" si="10"/>
        <v>1325.94</v>
      </c>
      <c r="X71" s="90">
        <f t="shared" si="10"/>
        <v>1310.94</v>
      </c>
      <c r="Y71" s="90">
        <f t="shared" si="10"/>
        <v>1253.94</v>
      </c>
      <c r="Z71" s="90">
        <f t="shared" si="10"/>
        <v>1225.94</v>
      </c>
      <c r="AA71" s="90">
        <f t="shared" si="10"/>
        <v>1149.8400000000001</v>
      </c>
      <c r="AB71" s="90">
        <f t="shared" si="10"/>
        <v>1111.04</v>
      </c>
      <c r="AC71" s="90">
        <f t="shared" si="10"/>
        <v>1056.54</v>
      </c>
      <c r="AD71" s="90">
        <f t="shared" si="10"/>
        <v>891.84</v>
      </c>
      <c r="AE71" s="90">
        <f t="shared" si="10"/>
        <v>859.44</v>
      </c>
      <c r="AF71" s="90">
        <f t="shared" si="10"/>
        <v>855.54000000000008</v>
      </c>
      <c r="AG71" s="90">
        <f t="shared" si="10"/>
        <v>2083.14</v>
      </c>
      <c r="AH71" s="56">
        <f t="shared" si="2"/>
        <v>1325.94</v>
      </c>
      <c r="AI71" s="57">
        <f t="shared" si="3"/>
        <v>818.43999999999994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833.54</v>
      </c>
      <c r="C73" s="90">
        <f t="shared" ref="C73:AF73" si="11">C70+C66+C54+C50+C36+C72</f>
        <v>855.04</v>
      </c>
      <c r="D73" s="90">
        <f t="shared" si="11"/>
        <v>826.7399999999999</v>
      </c>
      <c r="E73" s="90">
        <f t="shared" si="11"/>
        <v>818.43999999999994</v>
      </c>
      <c r="F73" s="90">
        <f t="shared" si="11"/>
        <v>818.93999999999994</v>
      </c>
      <c r="G73" s="90">
        <f t="shared" si="11"/>
        <v>865.64</v>
      </c>
      <c r="H73" s="90">
        <f t="shared" si="11"/>
        <v>889.24</v>
      </c>
      <c r="I73" s="90">
        <f t="shared" si="11"/>
        <v>972.24</v>
      </c>
      <c r="J73" s="90">
        <f t="shared" si="11"/>
        <v>1010.64</v>
      </c>
      <c r="K73" s="90">
        <f t="shared" si="11"/>
        <v>1066.6399999999999</v>
      </c>
      <c r="L73" s="90">
        <f t="shared" si="11"/>
        <v>1100.6399999999999</v>
      </c>
      <c r="M73" s="90">
        <f t="shared" si="11"/>
        <v>1072.04</v>
      </c>
      <c r="N73" s="90">
        <f t="shared" si="11"/>
        <v>1043.6399999999999</v>
      </c>
      <c r="O73" s="90">
        <f t="shared" si="11"/>
        <v>1053.24</v>
      </c>
      <c r="P73" s="90">
        <f t="shared" si="11"/>
        <v>1038.24</v>
      </c>
      <c r="Q73" s="90">
        <f t="shared" si="11"/>
        <v>1031.24</v>
      </c>
      <c r="R73" s="90">
        <f t="shared" si="11"/>
        <v>1031.94</v>
      </c>
      <c r="S73" s="90">
        <f t="shared" si="11"/>
        <v>1066.8400000000001</v>
      </c>
      <c r="T73" s="90">
        <f t="shared" si="11"/>
        <v>1111.54</v>
      </c>
      <c r="U73" s="90">
        <f t="shared" si="11"/>
        <v>1109.6400000000001</v>
      </c>
      <c r="V73" s="90">
        <f t="shared" si="11"/>
        <v>1186.3399999999999</v>
      </c>
      <c r="W73" s="90">
        <f t="shared" si="11"/>
        <v>1325.94</v>
      </c>
      <c r="X73" s="90">
        <f t="shared" si="11"/>
        <v>1310.94</v>
      </c>
      <c r="Y73" s="90">
        <f t="shared" si="11"/>
        <v>1253.94</v>
      </c>
      <c r="Z73" s="90">
        <f t="shared" si="11"/>
        <v>1225.94</v>
      </c>
      <c r="AA73" s="90">
        <f t="shared" si="11"/>
        <v>1149.8400000000001</v>
      </c>
      <c r="AB73" s="90">
        <f t="shared" si="11"/>
        <v>1111.04</v>
      </c>
      <c r="AC73" s="90">
        <f t="shared" si="11"/>
        <v>1056.54</v>
      </c>
      <c r="AD73" s="90">
        <f t="shared" si="11"/>
        <v>891.84</v>
      </c>
      <c r="AE73" s="90">
        <f t="shared" si="11"/>
        <v>859.44</v>
      </c>
      <c r="AF73" s="90">
        <f t="shared" si="11"/>
        <v>855.54000000000008</v>
      </c>
      <c r="AG73" s="79">
        <f>AG70+AG66+AG54+AG50+AG36+AG72</f>
        <v>2083.14</v>
      </c>
      <c r="AH73" s="56">
        <f t="shared" si="2"/>
        <v>1325.94</v>
      </c>
      <c r="AI73" s="57">
        <f t="shared" si="3"/>
        <v>818.43999999999994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39.700000000000003</v>
      </c>
      <c r="C77" s="60">
        <f t="shared" ref="C77:AF77" si="15">IF(C57&lt;0,C57*-1,0)</f>
        <v>18</v>
      </c>
      <c r="D77" s="60">
        <f t="shared" si="15"/>
        <v>1.3</v>
      </c>
      <c r="E77" s="60">
        <f t="shared" si="15"/>
        <v>20</v>
      </c>
      <c r="F77" s="60">
        <f t="shared" si="15"/>
        <v>19.399999999999999</v>
      </c>
      <c r="G77" s="60">
        <f t="shared" si="15"/>
        <v>18</v>
      </c>
      <c r="H77" s="60">
        <f t="shared" si="15"/>
        <v>22</v>
      </c>
      <c r="I77" s="60">
        <f t="shared" si="15"/>
        <v>40</v>
      </c>
      <c r="J77" s="60">
        <f t="shared" si="15"/>
        <v>8</v>
      </c>
      <c r="K77" s="60">
        <f t="shared" si="15"/>
        <v>29</v>
      </c>
      <c r="L77" s="60">
        <f t="shared" si="15"/>
        <v>3</v>
      </c>
      <c r="M77" s="60">
        <f t="shared" si="15"/>
        <v>10</v>
      </c>
      <c r="N77" s="60">
        <f t="shared" si="15"/>
        <v>25</v>
      </c>
      <c r="O77" s="60">
        <f t="shared" si="15"/>
        <v>5</v>
      </c>
      <c r="P77" s="60">
        <f t="shared" si="15"/>
        <v>10</v>
      </c>
      <c r="Q77" s="60">
        <f t="shared" si="15"/>
        <v>0</v>
      </c>
      <c r="R77" s="60">
        <f t="shared" si="15"/>
        <v>32</v>
      </c>
      <c r="S77" s="60">
        <f t="shared" si="15"/>
        <v>13.2</v>
      </c>
      <c r="T77" s="60">
        <f t="shared" si="15"/>
        <v>0</v>
      </c>
      <c r="U77" s="60">
        <f t="shared" si="15"/>
        <v>2.5</v>
      </c>
      <c r="V77" s="60">
        <f t="shared" si="15"/>
        <v>0</v>
      </c>
      <c r="W77" s="60">
        <f t="shared" si="15"/>
        <v>0</v>
      </c>
      <c r="X77" s="60">
        <f t="shared" si="15"/>
        <v>3.4</v>
      </c>
      <c r="Y77" s="60">
        <f t="shared" si="15"/>
        <v>14</v>
      </c>
      <c r="Z77" s="60">
        <f t="shared" si="15"/>
        <v>14</v>
      </c>
      <c r="AA77" s="60">
        <f t="shared" si="15"/>
        <v>20.2</v>
      </c>
      <c r="AB77" s="60">
        <f t="shared" si="15"/>
        <v>24.5</v>
      </c>
      <c r="AC77" s="60">
        <f t="shared" si="15"/>
        <v>19.5</v>
      </c>
      <c r="AD77" s="60">
        <f t="shared" si="15"/>
        <v>23</v>
      </c>
      <c r="AE77" s="60">
        <f t="shared" si="15"/>
        <v>15.7</v>
      </c>
      <c r="AF77" s="60">
        <f t="shared" si="15"/>
        <v>34.6</v>
      </c>
      <c r="AG77" s="93"/>
      <c r="AH77" s="56">
        <f t="shared" ref="AH77:AH89" si="16">MAX(B77:AF77)</f>
        <v>40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39.700000000000003</v>
      </c>
      <c r="C80" s="74">
        <f t="shared" si="19"/>
        <v>18</v>
      </c>
      <c r="D80" s="74">
        <f t="shared" si="19"/>
        <v>1.3</v>
      </c>
      <c r="E80" s="74">
        <f t="shared" si="19"/>
        <v>20</v>
      </c>
      <c r="F80" s="74">
        <f t="shared" si="19"/>
        <v>19.399999999999999</v>
      </c>
      <c r="G80" s="74">
        <f t="shared" si="19"/>
        <v>18</v>
      </c>
      <c r="H80" s="74">
        <f t="shared" si="19"/>
        <v>22</v>
      </c>
      <c r="I80" s="74">
        <f t="shared" si="19"/>
        <v>40</v>
      </c>
      <c r="J80" s="74">
        <f t="shared" si="19"/>
        <v>8</v>
      </c>
      <c r="K80" s="74">
        <f t="shared" si="19"/>
        <v>29</v>
      </c>
      <c r="L80" s="74">
        <f t="shared" si="19"/>
        <v>3</v>
      </c>
      <c r="M80" s="74">
        <f t="shared" si="19"/>
        <v>10</v>
      </c>
      <c r="N80" s="74">
        <f t="shared" si="19"/>
        <v>25</v>
      </c>
      <c r="O80" s="74">
        <f t="shared" si="19"/>
        <v>5</v>
      </c>
      <c r="P80" s="74">
        <f t="shared" si="19"/>
        <v>10</v>
      </c>
      <c r="Q80" s="74">
        <f t="shared" si="19"/>
        <v>0</v>
      </c>
      <c r="R80" s="74">
        <f t="shared" si="19"/>
        <v>32</v>
      </c>
      <c r="S80" s="74">
        <f t="shared" si="19"/>
        <v>13.2</v>
      </c>
      <c r="T80" s="74">
        <f t="shared" si="19"/>
        <v>0</v>
      </c>
      <c r="U80" s="74">
        <f t="shared" si="19"/>
        <v>2.5</v>
      </c>
      <c r="V80" s="74">
        <f t="shared" si="19"/>
        <v>0</v>
      </c>
      <c r="W80" s="74">
        <f t="shared" si="19"/>
        <v>0</v>
      </c>
      <c r="X80" s="74">
        <f t="shared" si="19"/>
        <v>3.4</v>
      </c>
      <c r="Y80" s="74">
        <f t="shared" si="19"/>
        <v>14</v>
      </c>
      <c r="Z80" s="74">
        <f t="shared" si="19"/>
        <v>14</v>
      </c>
      <c r="AA80" s="74">
        <f t="shared" si="19"/>
        <v>20.2</v>
      </c>
      <c r="AB80" s="74">
        <f t="shared" si="19"/>
        <v>24.5</v>
      </c>
      <c r="AC80" s="74">
        <f t="shared" si="19"/>
        <v>19.5</v>
      </c>
      <c r="AD80" s="74">
        <f t="shared" si="19"/>
        <v>23</v>
      </c>
      <c r="AE80" s="74">
        <f t="shared" si="19"/>
        <v>15.7</v>
      </c>
      <c r="AF80" s="74">
        <f t="shared" si="19"/>
        <v>34.6</v>
      </c>
      <c r="AG80" s="79">
        <f t="shared" si="19"/>
        <v>0</v>
      </c>
      <c r="AH80" s="56">
        <f t="shared" si="16"/>
        <v>40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1746.48</v>
      </c>
      <c r="C81" s="74">
        <f t="shared" si="20"/>
        <v>1746.08</v>
      </c>
      <c r="D81" s="74">
        <f t="shared" si="20"/>
        <v>1656.0799999999997</v>
      </c>
      <c r="E81" s="74">
        <f t="shared" si="20"/>
        <v>1676.8799999999999</v>
      </c>
      <c r="F81" s="74">
        <f t="shared" si="20"/>
        <v>1676.68</v>
      </c>
      <c r="G81" s="74">
        <f t="shared" si="20"/>
        <v>1767.28</v>
      </c>
      <c r="H81" s="74">
        <f t="shared" si="20"/>
        <v>1822.48</v>
      </c>
      <c r="I81" s="74">
        <f t="shared" si="20"/>
        <v>2024.48</v>
      </c>
      <c r="J81" s="74">
        <f t="shared" si="20"/>
        <v>2037.28</v>
      </c>
      <c r="K81" s="74">
        <f t="shared" si="20"/>
        <v>2191.2799999999997</v>
      </c>
      <c r="L81" s="74">
        <f t="shared" si="20"/>
        <v>2207.2799999999997</v>
      </c>
      <c r="M81" s="74">
        <f t="shared" si="20"/>
        <v>2164.08</v>
      </c>
      <c r="N81" s="74">
        <f t="shared" si="20"/>
        <v>2137.2799999999997</v>
      </c>
      <c r="O81" s="74">
        <f t="shared" si="20"/>
        <v>2116.48</v>
      </c>
      <c r="P81" s="74">
        <f t="shared" si="20"/>
        <v>2096.48</v>
      </c>
      <c r="Q81" s="74">
        <f t="shared" si="20"/>
        <v>2062.48</v>
      </c>
      <c r="R81" s="74">
        <f t="shared" si="20"/>
        <v>2127.88</v>
      </c>
      <c r="S81" s="74">
        <f t="shared" si="20"/>
        <v>2160.08</v>
      </c>
      <c r="T81" s="74">
        <f t="shared" si="20"/>
        <v>2223.08</v>
      </c>
      <c r="U81" s="74">
        <f t="shared" si="20"/>
        <v>2224.2800000000002</v>
      </c>
      <c r="V81" s="74">
        <f t="shared" si="20"/>
        <v>2372.6799999999998</v>
      </c>
      <c r="W81" s="74">
        <f t="shared" si="20"/>
        <v>2651.88</v>
      </c>
      <c r="X81" s="74">
        <f t="shared" si="20"/>
        <v>2628.6800000000003</v>
      </c>
      <c r="Y81" s="74">
        <f t="shared" si="20"/>
        <v>2535.88</v>
      </c>
      <c r="Z81" s="74">
        <f t="shared" si="20"/>
        <v>2479.88</v>
      </c>
      <c r="AA81" s="74">
        <f t="shared" si="20"/>
        <v>2340.08</v>
      </c>
      <c r="AB81" s="74">
        <f t="shared" si="20"/>
        <v>2271.08</v>
      </c>
      <c r="AC81" s="74">
        <f t="shared" si="20"/>
        <v>2152.08</v>
      </c>
      <c r="AD81" s="74">
        <f t="shared" si="20"/>
        <v>1829.68</v>
      </c>
      <c r="AE81" s="74">
        <f t="shared" si="20"/>
        <v>1750.2800000000002</v>
      </c>
      <c r="AF81" s="74">
        <f t="shared" si="20"/>
        <v>1780.28</v>
      </c>
      <c r="AG81" s="79">
        <f t="shared" si="20"/>
        <v>4238.08</v>
      </c>
      <c r="AH81" s="56">
        <f t="shared" si="16"/>
        <v>2651.88</v>
      </c>
      <c r="AI81" s="57">
        <f t="shared" si="17"/>
        <v>1656.0799999999997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</v>
      </c>
      <c r="C82" s="96">
        <v>49.975999999999999</v>
      </c>
      <c r="D82" s="96">
        <v>50.029000000000003</v>
      </c>
      <c r="E82" s="96">
        <v>50</v>
      </c>
      <c r="F82" s="96">
        <v>50.03</v>
      </c>
      <c r="G82" s="96">
        <v>49.969000000000001</v>
      </c>
      <c r="H82" s="96">
        <v>50</v>
      </c>
      <c r="I82" s="96">
        <v>49.85</v>
      </c>
      <c r="J82" s="96">
        <v>50</v>
      </c>
      <c r="K82" s="96">
        <v>50</v>
      </c>
      <c r="L82" s="96">
        <v>50.03</v>
      </c>
      <c r="M82" s="96">
        <v>49.99</v>
      </c>
      <c r="N82" s="96">
        <v>50.03</v>
      </c>
      <c r="O82" s="96">
        <v>49.929000000000002</v>
      </c>
      <c r="P82" s="96">
        <v>50.051000000000002</v>
      </c>
      <c r="Q82" s="96">
        <v>50.033999999999999</v>
      </c>
      <c r="R82" s="96">
        <v>49.991</v>
      </c>
      <c r="S82" s="96">
        <v>49.981999999999999</v>
      </c>
      <c r="T82" s="96">
        <v>49.994999999999997</v>
      </c>
      <c r="U82" s="96">
        <v>49.942999999999998</v>
      </c>
      <c r="V82" s="96">
        <v>50.04</v>
      </c>
      <c r="W82" s="96">
        <v>50.000999999999998</v>
      </c>
      <c r="X82" s="96">
        <v>50.027000000000001</v>
      </c>
      <c r="Y82" s="96">
        <v>50.104999999999997</v>
      </c>
      <c r="Z82" s="96">
        <v>50.104999999999997</v>
      </c>
      <c r="AA82" s="96">
        <v>50.048000000000002</v>
      </c>
      <c r="AB82" s="96">
        <v>50.106000000000002</v>
      </c>
      <c r="AC82" s="96">
        <v>49.994999999999997</v>
      </c>
      <c r="AD82" s="96">
        <v>49.973999999999997</v>
      </c>
      <c r="AE82" s="96">
        <v>50.033000000000001</v>
      </c>
      <c r="AF82" s="97">
        <v>49.933999999999997</v>
      </c>
      <c r="AG82" s="98"/>
      <c r="AH82" s="56">
        <f t="shared" si="16"/>
        <v>50.106000000000002</v>
      </c>
      <c r="AI82" s="57">
        <f t="shared" si="17"/>
        <v>49.85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</v>
      </c>
      <c r="C83" s="52">
        <v>126</v>
      </c>
      <c r="D83" s="52">
        <v>126</v>
      </c>
      <c r="E83" s="52">
        <v>127</v>
      </c>
      <c r="F83" s="52">
        <v>126.5</v>
      </c>
      <c r="G83" s="52">
        <v>125.6</v>
      </c>
      <c r="H83" s="52">
        <v>125</v>
      </c>
      <c r="I83" s="52">
        <v>125</v>
      </c>
      <c r="J83" s="52">
        <v>125</v>
      </c>
      <c r="K83" s="52">
        <v>124</v>
      </c>
      <c r="L83" s="52">
        <v>123</v>
      </c>
      <c r="M83" s="52">
        <v>121.9</v>
      </c>
      <c r="N83" s="52">
        <v>122.7</v>
      </c>
      <c r="O83" s="52">
        <v>122.4</v>
      </c>
      <c r="P83" s="52">
        <v>123</v>
      </c>
      <c r="Q83" s="52">
        <v>123.7</v>
      </c>
      <c r="R83" s="52">
        <v>124.2</v>
      </c>
      <c r="S83" s="52">
        <v>123</v>
      </c>
      <c r="T83" s="100">
        <v>123</v>
      </c>
      <c r="U83" s="100">
        <v>125.1</v>
      </c>
      <c r="V83" s="100">
        <v>123.4</v>
      </c>
      <c r="W83" s="100">
        <v>125.5</v>
      </c>
      <c r="X83" s="100">
        <v>125.1</v>
      </c>
      <c r="Y83" s="100">
        <v>126.9</v>
      </c>
      <c r="Z83" s="100">
        <v>126.9</v>
      </c>
      <c r="AA83" s="100">
        <v>127</v>
      </c>
      <c r="AB83" s="52">
        <v>126.7</v>
      </c>
      <c r="AC83" s="52">
        <v>126.8</v>
      </c>
      <c r="AD83" s="52">
        <v>127</v>
      </c>
      <c r="AE83" s="52">
        <v>127</v>
      </c>
      <c r="AF83" s="101">
        <v>127</v>
      </c>
      <c r="AG83" s="102"/>
      <c r="AH83" s="56">
        <f t="shared" si="16"/>
        <v>127</v>
      </c>
      <c r="AI83" s="57">
        <f t="shared" si="17"/>
        <v>121.9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</v>
      </c>
      <c r="C84" s="52">
        <v>130</v>
      </c>
      <c r="D84" s="52">
        <v>130</v>
      </c>
      <c r="E84" s="52">
        <v>130</v>
      </c>
      <c r="F84" s="52">
        <v>129.69999999999999</v>
      </c>
      <c r="G84" s="52">
        <v>128.5</v>
      </c>
      <c r="H84" s="52">
        <v>127</v>
      </c>
      <c r="I84" s="52">
        <v>128</v>
      </c>
      <c r="J84" s="52">
        <v>128</v>
      </c>
      <c r="K84" s="52">
        <v>126</v>
      </c>
      <c r="L84" s="52">
        <v>125</v>
      </c>
      <c r="M84" s="52">
        <v>125</v>
      </c>
      <c r="N84" s="52">
        <v>125.4</v>
      </c>
      <c r="O84" s="52">
        <v>125.6</v>
      </c>
      <c r="P84" s="52">
        <v>126.1</v>
      </c>
      <c r="Q84" s="52">
        <v>126.3</v>
      </c>
      <c r="R84" s="52">
        <v>127.4</v>
      </c>
      <c r="S84" s="52">
        <v>126.6</v>
      </c>
      <c r="T84" s="100">
        <v>126.8</v>
      </c>
      <c r="U84" s="100">
        <v>128.1</v>
      </c>
      <c r="V84" s="100">
        <v>126.7</v>
      </c>
      <c r="W84" s="100">
        <v>128.30000000000001</v>
      </c>
      <c r="X84" s="100">
        <v>127.8</v>
      </c>
      <c r="Y84" s="100">
        <v>129.30000000000001</v>
      </c>
      <c r="Z84" s="100">
        <v>129.30000000000001</v>
      </c>
      <c r="AA84" s="100">
        <v>129.80000000000001</v>
      </c>
      <c r="AB84" s="52">
        <v>129.69999999999999</v>
      </c>
      <c r="AC84" s="52">
        <v>129.9</v>
      </c>
      <c r="AD84" s="52">
        <v>130</v>
      </c>
      <c r="AE84" s="52">
        <v>130</v>
      </c>
      <c r="AF84" s="101">
        <v>130</v>
      </c>
      <c r="AG84" s="102"/>
      <c r="AH84" s="56">
        <f t="shared" si="16"/>
        <v>130</v>
      </c>
      <c r="AI84" s="57">
        <f t="shared" si="17"/>
        <v>125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100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100"/>
      <c r="Y86" s="100"/>
      <c r="Z86" s="100"/>
      <c r="AA86" s="100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134</v>
      </c>
      <c r="C87" s="104">
        <v>134</v>
      </c>
      <c r="D87" s="104">
        <v>134</v>
      </c>
      <c r="E87" s="104">
        <v>132</v>
      </c>
      <c r="F87" s="104">
        <v>133.6</v>
      </c>
      <c r="G87" s="104">
        <v>131.5</v>
      </c>
      <c r="H87" s="104">
        <v>131</v>
      </c>
      <c r="I87" s="104">
        <v>134</v>
      </c>
      <c r="J87" s="104">
        <v>134</v>
      </c>
      <c r="K87" s="104">
        <v>133.5</v>
      </c>
      <c r="L87" s="104">
        <v>131</v>
      </c>
      <c r="M87" s="104">
        <v>133.1</v>
      </c>
      <c r="N87" s="104">
        <v>133.1</v>
      </c>
      <c r="O87" s="104">
        <v>134.30000000000001</v>
      </c>
      <c r="P87" s="104">
        <v>134.6</v>
      </c>
      <c r="Q87" s="104">
        <v>134.1</v>
      </c>
      <c r="R87" s="104">
        <v>132.9</v>
      </c>
      <c r="S87" s="104">
        <v>130.6</v>
      </c>
      <c r="T87" s="104">
        <v>130.30000000000001</v>
      </c>
      <c r="U87" s="104">
        <v>136.1</v>
      </c>
      <c r="V87" s="104">
        <v>135.30000000000001</v>
      </c>
      <c r="W87" s="100">
        <v>133.4</v>
      </c>
      <c r="X87" s="100">
        <v>132.6</v>
      </c>
      <c r="Y87" s="100">
        <v>135</v>
      </c>
      <c r="Z87" s="100">
        <v>135</v>
      </c>
      <c r="AA87" s="100">
        <v>136.19999999999999</v>
      </c>
      <c r="AB87" s="104">
        <v>133.69999999999999</v>
      </c>
      <c r="AC87" s="104">
        <v>134</v>
      </c>
      <c r="AD87" s="104">
        <v>134</v>
      </c>
      <c r="AE87" s="104">
        <v>130</v>
      </c>
      <c r="AF87" s="105">
        <v>132</v>
      </c>
      <c r="AG87" s="106"/>
      <c r="AH87" s="56">
        <f t="shared" si="16"/>
        <v>136.19999999999999</v>
      </c>
      <c r="AI87" s="57">
        <f t="shared" si="17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134</v>
      </c>
      <c r="C88" s="52">
        <v>134</v>
      </c>
      <c r="D88" s="52">
        <v>134</v>
      </c>
      <c r="E88" s="52">
        <v>132</v>
      </c>
      <c r="F88" s="52">
        <v>133.6</v>
      </c>
      <c r="G88" s="52">
        <v>130</v>
      </c>
      <c r="H88" s="52">
        <v>130</v>
      </c>
      <c r="I88" s="52">
        <v>133</v>
      </c>
      <c r="J88" s="52">
        <v>133</v>
      </c>
      <c r="K88" s="52">
        <v>130</v>
      </c>
      <c r="L88" s="52">
        <v>126</v>
      </c>
      <c r="M88" s="52">
        <v>132.19999999999999</v>
      </c>
      <c r="N88" s="52">
        <v>133.1</v>
      </c>
      <c r="O88" s="52">
        <v>133.5</v>
      </c>
      <c r="P88" s="52">
        <v>135.19999999999999</v>
      </c>
      <c r="Q88" s="52">
        <v>129.6</v>
      </c>
      <c r="R88" s="52">
        <v>131.80000000000001</v>
      </c>
      <c r="S88" s="52">
        <v>128</v>
      </c>
      <c r="T88" s="52">
        <v>127.5</v>
      </c>
      <c r="U88" s="52">
        <v>135</v>
      </c>
      <c r="V88" s="52">
        <v>133.9</v>
      </c>
      <c r="W88" s="100">
        <v>130.6</v>
      </c>
      <c r="X88" s="100">
        <v>129.80000000000001</v>
      </c>
      <c r="Y88" s="100">
        <v>133</v>
      </c>
      <c r="Z88" s="100">
        <v>133</v>
      </c>
      <c r="AA88" s="100">
        <v>134</v>
      </c>
      <c r="AB88" s="52">
        <v>129.9</v>
      </c>
      <c r="AC88" s="52">
        <v>131</v>
      </c>
      <c r="AD88" s="52">
        <v>132</v>
      </c>
      <c r="AE88" s="52">
        <v>129</v>
      </c>
      <c r="AF88" s="101">
        <v>130</v>
      </c>
      <c r="AG88" s="102"/>
      <c r="AH88" s="56">
        <f t="shared" si="16"/>
        <v>135.19999999999999</v>
      </c>
      <c r="AI88" s="57">
        <f t="shared" si="17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66.8</v>
      </c>
      <c r="C89" s="107">
        <v>66.8</v>
      </c>
      <c r="D89" s="107">
        <v>66.8</v>
      </c>
      <c r="E89" s="107">
        <v>66.7</v>
      </c>
      <c r="F89" s="107">
        <v>66.599999999999994</v>
      </c>
      <c r="G89" s="107">
        <v>65.900000000000006</v>
      </c>
      <c r="H89" s="107">
        <v>65</v>
      </c>
      <c r="I89" s="107">
        <v>65.8</v>
      </c>
      <c r="J89" s="107">
        <v>65.8</v>
      </c>
      <c r="K89" s="107">
        <v>64.7</v>
      </c>
      <c r="L89" s="107">
        <v>64.7</v>
      </c>
      <c r="M89" s="107">
        <v>64.2</v>
      </c>
      <c r="N89" s="107">
        <v>64.5</v>
      </c>
      <c r="O89" s="107">
        <v>64.400000000000006</v>
      </c>
      <c r="P89" s="107">
        <v>65</v>
      </c>
      <c r="Q89" s="107">
        <v>64.8</v>
      </c>
      <c r="R89" s="107">
        <v>65.3</v>
      </c>
      <c r="S89" s="107">
        <v>64.8</v>
      </c>
      <c r="T89" s="107">
        <v>64.8</v>
      </c>
      <c r="U89" s="107">
        <v>65.7</v>
      </c>
      <c r="V89" s="107">
        <v>64.8</v>
      </c>
      <c r="W89" s="107">
        <v>65.8</v>
      </c>
      <c r="X89" s="107">
        <v>65.7</v>
      </c>
      <c r="Y89" s="107">
        <v>66.5</v>
      </c>
      <c r="Z89" s="107">
        <v>66.5</v>
      </c>
      <c r="AA89" s="107">
        <v>66.7</v>
      </c>
      <c r="AB89" s="107">
        <v>66.5</v>
      </c>
      <c r="AC89" s="107">
        <v>66.7</v>
      </c>
      <c r="AD89" s="107">
        <v>66</v>
      </c>
      <c r="AE89" s="107">
        <v>66.599999999999994</v>
      </c>
      <c r="AF89" s="108">
        <v>66.7</v>
      </c>
      <c r="AG89" s="109"/>
      <c r="AH89" s="56">
        <f t="shared" si="16"/>
        <v>66.8</v>
      </c>
      <c r="AI89" s="57">
        <f t="shared" si="17"/>
        <v>64.2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113.93999999999998</v>
      </c>
      <c r="C91" s="114">
        <f t="shared" ref="C91:AF91" si="21">SUM(C14,C17,C20:C21,C40,C42:C43,C45,C47,C92:C95,C100,C106,C112,C121,C123,C135,C142,C145:C146,C153,C155,C157,C161:C163,C165:C167,C172,C178:C179,C181:C183,C191,C196)</f>
        <v>113.93999999999998</v>
      </c>
      <c r="D91" s="114">
        <f t="shared" si="21"/>
        <v>113.74</v>
      </c>
      <c r="E91" s="114">
        <f t="shared" si="21"/>
        <v>122.13999999999997</v>
      </c>
      <c r="F91" s="115">
        <f t="shared" si="21"/>
        <v>129.53999999999996</v>
      </c>
      <c r="G91" s="115">
        <f t="shared" si="21"/>
        <v>146.23999999999998</v>
      </c>
      <c r="H91" s="115">
        <f t="shared" si="21"/>
        <v>182.23999999999995</v>
      </c>
      <c r="I91" s="115">
        <f t="shared" si="21"/>
        <v>201.73999999999995</v>
      </c>
      <c r="J91" s="115">
        <f t="shared" si="21"/>
        <v>236.73999999999998</v>
      </c>
      <c r="K91" s="115">
        <f t="shared" si="21"/>
        <v>236.73999999999998</v>
      </c>
      <c r="L91" s="115">
        <f t="shared" si="21"/>
        <v>275.14000000000004</v>
      </c>
      <c r="M91" s="115">
        <f t="shared" si="21"/>
        <v>256.83999999999997</v>
      </c>
      <c r="N91" s="115">
        <f t="shared" si="21"/>
        <v>252.03999999999996</v>
      </c>
      <c r="O91" s="115">
        <f t="shared" si="21"/>
        <v>245.43999999999994</v>
      </c>
      <c r="P91" s="115">
        <f t="shared" si="21"/>
        <v>239.64</v>
      </c>
      <c r="Q91" s="115">
        <f t="shared" si="21"/>
        <v>230.23999999999995</v>
      </c>
      <c r="R91" s="115">
        <f t="shared" si="21"/>
        <v>234.03999999999996</v>
      </c>
      <c r="S91" s="115">
        <f t="shared" si="21"/>
        <v>237.63999999999996</v>
      </c>
      <c r="T91" s="115">
        <f t="shared" si="21"/>
        <v>245.53999999999996</v>
      </c>
      <c r="U91" s="115">
        <f t="shared" si="21"/>
        <v>254.33999999999997</v>
      </c>
      <c r="V91" s="115">
        <f t="shared" si="21"/>
        <v>288.14000000000004</v>
      </c>
      <c r="W91" s="115">
        <f t="shared" si="21"/>
        <v>326.34000000000003</v>
      </c>
      <c r="X91" s="115">
        <f t="shared" si="21"/>
        <v>315.34000000000003</v>
      </c>
      <c r="Y91" s="115">
        <f t="shared" si="21"/>
        <v>303.44000000000005</v>
      </c>
      <c r="Z91" s="115">
        <f t="shared" si="21"/>
        <v>303.44000000000005</v>
      </c>
      <c r="AA91" s="115">
        <f t="shared" si="21"/>
        <v>260.54000000000008</v>
      </c>
      <c r="AB91" s="115">
        <f t="shared" si="21"/>
        <v>236.03999999999996</v>
      </c>
      <c r="AC91" s="115">
        <f t="shared" si="21"/>
        <v>212.73999999999995</v>
      </c>
      <c r="AD91" s="115">
        <f t="shared" si="21"/>
        <v>165.83999999999995</v>
      </c>
      <c r="AE91" s="115">
        <f t="shared" si="21"/>
        <v>147.63999999999999</v>
      </c>
      <c r="AF91" s="115">
        <f t="shared" si="21"/>
        <v>133.43999999999997</v>
      </c>
      <c r="AG91" s="116"/>
      <c r="AH91" s="56">
        <f>MAX(B91:AF91)</f>
        <v>326.34000000000003</v>
      </c>
      <c r="AI91" s="57">
        <f>MIN(B91:AF91)</f>
        <v>113.74</v>
      </c>
    </row>
    <row r="92" spans="1:88" x14ac:dyDescent="0.25">
      <c r="A92" s="117" t="s">
        <v>96</v>
      </c>
      <c r="B92" s="60">
        <v>23.2</v>
      </c>
      <c r="C92" s="60">
        <v>23.2</v>
      </c>
      <c r="D92" s="60">
        <v>30.8</v>
      </c>
      <c r="E92" s="60">
        <v>33</v>
      </c>
      <c r="F92" s="118">
        <v>34.200000000000003</v>
      </c>
      <c r="G92" s="118">
        <v>34.5</v>
      </c>
      <c r="H92" s="118">
        <v>49</v>
      </c>
      <c r="I92" s="118">
        <v>45.2</v>
      </c>
      <c r="J92" s="118">
        <v>48</v>
      </c>
      <c r="K92" s="118">
        <v>48</v>
      </c>
      <c r="L92" s="54">
        <v>48.9</v>
      </c>
      <c r="M92" s="118">
        <v>55.6</v>
      </c>
      <c r="N92" s="118">
        <v>58.7</v>
      </c>
      <c r="O92" s="118">
        <v>61.8</v>
      </c>
      <c r="P92" s="118">
        <v>58.2</v>
      </c>
      <c r="Q92" s="118">
        <v>48.3</v>
      </c>
      <c r="R92" s="118">
        <v>50.5</v>
      </c>
      <c r="S92" s="118">
        <v>50.9</v>
      </c>
      <c r="T92" s="54">
        <v>45.1</v>
      </c>
      <c r="U92" s="54">
        <v>45.4</v>
      </c>
      <c r="V92" s="54">
        <v>41.6</v>
      </c>
      <c r="W92" s="118">
        <v>22.2</v>
      </c>
      <c r="X92" s="118">
        <v>21.2</v>
      </c>
      <c r="Y92" s="118">
        <v>37.200000000000003</v>
      </c>
      <c r="Z92" s="118">
        <v>37.200000000000003</v>
      </c>
      <c r="AA92" s="54">
        <v>46.4</v>
      </c>
      <c r="AB92" s="54">
        <v>41.9</v>
      </c>
      <c r="AC92" s="54">
        <v>48.6</v>
      </c>
      <c r="AD92" s="54">
        <v>30.6</v>
      </c>
      <c r="AE92" s="54">
        <v>36</v>
      </c>
      <c r="AF92" s="119">
        <v>38.4</v>
      </c>
      <c r="AG92" s="120">
        <v>75</v>
      </c>
      <c r="AH92" s="56">
        <f t="shared" ref="AH92:AH97" si="22">IF(ABS(MAX(B92:AF92))&gt;ABS(MIN(B92:AF92)),MAX(B92:AF92),MIN(B92:AF92))</f>
        <v>61.8</v>
      </c>
      <c r="AI92" s="121">
        <f t="shared" ref="AI92:AI97" si="23">INDEX($B$9:$AF$9,1,MATCH(AH92,B92:AF92,0))</f>
        <v>0.45833333333333298</v>
      </c>
    </row>
    <row r="93" spans="1:88" x14ac:dyDescent="0.25">
      <c r="A93" s="122" t="s">
        <v>97</v>
      </c>
      <c r="B93" s="62">
        <v>-81</v>
      </c>
      <c r="C93" s="62">
        <v>-81</v>
      </c>
      <c r="D93" s="62">
        <v>-76</v>
      </c>
      <c r="E93" s="62">
        <v>-81</v>
      </c>
      <c r="F93" s="62">
        <v>-77</v>
      </c>
      <c r="G93" s="62">
        <v>-72</v>
      </c>
      <c r="H93" s="62">
        <v>-65.400000000000006</v>
      </c>
      <c r="I93" s="62">
        <v>-72</v>
      </c>
      <c r="J93" s="62">
        <v>-59</v>
      </c>
      <c r="K93" s="62">
        <v>-59</v>
      </c>
      <c r="L93" s="62">
        <v>-36</v>
      </c>
      <c r="M93" s="62">
        <f>-19-23.3</f>
        <v>-42.3</v>
      </c>
      <c r="N93" s="62">
        <f>-19-24.3</f>
        <v>-43.3</v>
      </c>
      <c r="O93" s="62">
        <v>-48</v>
      </c>
      <c r="P93" s="62">
        <v>-52</v>
      </c>
      <c r="Q93" s="62">
        <v>-51</v>
      </c>
      <c r="R93" s="62">
        <v>-62</v>
      </c>
      <c r="S93" s="62">
        <v>-66</v>
      </c>
      <c r="T93" s="62">
        <v>-64</v>
      </c>
      <c r="U93" s="62">
        <v>-59</v>
      </c>
      <c r="V93" s="62">
        <v>-50</v>
      </c>
      <c r="W93" s="62">
        <v>-28</v>
      </c>
      <c r="X93" s="62">
        <v>-35</v>
      </c>
      <c r="Y93" s="62">
        <v>-39</v>
      </c>
      <c r="Z93" s="62">
        <v>-39</v>
      </c>
      <c r="AA93" s="52">
        <v>-56.6</v>
      </c>
      <c r="AB93" s="52">
        <v>-62.5</v>
      </c>
      <c r="AC93" s="52">
        <v>-65.599999999999994</v>
      </c>
      <c r="AD93" s="52">
        <v>-70</v>
      </c>
      <c r="AE93" s="52">
        <v>-78</v>
      </c>
      <c r="AF93" s="123">
        <v>-85</v>
      </c>
      <c r="AG93" s="120">
        <v>240</v>
      </c>
      <c r="AH93" s="56">
        <f t="shared" si="22"/>
        <v>-85</v>
      </c>
      <c r="AI93" s="121">
        <f t="shared" si="23"/>
        <v>1</v>
      </c>
    </row>
    <row r="94" spans="1:88" x14ac:dyDescent="0.25">
      <c r="A94" s="122" t="s">
        <v>98</v>
      </c>
      <c r="B94" s="62">
        <v>-8.3000000000000007</v>
      </c>
      <c r="C94" s="62">
        <v>-8.3000000000000007</v>
      </c>
      <c r="D94" s="62">
        <v>-8.5</v>
      </c>
      <c r="E94" s="62">
        <v>-3.3</v>
      </c>
      <c r="F94" s="62">
        <v>-4.4000000000000004</v>
      </c>
      <c r="G94" s="62">
        <v>-3.7</v>
      </c>
      <c r="H94" s="62">
        <v>3.6</v>
      </c>
      <c r="I94" s="62">
        <v>0</v>
      </c>
      <c r="J94" s="62">
        <v>3.3</v>
      </c>
      <c r="K94" s="62">
        <v>3.3</v>
      </c>
      <c r="L94" s="62">
        <v>12.8</v>
      </c>
      <c r="M94" s="62">
        <v>5.8</v>
      </c>
      <c r="N94" s="62">
        <v>5.5</v>
      </c>
      <c r="O94" s="62">
        <v>2.2000000000000002</v>
      </c>
      <c r="P94" s="62">
        <v>6</v>
      </c>
      <c r="Q94" s="62">
        <v>4.5</v>
      </c>
      <c r="R94" s="62">
        <v>4.2</v>
      </c>
      <c r="S94" s="62">
        <v>2.7</v>
      </c>
      <c r="T94" s="62">
        <v>1.6</v>
      </c>
      <c r="U94" s="62">
        <v>7.1</v>
      </c>
      <c r="V94" s="62">
        <v>7.4</v>
      </c>
      <c r="W94" s="62">
        <v>30.9</v>
      </c>
      <c r="X94" s="62">
        <v>22.1</v>
      </c>
      <c r="Y94" s="62">
        <v>10.3</v>
      </c>
      <c r="Z94" s="62">
        <v>10.3</v>
      </c>
      <c r="AA94" s="52">
        <v>6</v>
      </c>
      <c r="AB94" s="52">
        <v>2</v>
      </c>
      <c r="AC94" s="52">
        <v>-1.9</v>
      </c>
      <c r="AD94" s="52">
        <v>-6.9</v>
      </c>
      <c r="AE94" s="52">
        <v>-6.2</v>
      </c>
      <c r="AF94" s="123">
        <v>-6.9</v>
      </c>
      <c r="AG94" s="120">
        <v>60</v>
      </c>
      <c r="AH94" s="56">
        <f t="shared" si="22"/>
        <v>30.9</v>
      </c>
      <c r="AI94" s="121">
        <f t="shared" si="23"/>
        <v>0.75</v>
      </c>
    </row>
    <row r="95" spans="1:88" x14ac:dyDescent="0.25">
      <c r="A95" s="124" t="s">
        <v>99</v>
      </c>
      <c r="B95" s="65">
        <v>2.2000000000000002</v>
      </c>
      <c r="C95" s="65">
        <v>2.2000000000000002</v>
      </c>
      <c r="D95" s="65">
        <v>0</v>
      </c>
      <c r="E95" s="65">
        <v>-6.7</v>
      </c>
      <c r="F95" s="65">
        <v>-3.4</v>
      </c>
      <c r="G95" s="65">
        <v>7</v>
      </c>
      <c r="H95" s="65">
        <v>8</v>
      </c>
      <c r="I95" s="65">
        <v>4.5</v>
      </c>
      <c r="J95" s="65">
        <v>16</v>
      </c>
      <c r="K95" s="65">
        <v>16</v>
      </c>
      <c r="L95" s="65">
        <v>51</v>
      </c>
      <c r="M95" s="65">
        <v>39.299999999999997</v>
      </c>
      <c r="N95" s="65">
        <v>32.700000000000003</v>
      </c>
      <c r="O95" s="65">
        <v>31</v>
      </c>
      <c r="P95" s="65">
        <v>29</v>
      </c>
      <c r="Q95" s="65">
        <v>30</v>
      </c>
      <c r="R95" s="65">
        <v>22.9</v>
      </c>
      <c r="S95" s="65">
        <v>21.6</v>
      </c>
      <c r="T95" s="65">
        <v>34.4</v>
      </c>
      <c r="U95" s="65">
        <v>32.4</v>
      </c>
      <c r="V95" s="65">
        <v>52.7</v>
      </c>
      <c r="W95" s="65">
        <v>64.8</v>
      </c>
      <c r="X95" s="65">
        <v>70.599999999999994</v>
      </c>
      <c r="Y95" s="65">
        <v>58.5</v>
      </c>
      <c r="Z95" s="65">
        <v>58.5</v>
      </c>
      <c r="AA95" s="125">
        <v>36.799999999999997</v>
      </c>
      <c r="AB95" s="125">
        <v>35.299999999999997</v>
      </c>
      <c r="AC95" s="125">
        <v>22.2</v>
      </c>
      <c r="AD95" s="125">
        <v>10</v>
      </c>
      <c r="AE95" s="125">
        <v>-2.6</v>
      </c>
      <c r="AF95" s="126">
        <v>-11.5</v>
      </c>
      <c r="AG95" s="127">
        <v>120</v>
      </c>
      <c r="AH95" s="56">
        <f t="shared" si="22"/>
        <v>70.599999999999994</v>
      </c>
      <c r="AI95" s="121">
        <f t="shared" si="23"/>
        <v>0.77083333333333337</v>
      </c>
    </row>
    <row r="96" spans="1:88" x14ac:dyDescent="0.25">
      <c r="A96" s="124" t="s">
        <v>100</v>
      </c>
      <c r="B96" s="65">
        <v>36.799999999999997</v>
      </c>
      <c r="C96" s="65">
        <v>36.799999999999997</v>
      </c>
      <c r="D96" s="65">
        <v>37</v>
      </c>
      <c r="E96" s="65">
        <v>28.5</v>
      </c>
      <c r="F96" s="65">
        <v>28.6</v>
      </c>
      <c r="G96" s="65">
        <v>33.9</v>
      </c>
      <c r="H96" s="65">
        <v>30.2</v>
      </c>
      <c r="I96" s="65">
        <v>27.6</v>
      </c>
      <c r="J96" s="65">
        <v>33.9</v>
      </c>
      <c r="K96" s="65">
        <v>33.9</v>
      </c>
      <c r="L96" s="65">
        <v>59</v>
      </c>
      <c r="M96" s="65">
        <v>51.2</v>
      </c>
      <c r="N96" s="65">
        <v>45.5</v>
      </c>
      <c r="O96" s="65">
        <v>48</v>
      </c>
      <c r="P96" s="65">
        <v>46</v>
      </c>
      <c r="Q96" s="65">
        <v>48</v>
      </c>
      <c r="R96" s="65">
        <v>41.1</v>
      </c>
      <c r="S96" s="65">
        <v>42.8</v>
      </c>
      <c r="T96" s="65">
        <v>50.7</v>
      </c>
      <c r="U96" s="65">
        <v>46.2</v>
      </c>
      <c r="V96" s="65">
        <v>59.8</v>
      </c>
      <c r="W96" s="65">
        <v>67.900000000000006</v>
      </c>
      <c r="X96" s="65">
        <v>67.099999999999994</v>
      </c>
      <c r="Y96" s="65">
        <v>59.2</v>
      </c>
      <c r="Z96" s="65">
        <v>59.2</v>
      </c>
      <c r="AA96" s="125">
        <v>49</v>
      </c>
      <c r="AB96" s="125">
        <v>50.7</v>
      </c>
      <c r="AC96" s="125">
        <v>44</v>
      </c>
      <c r="AD96" s="125">
        <v>37.6</v>
      </c>
      <c r="AE96" s="125">
        <v>34</v>
      </c>
      <c r="AF96" s="126">
        <v>29</v>
      </c>
      <c r="AG96" s="127"/>
      <c r="AH96" s="56">
        <f t="shared" si="22"/>
        <v>67.900000000000006</v>
      </c>
      <c r="AI96" s="121">
        <f t="shared" si="23"/>
        <v>0.75</v>
      </c>
    </row>
    <row r="97" spans="1:37" ht="15.75" thickBot="1" x14ac:dyDescent="0.3">
      <c r="A97" s="124" t="s">
        <v>101</v>
      </c>
      <c r="B97" s="65">
        <v>44.8</v>
      </c>
      <c r="C97" s="65">
        <v>44.8</v>
      </c>
      <c r="D97" s="65">
        <v>36</v>
      </c>
      <c r="E97" s="65">
        <v>39</v>
      </c>
      <c r="F97" s="65">
        <v>31.5</v>
      </c>
      <c r="G97" s="65">
        <v>34.700000000000003</v>
      </c>
      <c r="H97" s="65">
        <v>-8.8000000000000007</v>
      </c>
      <c r="I97" s="65">
        <v>-18.8</v>
      </c>
      <c r="J97" s="65">
        <v>-24.4</v>
      </c>
      <c r="K97" s="65">
        <v>-24.4</v>
      </c>
      <c r="L97" s="65">
        <v>-30</v>
      </c>
      <c r="M97" s="65">
        <v>28.5</v>
      </c>
      <c r="N97" s="65">
        <v>25.3</v>
      </c>
      <c r="O97" s="65">
        <v>23.6</v>
      </c>
      <c r="P97" s="65">
        <v>27</v>
      </c>
      <c r="Q97" s="65">
        <v>29</v>
      </c>
      <c r="R97" s="65">
        <v>32.700000000000003</v>
      </c>
      <c r="S97" s="65">
        <v>33.1</v>
      </c>
      <c r="T97" s="65">
        <v>40.9</v>
      </c>
      <c r="U97" s="65">
        <v>33.6</v>
      </c>
      <c r="V97" s="65">
        <v>37.799999999999997</v>
      </c>
      <c r="W97" s="65">
        <v>62.5</v>
      </c>
      <c r="X97" s="65">
        <v>65.7</v>
      </c>
      <c r="Y97" s="65">
        <v>52</v>
      </c>
      <c r="Z97" s="65">
        <v>52</v>
      </c>
      <c r="AA97" s="125">
        <v>40.1</v>
      </c>
      <c r="AB97" s="125">
        <v>40</v>
      </c>
      <c r="AC97" s="125">
        <v>32.6</v>
      </c>
      <c r="AD97" s="125">
        <v>35</v>
      </c>
      <c r="AE97" s="125">
        <v>39</v>
      </c>
      <c r="AF97" s="126">
        <v>41</v>
      </c>
      <c r="AG97" s="128"/>
      <c r="AH97" s="56">
        <f t="shared" si="22"/>
        <v>65.7</v>
      </c>
      <c r="AI97" s="121">
        <f t="shared" si="23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 t="s">
        <v>238</v>
      </c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1100.6399999999999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8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2078/07/8)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2078/07/8)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833.54</v>
      </c>
      <c r="U211" s="173">
        <f t="shared" si="52"/>
        <v>855.04</v>
      </c>
      <c r="V211" s="173">
        <f t="shared" si="52"/>
        <v>826.7399999999999</v>
      </c>
      <c r="W211" s="173">
        <f t="shared" si="52"/>
        <v>818.43999999999994</v>
      </c>
      <c r="X211" s="173">
        <f t="shared" si="52"/>
        <v>818.93999999999994</v>
      </c>
      <c r="Y211" s="173">
        <f t="shared" si="52"/>
        <v>865.64</v>
      </c>
      <c r="Z211" s="173">
        <f t="shared" si="52"/>
        <v>889.24</v>
      </c>
      <c r="AA211" s="173">
        <f t="shared" si="52"/>
        <v>972.24</v>
      </c>
      <c r="AB211" s="173">
        <f t="shared" si="52"/>
        <v>1010.64</v>
      </c>
      <c r="AC211" s="173">
        <f t="shared" si="52"/>
        <v>1066.6399999999999</v>
      </c>
      <c r="AD211" s="173">
        <f t="shared" si="52"/>
        <v>1100.6399999999999</v>
      </c>
      <c r="AE211" s="173">
        <f t="shared" si="52"/>
        <v>1072.04</v>
      </c>
      <c r="AF211" s="173">
        <f t="shared" si="52"/>
        <v>1043.6399999999999</v>
      </c>
      <c r="AG211" s="173">
        <f t="shared" si="52"/>
        <v>1053.24</v>
      </c>
      <c r="AH211" s="173">
        <f t="shared" si="52"/>
        <v>1038.24</v>
      </c>
      <c r="AI211" s="173">
        <f t="shared" si="52"/>
        <v>1031.24</v>
      </c>
      <c r="AJ211" s="173">
        <f t="shared" si="52"/>
        <v>1031.94</v>
      </c>
      <c r="AK211" s="173">
        <f t="shared" si="52"/>
        <v>1066.8400000000001</v>
      </c>
      <c r="AL211" s="173">
        <f t="shared" si="52"/>
        <v>1111.54</v>
      </c>
      <c r="AM211" s="173">
        <f t="shared" si="52"/>
        <v>1109.6400000000001</v>
      </c>
      <c r="AN211" s="173">
        <f t="shared" si="52"/>
        <v>1186.3399999999999</v>
      </c>
      <c r="AO211" s="173">
        <f t="shared" si="52"/>
        <v>1325.94</v>
      </c>
      <c r="AP211" s="173">
        <f t="shared" si="52"/>
        <v>1310.94</v>
      </c>
      <c r="AQ211" s="173">
        <f t="shared" si="52"/>
        <v>1253.94</v>
      </c>
      <c r="AR211" s="173">
        <f t="shared" si="52"/>
        <v>1225.94</v>
      </c>
      <c r="AS211" s="173">
        <f t="shared" si="52"/>
        <v>1149.8400000000001</v>
      </c>
      <c r="AT211" s="173">
        <f t="shared" si="52"/>
        <v>1111.04</v>
      </c>
      <c r="AU211" s="173">
        <f t="shared" si="52"/>
        <v>1056.54</v>
      </c>
      <c r="AV211" s="173">
        <f t="shared" si="52"/>
        <v>891.84</v>
      </c>
      <c r="AW211" s="173">
        <f t="shared" si="52"/>
        <v>859.44</v>
      </c>
      <c r="AX211" s="173">
        <f t="shared" si="52"/>
        <v>855.54000000000008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337" priority="350">
      <formula>S$9&gt;=20/24</formula>
    </cfRule>
    <cfRule type="expression" dxfId="8336" priority="351">
      <formula>AND(S$9&gt;=14/24,S$9&lt;20/24)</formula>
    </cfRule>
    <cfRule type="expression" dxfId="8335" priority="352">
      <formula>AND(S$9&gt;=8/24,S$9&lt;14/24)</formula>
    </cfRule>
    <cfRule type="expression" dxfId="8334" priority="353">
      <formula>S$9&lt;8/24</formula>
    </cfRule>
  </conditionalFormatting>
  <conditionalFormatting sqref="B8:AF10 AA79:AF79 B79:Q79 B54:AF54 B80:AF80 C191:AF197 AE55:AF57 B66:AF70 T210:AX210 M58:N65 L56:N57 AA11:AD13 AB82:AF89 B72:AF76 B78:AF78 D57:K57 L11:P13 Q12:Q13 L37:Q40 R13:S13 L15:T23 U16:W23 L35:W35 N43:W46 Q11:Z11 X17:Z23 O56:AA65 W83:AA89 R38:AD40 X46:Z46 L51:AF53 X25:Z29 L25:W31 AE13:AF13 AA27:AF30 AA25:AF25 AA15:AF23 AA41:AF41">
    <cfRule type="expression" dxfId="8333" priority="346">
      <formula>B$9&gt;=20/24</formula>
    </cfRule>
    <cfRule type="expression" dxfId="8332" priority="347">
      <formula>AND(B$9&gt;=14/24,B$9&lt;20/24)</formula>
    </cfRule>
    <cfRule type="expression" dxfId="8331" priority="348">
      <formula>AND(B$9&gt;=8/24,B$9&lt;14/24)</formula>
    </cfRule>
    <cfRule type="expression" dxfId="8330" priority="349">
      <formula>B$9&lt;8/24</formula>
    </cfRule>
  </conditionalFormatting>
  <conditionalFormatting sqref="B189:AF189">
    <cfRule type="expression" dxfId="8329" priority="342">
      <formula>B$9&gt;=20/24</formula>
    </cfRule>
    <cfRule type="expression" dxfId="8328" priority="343">
      <formula>AND(B$9&gt;=14/24,B$9&lt;20/24)</formula>
    </cfRule>
    <cfRule type="expression" dxfId="8327" priority="344">
      <formula>AND(B$9&gt;=8/24,B$9&lt;14/24)</formula>
    </cfRule>
    <cfRule type="expression" dxfId="8326" priority="345">
      <formula>B$9&lt;8/24</formula>
    </cfRule>
  </conditionalFormatting>
  <conditionalFormatting sqref="AL4:AL6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8325" priority="337">
      <formula>L$9&gt;=20/24</formula>
    </cfRule>
    <cfRule type="expression" dxfId="8324" priority="338">
      <formula>AND(L$9&gt;=14/24,L$9&lt;20/24)</formula>
    </cfRule>
    <cfRule type="expression" dxfId="8323" priority="339">
      <formula>AND(L$9&gt;=8/24,L$9&lt;14/24)</formula>
    </cfRule>
    <cfRule type="expression" dxfId="8322" priority="340">
      <formula>L$9&lt;8/24</formula>
    </cfRule>
  </conditionalFormatting>
  <conditionalFormatting sqref="L41:W41">
    <cfRule type="expression" dxfId="8321" priority="333">
      <formula>L$9&gt;=20/24</formula>
    </cfRule>
    <cfRule type="expression" dxfId="8320" priority="334">
      <formula>AND(L$9&gt;=14/24,L$9&lt;20/24)</formula>
    </cfRule>
    <cfRule type="expression" dxfId="8319" priority="335">
      <formula>AND(L$9&gt;=8/24,L$9&lt;14/24)</formula>
    </cfRule>
    <cfRule type="expression" dxfId="8318" priority="336">
      <formula>L$9&lt;8/24</formula>
    </cfRule>
  </conditionalFormatting>
  <conditionalFormatting sqref="AA31:AF31">
    <cfRule type="expression" dxfId="8317" priority="329">
      <formula>AA$9&gt;=20/24</formula>
    </cfRule>
    <cfRule type="expression" dxfId="8316" priority="330">
      <formula>AND(AA$9&gt;=14/24,AA$9&lt;20/24)</formula>
    </cfRule>
    <cfRule type="expression" dxfId="8315" priority="331">
      <formula>AND(AA$9&gt;=8/24,AA$9&lt;14/24)</formula>
    </cfRule>
    <cfRule type="expression" dxfId="8314" priority="332">
      <formula>AA$9&lt;8/24</formula>
    </cfRule>
  </conditionalFormatting>
  <conditionalFormatting sqref="R37:AD37">
    <cfRule type="expression" dxfId="8313" priority="325">
      <formula>R$9&gt;=20/24</formula>
    </cfRule>
    <cfRule type="expression" dxfId="8312" priority="326">
      <formula>AND(R$9&gt;=14/24,R$9&lt;20/24)</formula>
    </cfRule>
    <cfRule type="expression" dxfId="8311" priority="327">
      <formula>AND(R$9&gt;=8/24,R$9&lt;14/24)</formula>
    </cfRule>
    <cfRule type="expression" dxfId="8310" priority="328">
      <formula>R$9&lt;8/24</formula>
    </cfRule>
  </conditionalFormatting>
  <conditionalFormatting sqref="R55:AD55">
    <cfRule type="expression" dxfId="8309" priority="321">
      <formula>R$9&gt;=20/24</formula>
    </cfRule>
    <cfRule type="expression" dxfId="8308" priority="322">
      <formula>AND(R$9&gt;=14/24,R$9&lt;20/24)</formula>
    </cfRule>
    <cfRule type="expression" dxfId="8307" priority="323">
      <formula>AND(R$9&gt;=8/24,R$9&lt;14/24)</formula>
    </cfRule>
    <cfRule type="expression" dxfId="8306" priority="324">
      <formula>R$9&lt;8/24</formula>
    </cfRule>
  </conditionalFormatting>
  <conditionalFormatting sqref="R79:Z79">
    <cfRule type="expression" dxfId="8305" priority="317">
      <formula>R$9&gt;=20/24</formula>
    </cfRule>
    <cfRule type="expression" dxfId="8304" priority="318">
      <formula>AND(R$9&gt;=14/24,R$9&lt;20/24)</formula>
    </cfRule>
    <cfRule type="expression" dxfId="8303" priority="319">
      <formula>AND(R$9&gt;=8/24,R$9&lt;14/24)</formula>
    </cfRule>
    <cfRule type="expression" dxfId="8302" priority="320">
      <formula>R$9&lt;8/24</formula>
    </cfRule>
  </conditionalFormatting>
  <conditionalFormatting sqref="T82:AA82">
    <cfRule type="expression" dxfId="8301" priority="313">
      <formula>T$9&gt;=20/24</formula>
    </cfRule>
    <cfRule type="expression" dxfId="8300" priority="314">
      <formula>AND(T$9&gt;=14/24,T$9&lt;20/24)</formula>
    </cfRule>
    <cfRule type="expression" dxfId="8299" priority="315">
      <formula>AND(T$9&gt;=8/24,T$9&lt;14/24)</formula>
    </cfRule>
    <cfRule type="expression" dxfId="8298" priority="316">
      <formula>T$9&lt;8/24</formula>
    </cfRule>
  </conditionalFormatting>
  <conditionalFormatting sqref="L33:W33">
    <cfRule type="expression" dxfId="8297" priority="309">
      <formula>L$9&gt;=20/24</formula>
    </cfRule>
    <cfRule type="expression" dxfId="8296" priority="310">
      <formula>AND(L$9&gt;=14/24,L$9&lt;20/24)</formula>
    </cfRule>
    <cfRule type="expression" dxfId="8295" priority="311">
      <formula>AND(L$9&gt;=8/24,L$9&lt;14/24)</formula>
    </cfRule>
    <cfRule type="expression" dxfId="8294" priority="312">
      <formula>L$9&lt;8/24</formula>
    </cfRule>
  </conditionalFormatting>
  <conditionalFormatting sqref="L47:W47">
    <cfRule type="expression" dxfId="8293" priority="305">
      <formula>L$9&gt;=20/24</formula>
    </cfRule>
    <cfRule type="expression" dxfId="8292" priority="306">
      <formula>AND(L$9&gt;=14/24,L$9&lt;20/24)</formula>
    </cfRule>
    <cfRule type="expression" dxfId="8291" priority="307">
      <formula>AND(L$9&gt;=8/24,L$9&lt;14/24)</formula>
    </cfRule>
    <cfRule type="expression" dxfId="8290" priority="308">
      <formula>L$9&lt;8/24</formula>
    </cfRule>
  </conditionalFormatting>
  <conditionalFormatting sqref="L48:W48">
    <cfRule type="expression" dxfId="8289" priority="301">
      <formula>L$9&gt;=20/24</formula>
    </cfRule>
    <cfRule type="expression" dxfId="8288" priority="302">
      <formula>AND(L$9&gt;=14/24,L$9&lt;20/24)</formula>
    </cfRule>
    <cfRule type="expression" dxfId="8287" priority="303">
      <formula>AND(L$9&gt;=8/24,L$9&lt;14/24)</formula>
    </cfRule>
    <cfRule type="expression" dxfId="8286" priority="304">
      <formula>L$9&lt;8/24</formula>
    </cfRule>
  </conditionalFormatting>
  <conditionalFormatting sqref="L43:W46 X46:Z46">
    <cfRule type="expression" dxfId="8285" priority="297">
      <formula>L$9&gt;=20/24</formula>
    </cfRule>
    <cfRule type="expression" dxfId="8284" priority="298">
      <formula>AND(L$9&gt;=14/24,L$9&lt;20/24)</formula>
    </cfRule>
    <cfRule type="expression" dxfId="8283" priority="299">
      <formula>AND(L$9&gt;=8/24,L$9&lt;14/24)</formula>
    </cfRule>
    <cfRule type="expression" dxfId="8282" priority="300">
      <formula>L$9&lt;8/24</formula>
    </cfRule>
  </conditionalFormatting>
  <conditionalFormatting sqref="S35:AF35">
    <cfRule type="expression" dxfId="8281" priority="293">
      <formula>S$9&gt;=20/24</formula>
    </cfRule>
    <cfRule type="expression" dxfId="8280" priority="294">
      <formula>AND(S$9&gt;=14/24,S$9&lt;20/24)</formula>
    </cfRule>
    <cfRule type="expression" dxfId="8279" priority="295">
      <formula>AND(S$9&gt;=8/24,S$9&lt;14/24)</formula>
    </cfRule>
    <cfRule type="expression" dxfId="8278" priority="296">
      <formula>S$9&lt;8/24</formula>
    </cfRule>
  </conditionalFormatting>
  <conditionalFormatting sqref="X30:Z31 X33:AF33">
    <cfRule type="expression" dxfId="8277" priority="289">
      <formula>X$9&gt;=20/24</formula>
    </cfRule>
    <cfRule type="expression" dxfId="8276" priority="290">
      <formula>AND(X$9&gt;=14/24,X$9&lt;20/24)</formula>
    </cfRule>
    <cfRule type="expression" dxfId="8275" priority="291">
      <formula>AND(X$9&gt;=8/24,X$9&lt;14/24)</formula>
    </cfRule>
    <cfRule type="expression" dxfId="8274" priority="292">
      <formula>X$9&lt;8/24</formula>
    </cfRule>
  </conditionalFormatting>
  <conditionalFormatting sqref="X41:Z41 X43:AF46">
    <cfRule type="expression" dxfId="8273" priority="285">
      <formula>X$9&gt;=20/24</formula>
    </cfRule>
    <cfRule type="expression" dxfId="8272" priority="286">
      <formula>AND(X$9&gt;=14/24,X$9&lt;20/24)</formula>
    </cfRule>
    <cfRule type="expression" dxfId="8271" priority="287">
      <formula>AND(X$9&gt;=8/24,X$9&lt;14/24)</formula>
    </cfRule>
    <cfRule type="expression" dxfId="8270" priority="288">
      <formula>X$9&lt;8/24</formula>
    </cfRule>
  </conditionalFormatting>
  <conditionalFormatting sqref="X47:AF47">
    <cfRule type="expression" dxfId="8269" priority="281">
      <formula>X$9&gt;=20/24</formula>
    </cfRule>
    <cfRule type="expression" dxfId="8268" priority="282">
      <formula>AND(X$9&gt;=14/24,X$9&lt;20/24)</formula>
    </cfRule>
    <cfRule type="expression" dxfId="8267" priority="283">
      <formula>AND(X$9&gt;=8/24,X$9&lt;14/24)</formula>
    </cfRule>
    <cfRule type="expression" dxfId="8266" priority="284">
      <formula>X$9&lt;8/24</formula>
    </cfRule>
  </conditionalFormatting>
  <conditionalFormatting sqref="X48:AF48">
    <cfRule type="expression" dxfId="8265" priority="277">
      <formula>X$9&gt;=20/24</formula>
    </cfRule>
    <cfRule type="expression" dxfId="8264" priority="278">
      <formula>AND(X$9&gt;=14/24,X$9&lt;20/24)</formula>
    </cfRule>
    <cfRule type="expression" dxfId="8263" priority="279">
      <formula>AND(X$9&gt;=8/24,X$9&lt;14/24)</formula>
    </cfRule>
    <cfRule type="expression" dxfId="8262" priority="280">
      <formula>X$9&lt;8/24</formula>
    </cfRule>
  </conditionalFormatting>
  <conditionalFormatting sqref="AB58:AF65">
    <cfRule type="expression" dxfId="8261" priority="273">
      <formula>AB$9&gt;=20/24</formula>
    </cfRule>
    <cfRule type="expression" dxfId="8260" priority="274">
      <formula>AND(AB$9&gt;=14/24,AB$9&lt;20/24)</formula>
    </cfRule>
    <cfRule type="expression" dxfId="8259" priority="275">
      <formula>AND(AB$9&gt;=8/24,AB$9&lt;14/24)</formula>
    </cfRule>
    <cfRule type="expression" dxfId="8258" priority="276">
      <formula>AB$9&lt;8/24</formula>
    </cfRule>
  </conditionalFormatting>
  <conditionalFormatting sqref="AA92:AF95">
    <cfRule type="expression" dxfId="8257" priority="269">
      <formula>AA$9&gt;=20/24</formula>
    </cfRule>
    <cfRule type="expression" dxfId="8256" priority="270">
      <formula>AND(AA$9&gt;=14/24,AA$9&lt;20/24)</formula>
    </cfRule>
    <cfRule type="expression" dxfId="8255" priority="271">
      <formula>AND(AA$9&gt;=8/24,AA$9&lt;14/24)</formula>
    </cfRule>
    <cfRule type="expression" dxfId="8254" priority="272">
      <formula>AA$9&lt;8/24</formula>
    </cfRule>
  </conditionalFormatting>
  <conditionalFormatting sqref="T92:Z95">
    <cfRule type="expression" dxfId="8253" priority="261">
      <formula>T$9&gt;=20/24</formula>
    </cfRule>
    <cfRule type="expression" dxfId="8252" priority="262">
      <formula>AND(T$9&gt;=14/24,T$9&lt;20/24)</formula>
    </cfRule>
    <cfRule type="expression" dxfId="8251" priority="263">
      <formula>AND(T$9&gt;=8/24,T$9&lt;14/24)</formula>
    </cfRule>
    <cfRule type="expression" dxfId="8250" priority="264">
      <formula>T$9&lt;8/24</formula>
    </cfRule>
  </conditionalFormatting>
  <conditionalFormatting sqref="L12:L13 K11:L11 B36:AF36 C49:AG49 E40:L40 F41:L41 F43:K45 M11:P13 Q12:Q13 R13:S13 L15:T23 M40:U41 C38:U39 U16:W23 Q11:Z11 X17:Z23 C37:AF37 B50:AF54 L33:AF35 L25:AF31 AA15:AF23 AA11:AF13 L43:AF48 V38:AF41">
    <cfRule type="expression" dxfId="8249" priority="260">
      <formula>B11&gt;$AG11</formula>
    </cfRule>
  </conditionalFormatting>
  <conditionalFormatting sqref="A98:A154 A82:A95 A11:A13 A15:A31 A43:A70 A78:A80 A72:A76 A33:A41 A167:A198">
    <cfRule type="expression" dxfId="8248" priority="259">
      <formula>$AH11=0</formula>
    </cfRule>
  </conditionalFormatting>
  <conditionalFormatting sqref="AA96:AF96">
    <cfRule type="expression" dxfId="8247" priority="255">
      <formula>AA$9&gt;=20/24</formula>
    </cfRule>
    <cfRule type="expression" dxfId="8246" priority="256">
      <formula>AND(AA$9&gt;=14/24,AA$9&lt;20/24)</formula>
    </cfRule>
    <cfRule type="expression" dxfId="8245" priority="257">
      <formula>AND(AA$9&gt;=8/24,AA$9&lt;14/24)</formula>
    </cfRule>
    <cfRule type="expression" dxfId="8244" priority="258">
      <formula>AA$9&lt;8/24</formula>
    </cfRule>
  </conditionalFormatting>
  <conditionalFormatting sqref="T96:Z96">
    <cfRule type="expression" dxfId="8243" priority="251">
      <formula>T$9&gt;=20/24</formula>
    </cfRule>
    <cfRule type="expression" dxfId="8242" priority="252">
      <formula>AND(T$9&gt;=14/24,T$9&lt;20/24)</formula>
    </cfRule>
    <cfRule type="expression" dxfId="8241" priority="253">
      <formula>AND(T$9&gt;=8/24,T$9&lt;14/24)</formula>
    </cfRule>
    <cfRule type="expression" dxfId="8240" priority="254">
      <formula>T$9&lt;8/24</formula>
    </cfRule>
  </conditionalFormatting>
  <conditionalFormatting sqref="A96">
    <cfRule type="expression" dxfId="8239" priority="250">
      <formula>$AH96=0</formula>
    </cfRule>
  </conditionalFormatting>
  <conditionalFormatting sqref="L34:AF34">
    <cfRule type="expression" dxfId="8238" priority="246">
      <formula>L$9&gt;=20/24</formula>
    </cfRule>
    <cfRule type="expression" dxfId="8237" priority="247">
      <formula>AND(L$9&gt;=14/24,L$9&lt;20/24)</formula>
    </cfRule>
    <cfRule type="expression" dxfId="8236" priority="248">
      <formula>AND(L$9&gt;=8/24,L$9&lt;14/24)</formula>
    </cfRule>
    <cfRule type="expression" dxfId="8235" priority="249">
      <formula>L$9&lt;8/24</formula>
    </cfRule>
  </conditionalFormatting>
  <conditionalFormatting sqref="X34:AF34">
    <cfRule type="expression" dxfId="8234" priority="242">
      <formula>X$9&gt;=20/24</formula>
    </cfRule>
    <cfRule type="expression" dxfId="8233" priority="243">
      <formula>AND(X$9&gt;=14/24,X$9&lt;20/24)</formula>
    </cfRule>
    <cfRule type="expression" dxfId="8232" priority="244">
      <formula>AND(X$9&gt;=8/24,X$9&lt;14/24)</formula>
    </cfRule>
    <cfRule type="expression" dxfId="8231" priority="245">
      <formula>X$9&lt;8/24</formula>
    </cfRule>
  </conditionalFormatting>
  <conditionalFormatting sqref="AL31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Y32:AF32">
    <cfRule type="expression" dxfId="8230" priority="225">
      <formula>Y$9&gt;=20/24</formula>
    </cfRule>
    <cfRule type="expression" dxfId="8229" priority="226">
      <formula>AND(Y$9&gt;=14/24,Y$9&lt;20/24)</formula>
    </cfRule>
    <cfRule type="expression" dxfId="8228" priority="227">
      <formula>AND(Y$9&gt;=8/24,Y$9&lt;14/24)</formula>
    </cfRule>
    <cfRule type="expression" dxfId="8227" priority="228">
      <formula>Y$9&lt;8/24</formula>
    </cfRule>
  </conditionalFormatting>
  <conditionalFormatting sqref="L32:X32">
    <cfRule type="expression" dxfId="8226" priority="221">
      <formula>L$9&gt;=20/24</formula>
    </cfRule>
    <cfRule type="expression" dxfId="8225" priority="222">
      <formula>AND(L$9&gt;=14/24,L$9&lt;20/24)</formula>
    </cfRule>
    <cfRule type="expression" dxfId="8224" priority="223">
      <formula>AND(L$9&gt;=8/24,L$9&lt;14/24)</formula>
    </cfRule>
    <cfRule type="expression" dxfId="8223" priority="224">
      <formula>L$9&lt;8/24</formula>
    </cfRule>
  </conditionalFormatting>
  <conditionalFormatting sqref="X32">
    <cfRule type="expression" dxfId="8222" priority="217">
      <formula>X$9&gt;=20/24</formula>
    </cfRule>
    <cfRule type="expression" dxfId="8221" priority="218">
      <formula>AND(X$9&gt;=14/24,X$9&lt;20/24)</formula>
    </cfRule>
    <cfRule type="expression" dxfId="8220" priority="219">
      <formula>AND(X$9&gt;=8/24,X$9&lt;14/24)</formula>
    </cfRule>
    <cfRule type="expression" dxfId="8219" priority="220">
      <formula>X$9&lt;8/24</formula>
    </cfRule>
  </conditionalFormatting>
  <conditionalFormatting sqref="L32:AF32">
    <cfRule type="expression" dxfId="8218" priority="216">
      <formula>L32&gt;$AG32</formula>
    </cfRule>
  </conditionalFormatting>
  <conditionalFormatting sqref="A32">
    <cfRule type="expression" dxfId="8217" priority="215">
      <formula>$AH32=0</formula>
    </cfRule>
  </conditionalFormatting>
  <conditionalFormatting sqref="B81:AF81">
    <cfRule type="expression" dxfId="8216" priority="211">
      <formula>B$9&gt;=20/24</formula>
    </cfRule>
    <cfRule type="expression" dxfId="8215" priority="212">
      <formula>AND(B$9&gt;=14/24,B$9&lt;20/24)</formula>
    </cfRule>
    <cfRule type="expression" dxfId="8214" priority="213">
      <formula>AND(B$9&gt;=8/24,B$9&lt;14/24)</formula>
    </cfRule>
    <cfRule type="expression" dxfId="8213" priority="214">
      <formula>B$9&lt;8/24</formula>
    </cfRule>
  </conditionalFormatting>
  <conditionalFormatting sqref="A81">
    <cfRule type="expression" dxfId="8212" priority="210">
      <formula>$AH81=0</formula>
    </cfRule>
  </conditionalFormatting>
  <conditionalFormatting sqref="AA14:AF14">
    <cfRule type="expression" dxfId="8211" priority="206">
      <formula>AA$9&gt;=20/24</formula>
    </cfRule>
    <cfRule type="expression" dxfId="8210" priority="207">
      <formula>AND(AA$9&gt;=14/24,AA$9&lt;20/24)</formula>
    </cfRule>
    <cfRule type="expression" dxfId="8209" priority="208">
      <formula>AND(AA$9&gt;=8/24,AA$9&lt;14/24)</formula>
    </cfRule>
    <cfRule type="expression" dxfId="8208" priority="209">
      <formula>AA$9&lt;8/24</formula>
    </cfRule>
  </conditionalFormatting>
  <conditionalFormatting sqref="L14:W14">
    <cfRule type="expression" dxfId="8207" priority="202">
      <formula>L$9&gt;=20/24</formula>
    </cfRule>
    <cfRule type="expression" dxfId="8206" priority="203">
      <formula>AND(L$9&gt;=14/24,L$9&lt;20/24)</formula>
    </cfRule>
    <cfRule type="expression" dxfId="8205" priority="204">
      <formula>AND(L$9&gt;=8/24,L$9&lt;14/24)</formula>
    </cfRule>
    <cfRule type="expression" dxfId="8204" priority="205">
      <formula>L$9&lt;8/24</formula>
    </cfRule>
  </conditionalFormatting>
  <conditionalFormatting sqref="L14:W14 AA14:AF14">
    <cfRule type="expression" dxfId="8203" priority="201">
      <formula>L14&gt;$AG14</formula>
    </cfRule>
  </conditionalFormatting>
  <conditionalFormatting sqref="A14">
    <cfRule type="expression" dxfId="8202" priority="200">
      <formula>$AH14=0</formula>
    </cfRule>
  </conditionalFormatting>
  <conditionalFormatting sqref="A161:A166">
    <cfRule type="expression" dxfId="8201" priority="199">
      <formula>$AH161=0</formula>
    </cfRule>
  </conditionalFormatting>
  <conditionalFormatting sqref="A155:A160">
    <cfRule type="expression" dxfId="8200" priority="198">
      <formula>$AH155=0</formula>
    </cfRule>
  </conditionalFormatting>
  <conditionalFormatting sqref="AA42:AF42">
    <cfRule type="expression" dxfId="8199" priority="194">
      <formula>AA$9&gt;=20/24</formula>
    </cfRule>
    <cfRule type="expression" dxfId="8198" priority="195">
      <formula>AND(AA$9&gt;=14/24,AA$9&lt;20/24)</formula>
    </cfRule>
    <cfRule type="expression" dxfId="8197" priority="196">
      <formula>AND(AA$9&gt;=8/24,AA$9&lt;14/24)</formula>
    </cfRule>
    <cfRule type="expression" dxfId="8196" priority="197">
      <formula>AA$9&lt;8/24</formula>
    </cfRule>
  </conditionalFormatting>
  <conditionalFormatting sqref="L42:W42">
    <cfRule type="expression" dxfId="8195" priority="190">
      <formula>L$9&gt;=20/24</formula>
    </cfRule>
    <cfRule type="expression" dxfId="8194" priority="191">
      <formula>AND(L$9&gt;=14/24,L$9&lt;20/24)</formula>
    </cfRule>
    <cfRule type="expression" dxfId="8193" priority="192">
      <formula>AND(L$9&gt;=8/24,L$9&lt;14/24)</formula>
    </cfRule>
    <cfRule type="expression" dxfId="8192" priority="193">
      <formula>L$9&lt;8/24</formula>
    </cfRule>
  </conditionalFormatting>
  <conditionalFormatting sqref="X42:Z42">
    <cfRule type="expression" dxfId="8191" priority="186">
      <formula>X$9&gt;=20/24</formula>
    </cfRule>
    <cfRule type="expression" dxfId="8190" priority="187">
      <formula>AND(X$9&gt;=14/24,X$9&lt;20/24)</formula>
    </cfRule>
    <cfRule type="expression" dxfId="8189" priority="188">
      <formula>AND(X$9&gt;=8/24,X$9&lt;14/24)</formula>
    </cfRule>
    <cfRule type="expression" dxfId="8188" priority="189">
      <formula>X$9&lt;8/24</formula>
    </cfRule>
  </conditionalFormatting>
  <conditionalFormatting sqref="F42:AF42">
    <cfRule type="expression" dxfId="8187" priority="185">
      <formula>F42&gt;$AG42</formula>
    </cfRule>
  </conditionalFormatting>
  <conditionalFormatting sqref="A42">
    <cfRule type="expression" dxfId="8186" priority="184">
      <formula>$AH42=0</formula>
    </cfRule>
  </conditionalFormatting>
  <conditionalFormatting sqref="B77:AF77">
    <cfRule type="expression" dxfId="8185" priority="180">
      <formula>B$9&gt;=20/24</formula>
    </cfRule>
    <cfRule type="expression" dxfId="8184" priority="181">
      <formula>AND(B$9&gt;=14/24,B$9&lt;20/24)</formula>
    </cfRule>
    <cfRule type="expression" dxfId="8183" priority="182">
      <formula>AND(B$9&gt;=8/24,B$9&lt;14/24)</formula>
    </cfRule>
    <cfRule type="expression" dxfId="8182" priority="183">
      <formula>B$9&lt;8/24</formula>
    </cfRule>
  </conditionalFormatting>
  <conditionalFormatting sqref="A77">
    <cfRule type="expression" dxfId="8181" priority="179">
      <formula>$AH77=0</formula>
    </cfRule>
  </conditionalFormatting>
  <conditionalFormatting sqref="B71:AG71">
    <cfRule type="expression" dxfId="8180" priority="175">
      <formula>B$9&gt;=20/24</formula>
    </cfRule>
    <cfRule type="expression" dxfId="8179" priority="176">
      <formula>AND(B$9&gt;=14/24,B$9&lt;20/24)</formula>
    </cfRule>
    <cfRule type="expression" dxfId="8178" priority="177">
      <formula>AND(B$9&gt;=8/24,B$9&lt;14/24)</formula>
    </cfRule>
    <cfRule type="expression" dxfId="8177" priority="178">
      <formula>B$9&lt;8/24</formula>
    </cfRule>
  </conditionalFormatting>
  <conditionalFormatting sqref="A71">
    <cfRule type="expression" dxfId="8176" priority="174">
      <formula>$AH71=0</formula>
    </cfRule>
  </conditionalFormatting>
  <conditionalFormatting sqref="AL32:AL33 AL7:AL30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8175" priority="166">
      <formula>T$9&gt;=20/24</formula>
    </cfRule>
    <cfRule type="expression" dxfId="8174" priority="167">
      <formula>AND(T$9&gt;=14/24,T$9&lt;20/24)</formula>
    </cfRule>
    <cfRule type="expression" dxfId="8173" priority="168">
      <formula>AND(T$9&gt;=8/24,T$9&lt;14/24)</formula>
    </cfRule>
    <cfRule type="expression" dxfId="8172" priority="169">
      <formula>T$9&lt;8/24</formula>
    </cfRule>
  </conditionalFormatting>
  <conditionalFormatting sqref="R83:S89 B82:Q89">
    <cfRule type="expression" dxfId="8171" priority="162">
      <formula>B$9&gt;=20/24</formula>
    </cfRule>
    <cfRule type="expression" dxfId="8170" priority="163">
      <formula>AND(B$9&gt;=14/24,B$9&lt;20/24)</formula>
    </cfRule>
    <cfRule type="expression" dxfId="8169" priority="164">
      <formula>AND(B$9&gt;=8/24,B$9&lt;14/24)</formula>
    </cfRule>
    <cfRule type="expression" dxfId="8168" priority="165">
      <formula>B$9&lt;8/24</formula>
    </cfRule>
  </conditionalFormatting>
  <conditionalFormatting sqref="R82:S82">
    <cfRule type="expression" dxfId="8167" priority="158">
      <formula>R$9&gt;=20/24</formula>
    </cfRule>
    <cfRule type="expression" dxfId="8166" priority="159">
      <formula>AND(R$9&gt;=14/24,R$9&lt;20/24)</formula>
    </cfRule>
    <cfRule type="expression" dxfId="8165" priority="160">
      <formula>AND(R$9&gt;=8/24,R$9&lt;14/24)</formula>
    </cfRule>
    <cfRule type="expression" dxfId="8164" priority="161">
      <formula>R$9&lt;8/24</formula>
    </cfRule>
  </conditionalFormatting>
  <conditionalFormatting sqref="C92:E92 B92:B95 C93:L95">
    <cfRule type="expression" dxfId="8163" priority="154">
      <formula>B$9&gt;=20/24</formula>
    </cfRule>
    <cfRule type="expression" dxfId="8162" priority="155">
      <formula>AND(B$9&gt;=14/24,B$9&lt;20/24)</formula>
    </cfRule>
    <cfRule type="expression" dxfId="8161" priority="156">
      <formula>AND(B$9&gt;=8/24,B$9&lt;14/24)</formula>
    </cfRule>
    <cfRule type="expression" dxfId="8160" priority="157">
      <formula>B$9&lt;8/24</formula>
    </cfRule>
  </conditionalFormatting>
  <conditionalFormatting sqref="M93:Q95 N92:Q92">
    <cfRule type="expression" dxfId="8159" priority="150">
      <formula>M$9&gt;=20/24</formula>
    </cfRule>
    <cfRule type="expression" dxfId="8158" priority="151">
      <formula>AND(M$9&gt;=14/24,M$9&lt;20/24)</formula>
    </cfRule>
    <cfRule type="expression" dxfId="8157" priority="152">
      <formula>AND(M$9&gt;=8/24,M$9&lt;14/24)</formula>
    </cfRule>
    <cfRule type="expression" dxfId="8156" priority="153">
      <formula>M$9&lt;8/24</formula>
    </cfRule>
  </conditionalFormatting>
  <conditionalFormatting sqref="R92:S95">
    <cfRule type="expression" dxfId="8155" priority="146">
      <formula>R$9&gt;=20/24</formula>
    </cfRule>
    <cfRule type="expression" dxfId="8154" priority="147">
      <formula>AND(R$9&gt;=14/24,R$9&lt;20/24)</formula>
    </cfRule>
    <cfRule type="expression" dxfId="8153" priority="148">
      <formula>AND(R$9&gt;=8/24,R$9&lt;14/24)</formula>
    </cfRule>
    <cfRule type="expression" dxfId="8152" priority="149">
      <formula>R$9&lt;8/24</formula>
    </cfRule>
  </conditionalFormatting>
  <conditionalFormatting sqref="B96:L96">
    <cfRule type="expression" dxfId="8151" priority="142">
      <formula>B$9&gt;=20/24</formula>
    </cfRule>
    <cfRule type="expression" dxfId="8150" priority="143">
      <formula>AND(B$9&gt;=14/24,B$9&lt;20/24)</formula>
    </cfRule>
    <cfRule type="expression" dxfId="8149" priority="144">
      <formula>AND(B$9&gt;=8/24,B$9&lt;14/24)</formula>
    </cfRule>
    <cfRule type="expression" dxfId="8148" priority="145">
      <formula>B$9&lt;8/24</formula>
    </cfRule>
  </conditionalFormatting>
  <conditionalFormatting sqref="M96:Q96">
    <cfRule type="expression" dxfId="8147" priority="138">
      <formula>M$9&gt;=20/24</formula>
    </cfRule>
    <cfRule type="expression" dxfId="8146" priority="139">
      <formula>AND(M$9&gt;=14/24,M$9&lt;20/24)</formula>
    </cfRule>
    <cfRule type="expression" dxfId="8145" priority="140">
      <formula>AND(M$9&gt;=8/24,M$9&lt;14/24)</formula>
    </cfRule>
    <cfRule type="expression" dxfId="8144" priority="141">
      <formula>M$9&lt;8/24</formula>
    </cfRule>
  </conditionalFormatting>
  <conditionalFormatting sqref="R96:S96">
    <cfRule type="expression" dxfId="8143" priority="134">
      <formula>R$9&gt;=20/24</formula>
    </cfRule>
    <cfRule type="expression" dxfId="8142" priority="135">
      <formula>AND(R$9&gt;=14/24,R$9&lt;20/24)</formula>
    </cfRule>
    <cfRule type="expression" dxfId="8141" priority="136">
      <formula>AND(R$9&gt;=8/24,R$9&lt;14/24)</formula>
    </cfRule>
    <cfRule type="expression" dxfId="8140" priority="137">
      <formula>R$9&lt;8/24</formula>
    </cfRule>
  </conditionalFormatting>
  <conditionalFormatting sqref="L92:M92">
    <cfRule type="expression" dxfId="8139" priority="130">
      <formula>L$9&gt;=20/24</formula>
    </cfRule>
    <cfRule type="expression" dxfId="8138" priority="131">
      <formula>AND(L$9&gt;=14/24,L$9&lt;20/24)</formula>
    </cfRule>
    <cfRule type="expression" dxfId="8137" priority="132">
      <formula>AND(L$9&gt;=8/24,L$9&lt;14/24)</formula>
    </cfRule>
    <cfRule type="expression" dxfId="8136" priority="133">
      <formula>L$9&lt;8/24</formula>
    </cfRule>
  </conditionalFormatting>
  <conditionalFormatting sqref="F92:K92">
    <cfRule type="expression" dxfId="8135" priority="126">
      <formula>F$9&gt;=20/24</formula>
    </cfRule>
    <cfRule type="expression" dxfId="8134" priority="127">
      <formula>AND(F$9&gt;=14/24,F$9&lt;20/24)</formula>
    </cfRule>
    <cfRule type="expression" dxfId="8133" priority="128">
      <formula>AND(F$9&gt;=8/24,F$9&lt;14/24)</formula>
    </cfRule>
    <cfRule type="expression" dxfId="8132" priority="129">
      <formula>F$9&lt;8/24</formula>
    </cfRule>
  </conditionalFormatting>
  <conditionalFormatting sqref="T92:V92">
    <cfRule type="expression" dxfId="8131" priority="122">
      <formula>T$9&gt;=20/24</formula>
    </cfRule>
    <cfRule type="expression" dxfId="8130" priority="123">
      <formula>AND(T$9&gt;=14/24,T$9&lt;20/24)</formula>
    </cfRule>
    <cfRule type="expression" dxfId="8129" priority="124">
      <formula>AND(T$9&gt;=8/24,T$9&lt;14/24)</formula>
    </cfRule>
    <cfRule type="expression" dxfId="8128" priority="125">
      <formula>T$9&lt;8/24</formula>
    </cfRule>
  </conditionalFormatting>
  <conditionalFormatting sqref="M92:S92">
    <cfRule type="expression" dxfId="8127" priority="118">
      <formula>M$9&gt;=20/24</formula>
    </cfRule>
    <cfRule type="expression" dxfId="8126" priority="119">
      <formula>AND(M$9&gt;=14/24,M$9&lt;20/24)</formula>
    </cfRule>
    <cfRule type="expression" dxfId="8125" priority="120">
      <formula>AND(M$9&gt;=8/24,M$9&lt;14/24)</formula>
    </cfRule>
    <cfRule type="expression" dxfId="8124" priority="121">
      <formula>M$9&lt;8/24</formula>
    </cfRule>
  </conditionalFormatting>
  <conditionalFormatting sqref="AA97:AF97">
    <cfRule type="expression" dxfId="8123" priority="114">
      <formula>AA$9&gt;=20/24</formula>
    </cfRule>
    <cfRule type="expression" dxfId="8122" priority="115">
      <formula>AND(AA$9&gt;=14/24,AA$9&lt;20/24)</formula>
    </cfRule>
    <cfRule type="expression" dxfId="8121" priority="116">
      <formula>AND(AA$9&gt;=8/24,AA$9&lt;14/24)</formula>
    </cfRule>
    <cfRule type="expression" dxfId="8120" priority="117">
      <formula>AA$9&lt;8/24</formula>
    </cfRule>
  </conditionalFormatting>
  <conditionalFormatting sqref="T97:Z97">
    <cfRule type="expression" dxfId="8119" priority="110">
      <formula>T$9&gt;=20/24</formula>
    </cfRule>
    <cfRule type="expression" dxfId="8118" priority="111">
      <formula>AND(T$9&gt;=14/24,T$9&lt;20/24)</formula>
    </cfRule>
    <cfRule type="expression" dxfId="8117" priority="112">
      <formula>AND(T$9&gt;=8/24,T$9&lt;14/24)</formula>
    </cfRule>
    <cfRule type="expression" dxfId="8116" priority="113">
      <formula>T$9&lt;8/24</formula>
    </cfRule>
  </conditionalFormatting>
  <conditionalFormatting sqref="A97">
    <cfRule type="expression" dxfId="8115" priority="109">
      <formula>$AH97=0</formula>
    </cfRule>
  </conditionalFormatting>
  <conditionalFormatting sqref="B97:L97">
    <cfRule type="expression" dxfId="8114" priority="105">
      <formula>B$9&gt;=20/24</formula>
    </cfRule>
    <cfRule type="expression" dxfId="8113" priority="106">
      <formula>AND(B$9&gt;=14/24,B$9&lt;20/24)</formula>
    </cfRule>
    <cfRule type="expression" dxfId="8112" priority="107">
      <formula>AND(B$9&gt;=8/24,B$9&lt;14/24)</formula>
    </cfRule>
    <cfRule type="expression" dxfId="8111" priority="108">
      <formula>B$9&lt;8/24</formula>
    </cfRule>
  </conditionalFormatting>
  <conditionalFormatting sqref="M97:Q97">
    <cfRule type="expression" dxfId="8110" priority="101">
      <formula>M$9&gt;=20/24</formula>
    </cfRule>
    <cfRule type="expression" dxfId="8109" priority="102">
      <formula>AND(M$9&gt;=14/24,M$9&lt;20/24)</formula>
    </cfRule>
    <cfRule type="expression" dxfId="8108" priority="103">
      <formula>AND(M$9&gt;=8/24,M$9&lt;14/24)</formula>
    </cfRule>
    <cfRule type="expression" dxfId="8107" priority="104">
      <formula>M$9&lt;8/24</formula>
    </cfRule>
  </conditionalFormatting>
  <conditionalFormatting sqref="R97:S97">
    <cfRule type="expression" dxfId="8106" priority="97">
      <formula>R$9&gt;=20/24</formula>
    </cfRule>
    <cfRule type="expression" dxfId="8105" priority="98">
      <formula>AND(R$9&gt;=14/24,R$9&lt;20/24)</formula>
    </cfRule>
    <cfRule type="expression" dxfId="8104" priority="99">
      <formula>AND(R$9&gt;=8/24,R$9&lt;14/24)</formula>
    </cfRule>
    <cfRule type="expression" dxfId="8103" priority="100">
      <formula>R$9&lt;8/24</formula>
    </cfRule>
  </conditionalFormatting>
  <conditionalFormatting sqref="R12:S12 W12:X12 T12:V13 U15:X15 X13:X14 W13 Y12:Z15">
    <cfRule type="expression" dxfId="8102" priority="93">
      <formula>R$9&gt;=20/24</formula>
    </cfRule>
    <cfRule type="expression" dxfId="8101" priority="94">
      <formula>AND(R$9&gt;=14/24,R$9&lt;20/24)</formula>
    </cfRule>
    <cfRule type="expression" dxfId="8100" priority="95">
      <formula>AND(R$9&gt;=8/24,R$9&lt;14/24)</formula>
    </cfRule>
    <cfRule type="expression" dxfId="8099" priority="96">
      <formula>R$9&lt;8/24</formula>
    </cfRule>
  </conditionalFormatting>
  <conditionalFormatting sqref="X16:Z16">
    <cfRule type="expression" dxfId="8098" priority="89">
      <formula>X$9&gt;=20/24</formula>
    </cfRule>
    <cfRule type="expression" dxfId="8097" priority="90">
      <formula>AND(X$9&gt;=14/24,X$9&lt;20/24)</formula>
    </cfRule>
    <cfRule type="expression" dxfId="8096" priority="91">
      <formula>AND(X$9&gt;=8/24,X$9&lt;14/24)</formula>
    </cfRule>
    <cfRule type="expression" dxfId="8095" priority="92">
      <formula>X$9&lt;8/24</formula>
    </cfRule>
  </conditionalFormatting>
  <conditionalFormatting sqref="R12:Z12">
    <cfRule type="expression" dxfId="8094" priority="85">
      <formula>R$9&gt;=20/24</formula>
    </cfRule>
    <cfRule type="expression" dxfId="8093" priority="86">
      <formula>AND(R$9&gt;=14/24,R$9&lt;20/24)</formula>
    </cfRule>
    <cfRule type="expression" dxfId="8092" priority="87">
      <formula>AND(R$9&gt;=8/24,R$9&lt;14/24)</formula>
    </cfRule>
    <cfRule type="expression" dxfId="8091" priority="88">
      <formula>R$9&lt;8/24</formula>
    </cfRule>
  </conditionalFormatting>
  <conditionalFormatting sqref="AB56:AD57">
    <cfRule type="expression" dxfId="8090" priority="81">
      <formula>AB$9&gt;=20/24</formula>
    </cfRule>
    <cfRule type="expression" dxfId="8089" priority="82">
      <formula>AND(AB$9&gt;=14/24,AB$9&lt;20/24)</formula>
    </cfRule>
    <cfRule type="expression" dxfId="8088" priority="83">
      <formula>AND(AB$9&gt;=8/24,AB$9&lt;14/24)</formula>
    </cfRule>
    <cfRule type="expression" dxfId="8087" priority="84">
      <formula>AB$9&lt;8/24</formula>
    </cfRule>
  </conditionalFormatting>
  <conditionalFormatting sqref="B11:J11 B17:K23 B25:K29 B24:AF24">
    <cfRule type="expression" dxfId="8086" priority="77">
      <formula>B$9&gt;=20/24</formula>
    </cfRule>
    <cfRule type="expression" dxfId="8085" priority="78">
      <formula>AND(B$9&gt;=14/24,B$9&lt;20/24)</formula>
    </cfRule>
    <cfRule type="expression" dxfId="8084" priority="79">
      <formula>AND(B$9&gt;=8/24,B$9&lt;14/24)</formula>
    </cfRule>
    <cfRule type="expression" dxfId="8083" priority="80">
      <formula>B$9&lt;8/24</formula>
    </cfRule>
  </conditionalFormatting>
  <conditionalFormatting sqref="B35:K35">
    <cfRule type="expression" dxfId="8082" priority="73">
      <formula>B$9&gt;=20/24</formula>
    </cfRule>
    <cfRule type="expression" dxfId="8081" priority="74">
      <formula>AND(B$9&gt;=14/24,B$9&lt;20/24)</formula>
    </cfRule>
    <cfRule type="expression" dxfId="8080" priority="75">
      <formula>AND(B$9&gt;=8/24,B$9&lt;14/24)</formula>
    </cfRule>
    <cfRule type="expression" dxfId="8079" priority="76">
      <formula>B$9&lt;8/24</formula>
    </cfRule>
  </conditionalFormatting>
  <conditionalFormatting sqref="B30:K31 B33:K33">
    <cfRule type="expression" dxfId="8078" priority="69">
      <formula>B$9&gt;=20/24</formula>
    </cfRule>
    <cfRule type="expression" dxfId="8077" priority="70">
      <formula>AND(B$9&gt;=14/24,B$9&lt;20/24)</formula>
    </cfRule>
    <cfRule type="expression" dxfId="8076" priority="71">
      <formula>AND(B$9&gt;=8/24,B$9&lt;14/24)</formula>
    </cfRule>
    <cfRule type="expression" dxfId="8075" priority="72">
      <formula>B$9&lt;8/24</formula>
    </cfRule>
  </conditionalFormatting>
  <conditionalFormatting sqref="B11:J11 B17:K23 B33:K35 B25:K31 B24:AF24">
    <cfRule type="expression" dxfId="8074" priority="68">
      <formula>B11&gt;$AG11</formula>
    </cfRule>
  </conditionalFormatting>
  <conditionalFormatting sqref="B34:K34">
    <cfRule type="expression" dxfId="8073" priority="64">
      <formula>B$9&gt;=20/24</formula>
    </cfRule>
    <cfRule type="expression" dxfId="8072" priority="65">
      <formula>AND(B$9&gt;=14/24,B$9&lt;20/24)</formula>
    </cfRule>
    <cfRule type="expression" dxfId="8071" priority="66">
      <formula>AND(B$9&gt;=8/24,B$9&lt;14/24)</formula>
    </cfRule>
    <cfRule type="expression" dxfId="8070" priority="67">
      <formula>B$9&lt;8/24</formula>
    </cfRule>
  </conditionalFormatting>
  <conditionalFormatting sqref="B34:K34">
    <cfRule type="expression" dxfId="8069" priority="60">
      <formula>B$9&gt;=20/24</formula>
    </cfRule>
    <cfRule type="expression" dxfId="8068" priority="61">
      <formula>AND(B$9&gt;=14/24,B$9&lt;20/24)</formula>
    </cfRule>
    <cfRule type="expression" dxfId="8067" priority="62">
      <formula>AND(B$9&gt;=8/24,B$9&lt;14/24)</formula>
    </cfRule>
    <cfRule type="expression" dxfId="8066" priority="63">
      <formula>B$9&lt;8/24</formula>
    </cfRule>
  </conditionalFormatting>
  <conditionalFormatting sqref="B12:K15">
    <cfRule type="expression" dxfId="8065" priority="56">
      <formula>B$9&gt;=20/24</formula>
    </cfRule>
    <cfRule type="expression" dxfId="8064" priority="57">
      <formula>AND(B$9&gt;=14/24,B$9&lt;20/24)</formula>
    </cfRule>
    <cfRule type="expression" dxfId="8063" priority="58">
      <formula>AND(B$9&gt;=8/24,B$9&lt;14/24)</formula>
    </cfRule>
    <cfRule type="expression" dxfId="8062" priority="59">
      <formula>B$9&lt;8/24</formula>
    </cfRule>
  </conditionalFormatting>
  <conditionalFormatting sqref="B16:K16">
    <cfRule type="expression" dxfId="8061" priority="52">
      <formula>B$9&gt;=20/24</formula>
    </cfRule>
    <cfRule type="expression" dxfId="8060" priority="53">
      <formula>AND(B$9&gt;=14/24,B$9&lt;20/24)</formula>
    </cfRule>
    <cfRule type="expression" dxfId="8059" priority="54">
      <formula>AND(B$9&gt;=8/24,B$9&lt;14/24)</formula>
    </cfRule>
    <cfRule type="expression" dxfId="8058" priority="55">
      <formula>B$9&lt;8/24</formula>
    </cfRule>
  </conditionalFormatting>
  <conditionalFormatting sqref="B12:K12">
    <cfRule type="expression" dxfId="8057" priority="48">
      <formula>B$9&gt;=20/24</formula>
    </cfRule>
    <cfRule type="expression" dxfId="8056" priority="49">
      <formula>AND(B$9&gt;=14/24,B$9&lt;20/24)</formula>
    </cfRule>
    <cfRule type="expression" dxfId="8055" priority="50">
      <formula>AND(B$9&gt;=8/24,B$9&lt;14/24)</formula>
    </cfRule>
    <cfRule type="expression" dxfId="8054" priority="51">
      <formula>B$9&lt;8/24</formula>
    </cfRule>
  </conditionalFormatting>
  <conditionalFormatting sqref="B32:K32">
    <cfRule type="expression" dxfId="8053" priority="44">
      <formula>B$9&gt;=20/24</formula>
    </cfRule>
    <cfRule type="expression" dxfId="8052" priority="45">
      <formula>AND(B$9&gt;=14/24,B$9&lt;20/24)</formula>
    </cfRule>
    <cfRule type="expression" dxfId="8051" priority="46">
      <formula>AND(B$9&gt;=8/24,B$9&lt;14/24)</formula>
    </cfRule>
    <cfRule type="expression" dxfId="8050" priority="47">
      <formula>B$9&lt;8/24</formula>
    </cfRule>
  </conditionalFormatting>
  <conditionalFormatting sqref="B32:K32">
    <cfRule type="expression" dxfId="8049" priority="43">
      <formula>B32&gt;$AG32</formula>
    </cfRule>
  </conditionalFormatting>
  <conditionalFormatting sqref="B38:B40 C40:D40">
    <cfRule type="expression" dxfId="8048" priority="39">
      <formula>B$9&gt;=20/24</formula>
    </cfRule>
    <cfRule type="expression" dxfId="8047" priority="40">
      <formula>AND(B$9&gt;=14/24,B$9&lt;20/24)</formula>
    </cfRule>
    <cfRule type="expression" dxfId="8046" priority="41">
      <formula>AND(B$9&gt;=8/24,B$9&lt;14/24)</formula>
    </cfRule>
    <cfRule type="expression" dxfId="8045" priority="42">
      <formula>B$9&lt;8/24</formula>
    </cfRule>
  </conditionalFormatting>
  <conditionalFormatting sqref="B37">
    <cfRule type="expression" dxfId="8044" priority="35">
      <formula>B$9&gt;=20/24</formula>
    </cfRule>
    <cfRule type="expression" dxfId="8043" priority="36">
      <formula>AND(B$9&gt;=14/24,B$9&lt;20/24)</formula>
    </cfRule>
    <cfRule type="expression" dxfId="8042" priority="37">
      <formula>AND(B$9&gt;=8/24,B$9&lt;14/24)</formula>
    </cfRule>
    <cfRule type="expression" dxfId="8041" priority="38">
      <formula>B$9&lt;8/24</formula>
    </cfRule>
  </conditionalFormatting>
  <conditionalFormatting sqref="B41:E41 B43:E45 B46:K46">
    <cfRule type="expression" dxfId="8040" priority="31">
      <formula>B$9&gt;=20/24</formula>
    </cfRule>
    <cfRule type="expression" dxfId="8039" priority="32">
      <formula>AND(B$9&gt;=14/24,B$9&lt;20/24)</formula>
    </cfRule>
    <cfRule type="expression" dxfId="8038" priority="33">
      <formula>AND(B$9&gt;=8/24,B$9&lt;14/24)</formula>
    </cfRule>
    <cfRule type="expression" dxfId="8037" priority="34">
      <formula>B$9&lt;8/24</formula>
    </cfRule>
  </conditionalFormatting>
  <conditionalFormatting sqref="B47:K47">
    <cfRule type="expression" dxfId="8036" priority="27">
      <formula>B$9&gt;=20/24</formula>
    </cfRule>
    <cfRule type="expression" dxfId="8035" priority="28">
      <formula>AND(B$9&gt;=14/24,B$9&lt;20/24)</formula>
    </cfRule>
    <cfRule type="expression" dxfId="8034" priority="29">
      <formula>AND(B$9&gt;=8/24,B$9&lt;14/24)</formula>
    </cfRule>
    <cfRule type="expression" dxfId="8033" priority="30">
      <formula>B$9&lt;8/24</formula>
    </cfRule>
  </conditionalFormatting>
  <conditionalFormatting sqref="B48:K48">
    <cfRule type="expression" dxfId="8032" priority="23">
      <formula>B$9&gt;=20/24</formula>
    </cfRule>
    <cfRule type="expression" dxfId="8031" priority="24">
      <formula>AND(B$9&gt;=14/24,B$9&lt;20/24)</formula>
    </cfRule>
    <cfRule type="expression" dxfId="8030" priority="25">
      <formula>AND(B$9&gt;=8/24,B$9&lt;14/24)</formula>
    </cfRule>
    <cfRule type="expression" dxfId="8029" priority="26">
      <formula>B$9&lt;8/24</formula>
    </cfRule>
  </conditionalFormatting>
  <conditionalFormatting sqref="B43:B49 B37:B41 C40:D41 E41 C43:E45 C46:K48">
    <cfRule type="expression" dxfId="8028" priority="22">
      <formula>B37&gt;$AG37</formula>
    </cfRule>
  </conditionalFormatting>
  <conditionalFormatting sqref="B42:E42">
    <cfRule type="expression" dxfId="8027" priority="18">
      <formula>B$9&gt;=20/24</formula>
    </cfRule>
    <cfRule type="expression" dxfId="8026" priority="19">
      <formula>AND(B$9&gt;=14/24,B$9&lt;20/24)</formula>
    </cfRule>
    <cfRule type="expression" dxfId="8025" priority="20">
      <formula>AND(B$9&gt;=8/24,B$9&lt;14/24)</formula>
    </cfRule>
    <cfRule type="expression" dxfId="8024" priority="21">
      <formula>B$9&lt;8/24</formula>
    </cfRule>
  </conditionalFormatting>
  <conditionalFormatting sqref="B42:E42">
    <cfRule type="expression" dxfId="8023" priority="17">
      <formula>B42&gt;$AG42</formula>
    </cfRule>
  </conditionalFormatting>
  <conditionalFormatting sqref="B55:K55">
    <cfRule type="expression" dxfId="8022" priority="13">
      <formula>B$9&gt;=20/24</formula>
    </cfRule>
    <cfRule type="expression" dxfId="8021" priority="14">
      <formula>AND(B$9&gt;=14/24,B$9&lt;20/24)</formula>
    </cfRule>
    <cfRule type="expression" dxfId="8020" priority="15">
      <formula>AND(B$9&gt;=8/24,B$9&lt;14/24)</formula>
    </cfRule>
    <cfRule type="expression" dxfId="8019" priority="16">
      <formula>B$9&lt;8/24</formula>
    </cfRule>
  </conditionalFormatting>
  <conditionalFormatting sqref="B59:L65">
    <cfRule type="expression" dxfId="8018" priority="9">
      <formula>B$9&gt;=20/24</formula>
    </cfRule>
    <cfRule type="expression" dxfId="8017" priority="10">
      <formula>AND(B$9&gt;=14/24,B$9&lt;20/24)</formula>
    </cfRule>
    <cfRule type="expression" dxfId="8016" priority="11">
      <formula>AND(B$9&gt;=8/24,B$9&lt;14/24)</formula>
    </cfRule>
    <cfRule type="expression" dxfId="8015" priority="12">
      <formula>B$9&lt;8/24</formula>
    </cfRule>
  </conditionalFormatting>
  <conditionalFormatting sqref="B56:C57 D56:K56">
    <cfRule type="expression" dxfId="8014" priority="5">
      <formula>B$9&gt;=20/24</formula>
    </cfRule>
    <cfRule type="expression" dxfId="8013" priority="6">
      <formula>AND(B$9&gt;=14/24,B$9&lt;20/24)</formula>
    </cfRule>
    <cfRule type="expression" dxfId="8012" priority="7">
      <formula>AND(B$9&gt;=8/24,B$9&lt;14/24)</formula>
    </cfRule>
    <cfRule type="expression" dxfId="8011" priority="8">
      <formula>B$9&lt;8/24</formula>
    </cfRule>
  </conditionalFormatting>
  <conditionalFormatting sqref="B58:L58">
    <cfRule type="expression" dxfId="8010" priority="1">
      <formula>B$9&gt;=20/24</formula>
    </cfRule>
    <cfRule type="expression" dxfId="8009" priority="2">
      <formula>AND(B$9&gt;=14/24,B$9&lt;20/24)</formula>
    </cfRule>
    <cfRule type="expression" dxfId="8008" priority="3">
      <formula>AND(B$9&gt;=8/24,B$9&lt;14/24)</formula>
    </cfRule>
    <cfRule type="expression" dxfId="8007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2078/07/9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-40.299999999999997</v>
      </c>
      <c r="C5" s="32">
        <f t="shared" ref="C5:AF5" si="0">C66</f>
        <v>-10</v>
      </c>
      <c r="D5" s="32">
        <f t="shared" si="0"/>
        <v>-10.7</v>
      </c>
      <c r="E5" s="32">
        <f t="shared" si="0"/>
        <v>-13</v>
      </c>
      <c r="F5" s="32">
        <f t="shared" si="0"/>
        <v>-2.5</v>
      </c>
      <c r="G5" s="32">
        <f t="shared" si="0"/>
        <v>-3.4</v>
      </c>
      <c r="H5" s="32">
        <f t="shared" si="0"/>
        <v>-18.399999999999999</v>
      </c>
      <c r="I5" s="32">
        <f t="shared" si="0"/>
        <v>-2.7</v>
      </c>
      <c r="J5" s="32">
        <f t="shared" si="0"/>
        <v>-2.7</v>
      </c>
      <c r="K5" s="32">
        <f t="shared" si="0"/>
        <v>-14.9</v>
      </c>
      <c r="L5" s="32">
        <f t="shared" si="0"/>
        <v>-15</v>
      </c>
      <c r="M5" s="32">
        <f t="shared" si="0"/>
        <v>-18</v>
      </c>
      <c r="N5" s="32">
        <f t="shared" si="0"/>
        <v>-5.2</v>
      </c>
      <c r="O5" s="32">
        <f t="shared" si="0"/>
        <v>-6</v>
      </c>
      <c r="P5" s="32">
        <f t="shared" si="0"/>
        <v>-5</v>
      </c>
      <c r="Q5" s="32">
        <f t="shared" si="0"/>
        <v>-21</v>
      </c>
      <c r="R5" s="32">
        <f t="shared" si="0"/>
        <v>-7</v>
      </c>
      <c r="S5" s="32">
        <f t="shared" si="0"/>
        <v>-10</v>
      </c>
      <c r="T5" s="32">
        <f t="shared" si="0"/>
        <v>-17.100000000000001</v>
      </c>
      <c r="U5" s="32">
        <f t="shared" si="0"/>
        <v>-5.4</v>
      </c>
      <c r="V5" s="32">
        <f t="shared" si="0"/>
        <v>-26.7</v>
      </c>
      <c r="W5" s="32">
        <f t="shared" si="0"/>
        <v>-17.8</v>
      </c>
      <c r="X5" s="32">
        <f t="shared" si="0"/>
        <v>-12</v>
      </c>
      <c r="Y5" s="32">
        <f t="shared" si="0"/>
        <v>-28.5</v>
      </c>
      <c r="Z5" s="32">
        <f t="shared" si="0"/>
        <v>-16.8</v>
      </c>
      <c r="AA5" s="32">
        <f t="shared" si="0"/>
        <v>-12.1</v>
      </c>
      <c r="AB5" s="32">
        <f t="shared" si="0"/>
        <v>-16.8</v>
      </c>
      <c r="AC5" s="32">
        <f t="shared" si="0"/>
        <v>-20</v>
      </c>
      <c r="AD5" s="32">
        <f t="shared" si="0"/>
        <v>-38</v>
      </c>
      <c r="AE5" s="32">
        <f t="shared" si="0"/>
        <v>-25</v>
      </c>
      <c r="AF5" s="32">
        <f t="shared" si="0"/>
        <v>-26.2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1126MW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Load=809</v>
      </c>
      <c r="B7" s="37">
        <f t="shared" ref="B7:AF7" si="1">B73</f>
        <v>849.84000000000015</v>
      </c>
      <c r="C7" s="37">
        <f t="shared" si="1"/>
        <v>809.14</v>
      </c>
      <c r="D7" s="37">
        <f t="shared" si="1"/>
        <v>812.34</v>
      </c>
      <c r="E7" s="37">
        <f t="shared" si="1"/>
        <v>810.74</v>
      </c>
      <c r="F7" s="37">
        <f t="shared" si="1"/>
        <v>819.84</v>
      </c>
      <c r="G7" s="37">
        <f t="shared" si="1"/>
        <v>874.34000000000015</v>
      </c>
      <c r="H7" s="37">
        <f t="shared" si="1"/>
        <v>901.94</v>
      </c>
      <c r="I7" s="37">
        <f t="shared" si="1"/>
        <v>939.34000000000015</v>
      </c>
      <c r="J7" s="37">
        <f t="shared" si="1"/>
        <v>1037.6399999999999</v>
      </c>
      <c r="K7" s="37">
        <f t="shared" si="1"/>
        <v>1108.3400000000001</v>
      </c>
      <c r="L7" s="37">
        <f>L73</f>
        <v>1126.24</v>
      </c>
      <c r="M7" s="37">
        <f t="shared" si="1"/>
        <v>1105.04</v>
      </c>
      <c r="N7" s="37">
        <f t="shared" si="1"/>
        <v>1109.1399999999999</v>
      </c>
      <c r="O7" s="37">
        <f t="shared" si="1"/>
        <v>1067.9399999999998</v>
      </c>
      <c r="P7" s="37">
        <f t="shared" si="1"/>
        <v>1065.3399999999999</v>
      </c>
      <c r="Q7" s="37">
        <f t="shared" si="1"/>
        <v>1049.7399999999998</v>
      </c>
      <c r="R7" s="37">
        <f t="shared" si="1"/>
        <v>1129.3399999999999</v>
      </c>
      <c r="S7" s="37">
        <f t="shared" si="1"/>
        <v>1099.3399999999999</v>
      </c>
      <c r="T7" s="37">
        <f t="shared" si="1"/>
        <v>1116.04</v>
      </c>
      <c r="U7" s="37">
        <f t="shared" si="1"/>
        <v>1150.94</v>
      </c>
      <c r="V7" s="37">
        <f t="shared" si="1"/>
        <v>1209.1399999999999</v>
      </c>
      <c r="W7" s="37">
        <f t="shared" si="1"/>
        <v>1369.8400000000001</v>
      </c>
      <c r="X7" s="37">
        <f t="shared" si="1"/>
        <v>1329.3400000000001</v>
      </c>
      <c r="Y7" s="37">
        <f t="shared" si="1"/>
        <v>1282.6400000000001</v>
      </c>
      <c r="Z7" s="37">
        <f t="shared" si="1"/>
        <v>1205.8400000000001</v>
      </c>
      <c r="AA7" s="37">
        <f t="shared" si="1"/>
        <v>1130.74</v>
      </c>
      <c r="AB7" s="37">
        <f t="shared" si="1"/>
        <v>1126.04</v>
      </c>
      <c r="AC7" s="37">
        <f t="shared" si="1"/>
        <v>1023.34</v>
      </c>
      <c r="AD7" s="37">
        <f t="shared" si="1"/>
        <v>901.04000000000008</v>
      </c>
      <c r="AE7" s="37">
        <f t="shared" si="1"/>
        <v>874.74</v>
      </c>
      <c r="AF7" s="37">
        <f t="shared" si="1"/>
        <v>873.24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80</v>
      </c>
      <c r="C11" s="49">
        <v>60</v>
      </c>
      <c r="D11" s="49">
        <v>70</v>
      </c>
      <c r="E11" s="49">
        <v>70</v>
      </c>
      <c r="F11" s="49">
        <v>70</v>
      </c>
      <c r="G11" s="49">
        <v>70</v>
      </c>
      <c r="H11" s="49">
        <v>70</v>
      </c>
      <c r="I11" s="49">
        <v>70</v>
      </c>
      <c r="J11" s="49">
        <v>130</v>
      </c>
      <c r="K11" s="49">
        <v>190</v>
      </c>
      <c r="L11" s="50">
        <v>210</v>
      </c>
      <c r="M11" s="50">
        <v>160</v>
      </c>
      <c r="N11" s="50">
        <v>150</v>
      </c>
      <c r="O11" s="50">
        <v>120</v>
      </c>
      <c r="P11" s="50">
        <v>120</v>
      </c>
      <c r="Q11" s="50">
        <v>120</v>
      </c>
      <c r="R11" s="50">
        <v>165</v>
      </c>
      <c r="S11" s="50">
        <v>170</v>
      </c>
      <c r="T11" s="52">
        <v>200</v>
      </c>
      <c r="U11" s="52">
        <v>220</v>
      </c>
      <c r="V11" s="52">
        <v>280</v>
      </c>
      <c r="W11" s="52">
        <v>340</v>
      </c>
      <c r="X11" s="52">
        <v>313</v>
      </c>
      <c r="Y11" s="52">
        <v>311.3</v>
      </c>
      <c r="Z11" s="54">
        <v>253</v>
      </c>
      <c r="AA11" s="54">
        <v>182</v>
      </c>
      <c r="AB11" s="54">
        <v>182</v>
      </c>
      <c r="AC11" s="54">
        <v>114</v>
      </c>
      <c r="AD11" s="54">
        <v>100</v>
      </c>
      <c r="AE11" s="49">
        <v>80</v>
      </c>
      <c r="AF11" s="49">
        <v>80</v>
      </c>
      <c r="AG11" s="55">
        <v>456</v>
      </c>
      <c r="AH11" s="56">
        <f>MAX(B11:AF11)</f>
        <v>340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50</v>
      </c>
      <c r="I12" s="49">
        <v>50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50">
        <v>50</v>
      </c>
      <c r="AD12" s="50">
        <v>50</v>
      </c>
      <c r="AE12" s="49">
        <v>50</v>
      </c>
      <c r="AF12" s="49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</v>
      </c>
      <c r="C13" s="49">
        <v>25</v>
      </c>
      <c r="D13" s="49">
        <v>25</v>
      </c>
      <c r="E13" s="49">
        <v>25</v>
      </c>
      <c r="F13" s="49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62">
        <v>25</v>
      </c>
      <c r="U13" s="62">
        <v>25</v>
      </c>
      <c r="V13" s="62">
        <v>25</v>
      </c>
      <c r="W13" s="62">
        <v>25</v>
      </c>
      <c r="X13" s="62">
        <v>25</v>
      </c>
      <c r="Y13" s="62">
        <v>25</v>
      </c>
      <c r="Z13" s="62">
        <v>25</v>
      </c>
      <c r="AA13" s="62">
        <v>25</v>
      </c>
      <c r="AB13" s="62">
        <v>25</v>
      </c>
      <c r="AC13" s="50">
        <v>25</v>
      </c>
      <c r="AD13" s="50">
        <v>25</v>
      </c>
      <c r="AE13" s="50">
        <v>25</v>
      </c>
      <c r="AF13" s="50">
        <v>25</v>
      </c>
      <c r="AG13" s="61">
        <v>52.4</v>
      </c>
      <c r="AH13" s="56">
        <f t="shared" si="2"/>
        <v>25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37</v>
      </c>
      <c r="C14" s="63">
        <v>37</v>
      </c>
      <c r="D14" s="63">
        <v>37</v>
      </c>
      <c r="E14" s="63">
        <v>37</v>
      </c>
      <c r="F14" s="63">
        <v>37</v>
      </c>
      <c r="G14" s="63">
        <v>37</v>
      </c>
      <c r="H14" s="63">
        <v>37</v>
      </c>
      <c r="I14" s="63">
        <v>37</v>
      </c>
      <c r="J14" s="63">
        <v>37.299999999999997</v>
      </c>
      <c r="K14" s="63">
        <v>37.299999999999997</v>
      </c>
      <c r="L14" s="50">
        <v>37.299999999999997</v>
      </c>
      <c r="M14" s="50">
        <v>37.299999999999997</v>
      </c>
      <c r="N14" s="50">
        <v>37.200000000000003</v>
      </c>
      <c r="O14" s="50">
        <v>37.200000000000003</v>
      </c>
      <c r="P14" s="50">
        <v>37.200000000000003</v>
      </c>
      <c r="Q14" s="50">
        <v>37.200000000000003</v>
      </c>
      <c r="R14" s="50">
        <v>37.200000000000003</v>
      </c>
      <c r="S14" s="50">
        <v>37.200000000000003</v>
      </c>
      <c r="T14" s="62">
        <v>37.200000000000003</v>
      </c>
      <c r="U14" s="62">
        <v>37.200000000000003</v>
      </c>
      <c r="V14" s="62">
        <v>41.7</v>
      </c>
      <c r="W14" s="62">
        <v>41.7</v>
      </c>
      <c r="X14" s="62">
        <v>45</v>
      </c>
      <c r="Y14" s="62">
        <v>41.8</v>
      </c>
      <c r="Z14" s="62">
        <v>41.8</v>
      </c>
      <c r="AA14" s="62">
        <v>41.8</v>
      </c>
      <c r="AB14" s="62">
        <v>41.8</v>
      </c>
      <c r="AC14" s="50">
        <v>36</v>
      </c>
      <c r="AD14" s="50">
        <v>36</v>
      </c>
      <c r="AE14" s="50">
        <v>36</v>
      </c>
      <c r="AF14" s="50">
        <v>36</v>
      </c>
      <c r="AG14" s="64">
        <v>45</v>
      </c>
      <c r="AH14" s="56">
        <f t="shared" si="2"/>
        <v>45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18</v>
      </c>
      <c r="C15" s="49">
        <v>18</v>
      </c>
      <c r="D15" s="49">
        <v>18</v>
      </c>
      <c r="E15" s="49">
        <v>18</v>
      </c>
      <c r="F15" s="49">
        <v>18</v>
      </c>
      <c r="G15" s="49">
        <v>18</v>
      </c>
      <c r="H15" s="49">
        <v>24</v>
      </c>
      <c r="I15" s="49">
        <v>24</v>
      </c>
      <c r="J15" s="49">
        <v>24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0</v>
      </c>
      <c r="T15" s="50">
        <v>0</v>
      </c>
      <c r="U15" s="50">
        <v>20</v>
      </c>
      <c r="V15" s="52">
        <v>23</v>
      </c>
      <c r="W15" s="62">
        <v>20</v>
      </c>
      <c r="X15" s="62">
        <v>20</v>
      </c>
      <c r="Y15" s="62">
        <v>20</v>
      </c>
      <c r="Z15" s="62">
        <v>23</v>
      </c>
      <c r="AA15" s="62">
        <v>23</v>
      </c>
      <c r="AB15" s="62">
        <v>23</v>
      </c>
      <c r="AC15" s="50">
        <v>23</v>
      </c>
      <c r="AD15" s="50">
        <v>23</v>
      </c>
      <c r="AE15" s="50">
        <v>23</v>
      </c>
      <c r="AF15" s="50">
        <v>23</v>
      </c>
      <c r="AG15" s="61">
        <v>45</v>
      </c>
      <c r="AH15" s="56">
        <f t="shared" si="2"/>
        <v>26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50">
        <v>25</v>
      </c>
      <c r="X16" s="60">
        <v>25</v>
      </c>
      <c r="Y16" s="60">
        <v>25</v>
      </c>
      <c r="Z16" s="60">
        <v>25</v>
      </c>
      <c r="AA16" s="60">
        <v>25</v>
      </c>
      <c r="AB16" s="60">
        <v>25</v>
      </c>
      <c r="AC16" s="50">
        <v>22</v>
      </c>
      <c r="AD16" s="50">
        <v>22</v>
      </c>
      <c r="AE16" s="50">
        <v>22</v>
      </c>
      <c r="AF16" s="50">
        <v>22</v>
      </c>
      <c r="AG16" s="61">
        <v>42</v>
      </c>
      <c r="AH16" s="56">
        <f t="shared" si="2"/>
        <v>25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25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22.4</v>
      </c>
      <c r="K18" s="49">
        <v>22.4</v>
      </c>
      <c r="L18" s="50">
        <v>22.4</v>
      </c>
      <c r="M18" s="50">
        <v>22.4</v>
      </c>
      <c r="N18" s="50">
        <v>22.7</v>
      </c>
      <c r="O18" s="50">
        <v>22.7</v>
      </c>
      <c r="P18" s="50">
        <v>22.7</v>
      </c>
      <c r="Q18" s="50">
        <v>22.7</v>
      </c>
      <c r="R18" s="50">
        <v>22.7</v>
      </c>
      <c r="S18" s="50">
        <v>22.7</v>
      </c>
      <c r="T18" s="50">
        <v>22.7</v>
      </c>
      <c r="U18" s="50">
        <v>22.7</v>
      </c>
      <c r="V18" s="50">
        <v>22.7</v>
      </c>
      <c r="W18" s="50">
        <v>22.7</v>
      </c>
      <c r="X18" s="50">
        <v>22.7</v>
      </c>
      <c r="Y18" s="50">
        <v>22.7</v>
      </c>
      <c r="Z18" s="50">
        <v>22.7</v>
      </c>
      <c r="AA18" s="50">
        <v>22.7</v>
      </c>
      <c r="AB18" s="50">
        <v>22.7</v>
      </c>
      <c r="AC18" s="50">
        <v>22</v>
      </c>
      <c r="AD18" s="50">
        <v>22</v>
      </c>
      <c r="AE18" s="50">
        <v>22</v>
      </c>
      <c r="AF18" s="50">
        <v>22</v>
      </c>
      <c r="AG18" s="61">
        <v>30</v>
      </c>
      <c r="AH18" s="56">
        <f t="shared" si="2"/>
        <v>22.7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20</v>
      </c>
      <c r="AE21" s="50">
        <v>20</v>
      </c>
      <c r="AF21" s="50">
        <v>20</v>
      </c>
      <c r="AG21" s="61">
        <v>25</v>
      </c>
      <c r="AH21" s="56">
        <f t="shared" si="2"/>
        <v>22</v>
      </c>
      <c r="AI21" s="57">
        <f t="shared" si="3"/>
        <v>20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18</v>
      </c>
      <c r="C22" s="49">
        <v>18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18</v>
      </c>
      <c r="K22" s="49">
        <v>18</v>
      </c>
      <c r="L22" s="50">
        <v>18</v>
      </c>
      <c r="M22" s="50">
        <v>18</v>
      </c>
      <c r="N22" s="50">
        <v>18</v>
      </c>
      <c r="O22" s="50">
        <v>18</v>
      </c>
      <c r="P22" s="50">
        <v>18</v>
      </c>
      <c r="Q22" s="50">
        <v>18</v>
      </c>
      <c r="R22" s="50">
        <v>18</v>
      </c>
      <c r="S22" s="50">
        <v>18</v>
      </c>
      <c r="T22" s="50">
        <v>18</v>
      </c>
      <c r="U22" s="50">
        <v>18</v>
      </c>
      <c r="V22" s="50">
        <v>18</v>
      </c>
      <c r="W22" s="50">
        <v>18</v>
      </c>
      <c r="X22" s="50">
        <v>18</v>
      </c>
      <c r="Y22" s="50">
        <v>18</v>
      </c>
      <c r="Z22" s="50">
        <v>18</v>
      </c>
      <c r="AA22" s="50">
        <v>18</v>
      </c>
      <c r="AB22" s="50">
        <v>18</v>
      </c>
      <c r="AC22" s="50">
        <v>15</v>
      </c>
      <c r="AD22" s="50">
        <v>15</v>
      </c>
      <c r="AE22" s="50">
        <v>15</v>
      </c>
      <c r="AF22" s="50">
        <v>15</v>
      </c>
      <c r="AG22" s="61">
        <v>25</v>
      </c>
      <c r="AH22" s="56">
        <f t="shared" si="2"/>
        <v>18</v>
      </c>
      <c r="AI22" s="57">
        <f t="shared" si="3"/>
        <v>15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18</v>
      </c>
      <c r="C23" s="49">
        <v>18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18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21</v>
      </c>
      <c r="U23" s="50">
        <v>21</v>
      </c>
      <c r="V23" s="50">
        <v>21</v>
      </c>
      <c r="W23" s="50">
        <v>21</v>
      </c>
      <c r="X23" s="50">
        <v>21</v>
      </c>
      <c r="Y23" s="50">
        <v>21</v>
      </c>
      <c r="Z23" s="50">
        <v>21</v>
      </c>
      <c r="AA23" s="50">
        <v>21</v>
      </c>
      <c r="AB23" s="50">
        <v>21</v>
      </c>
      <c r="AC23" s="50">
        <v>18</v>
      </c>
      <c r="AD23" s="50">
        <v>18</v>
      </c>
      <c r="AE23" s="50">
        <v>18</v>
      </c>
      <c r="AF23" s="50">
        <v>18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18</v>
      </c>
      <c r="AD24" s="50">
        <v>18</v>
      </c>
      <c r="AE24" s="50">
        <v>18</v>
      </c>
      <c r="AF24" s="50">
        <v>18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0">
        <v>4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8.4</v>
      </c>
      <c r="S25" s="50">
        <v>8.4</v>
      </c>
      <c r="T25" s="50">
        <v>8.4</v>
      </c>
      <c r="U25" s="50">
        <v>4</v>
      </c>
      <c r="V25" s="50">
        <v>4</v>
      </c>
      <c r="W25" s="50">
        <v>4</v>
      </c>
      <c r="X25" s="50">
        <v>4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50">
        <v>4</v>
      </c>
      <c r="AF25" s="50">
        <v>4</v>
      </c>
      <c r="AG25" s="61">
        <v>20</v>
      </c>
      <c r="AH25" s="56">
        <f>MAX(B25:AF25)</f>
        <v>8.4</v>
      </c>
      <c r="AI25" s="57">
        <f>MIN(B25:AF25)</f>
        <v>4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10</v>
      </c>
      <c r="C26" s="49">
        <v>10</v>
      </c>
      <c r="D26" s="49">
        <v>10</v>
      </c>
      <c r="E26" s="49">
        <v>10</v>
      </c>
      <c r="F26" s="49">
        <v>10</v>
      </c>
      <c r="G26" s="49">
        <v>10</v>
      </c>
      <c r="H26" s="49">
        <v>10</v>
      </c>
      <c r="I26" s="49">
        <v>10</v>
      </c>
      <c r="J26" s="49">
        <v>10</v>
      </c>
      <c r="K26" s="49">
        <v>10</v>
      </c>
      <c r="L26" s="50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10</v>
      </c>
      <c r="S26" s="50">
        <v>10</v>
      </c>
      <c r="T26" s="50">
        <v>10</v>
      </c>
      <c r="U26" s="50">
        <v>10</v>
      </c>
      <c r="V26" s="50">
        <v>10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61">
        <v>23.5</v>
      </c>
      <c r="AH26" s="56">
        <f t="shared" si="2"/>
        <v>10</v>
      </c>
      <c r="AI26" s="57">
        <f t="shared" si="3"/>
        <v>10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6</v>
      </c>
      <c r="C27" s="49">
        <v>6</v>
      </c>
      <c r="D27" s="49">
        <v>6</v>
      </c>
      <c r="E27" s="49">
        <v>6</v>
      </c>
      <c r="F27" s="49">
        <v>6</v>
      </c>
      <c r="G27" s="49">
        <v>6</v>
      </c>
      <c r="H27" s="49">
        <v>6</v>
      </c>
      <c r="I27" s="49">
        <v>6</v>
      </c>
      <c r="J27" s="49">
        <v>6</v>
      </c>
      <c r="K27" s="49">
        <v>6</v>
      </c>
      <c r="L27" s="50">
        <v>6</v>
      </c>
      <c r="M27" s="50">
        <v>6</v>
      </c>
      <c r="N27" s="50">
        <v>6</v>
      </c>
      <c r="O27" s="50">
        <v>6</v>
      </c>
      <c r="P27" s="50">
        <v>6</v>
      </c>
      <c r="Q27" s="50">
        <v>6</v>
      </c>
      <c r="R27" s="50">
        <v>6</v>
      </c>
      <c r="S27" s="50">
        <v>0</v>
      </c>
      <c r="T27" s="50">
        <v>0</v>
      </c>
      <c r="U27" s="50">
        <v>6</v>
      </c>
      <c r="V27" s="50">
        <v>6</v>
      </c>
      <c r="W27" s="50">
        <v>6</v>
      </c>
      <c r="X27" s="50">
        <v>6</v>
      </c>
      <c r="Y27" s="50">
        <v>6</v>
      </c>
      <c r="Z27" s="50">
        <v>6</v>
      </c>
      <c r="AA27" s="50">
        <v>6</v>
      </c>
      <c r="AB27" s="50">
        <v>6</v>
      </c>
      <c r="AC27" s="50">
        <v>6</v>
      </c>
      <c r="AD27" s="50">
        <v>6</v>
      </c>
      <c r="AE27" s="50">
        <v>6</v>
      </c>
      <c r="AF27" s="50">
        <v>6</v>
      </c>
      <c r="AG27" s="61">
        <v>22.2</v>
      </c>
      <c r="AH27" s="56">
        <f t="shared" si="2"/>
        <v>6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12</v>
      </c>
      <c r="C30" s="63">
        <v>12</v>
      </c>
      <c r="D30" s="63">
        <v>12</v>
      </c>
      <c r="E30" s="63">
        <v>12</v>
      </c>
      <c r="F30" s="63">
        <v>12</v>
      </c>
      <c r="G30" s="63">
        <v>12</v>
      </c>
      <c r="H30" s="63">
        <v>12</v>
      </c>
      <c r="I30" s="63">
        <v>12</v>
      </c>
      <c r="J30" s="63">
        <v>12</v>
      </c>
      <c r="K30" s="63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7</v>
      </c>
      <c r="C32" s="63">
        <v>7</v>
      </c>
      <c r="D32" s="63">
        <v>7</v>
      </c>
      <c r="E32" s="63">
        <v>7</v>
      </c>
      <c r="F32" s="63">
        <v>7</v>
      </c>
      <c r="G32" s="63">
        <v>7</v>
      </c>
      <c r="H32" s="63">
        <v>7</v>
      </c>
      <c r="I32" s="63">
        <v>7</v>
      </c>
      <c r="J32" s="63">
        <v>7</v>
      </c>
      <c r="K32" s="63">
        <v>7</v>
      </c>
      <c r="L32" s="50">
        <v>7</v>
      </c>
      <c r="M32" s="50">
        <v>7</v>
      </c>
      <c r="N32" s="50">
        <v>7</v>
      </c>
      <c r="O32" s="50">
        <v>7</v>
      </c>
      <c r="P32" s="50">
        <v>7</v>
      </c>
      <c r="Q32" s="50">
        <v>7</v>
      </c>
      <c r="R32" s="50">
        <v>7</v>
      </c>
      <c r="S32" s="50">
        <v>7</v>
      </c>
      <c r="T32" s="50">
        <v>2</v>
      </c>
      <c r="U32" s="50">
        <v>2</v>
      </c>
      <c r="V32" s="50">
        <v>2</v>
      </c>
      <c r="W32" s="50">
        <v>2</v>
      </c>
      <c r="X32" s="50">
        <v>2</v>
      </c>
      <c r="Y32" s="50">
        <v>2</v>
      </c>
      <c r="Z32" s="50">
        <v>2</v>
      </c>
      <c r="AA32" s="50">
        <v>2</v>
      </c>
      <c r="AB32" s="50">
        <v>2</v>
      </c>
      <c r="AC32" s="50">
        <v>2</v>
      </c>
      <c r="AD32" s="50">
        <v>2</v>
      </c>
      <c r="AE32" s="50">
        <v>2</v>
      </c>
      <c r="AF32" s="50">
        <v>2</v>
      </c>
      <c r="AG32" s="69">
        <v>20</v>
      </c>
      <c r="AH32" s="56">
        <f t="shared" si="2"/>
        <v>7</v>
      </c>
      <c r="AI32" s="57">
        <f t="shared" si="3"/>
        <v>2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180</v>
      </c>
      <c r="C34" s="63">
        <v>180</v>
      </c>
      <c r="D34" s="63">
        <v>180</v>
      </c>
      <c r="E34" s="63">
        <v>180</v>
      </c>
      <c r="F34" s="63">
        <v>180</v>
      </c>
      <c r="G34" s="63">
        <v>180</v>
      </c>
      <c r="H34" s="63">
        <v>180</v>
      </c>
      <c r="I34" s="63">
        <v>180</v>
      </c>
      <c r="J34" s="63">
        <v>180</v>
      </c>
      <c r="K34" s="63">
        <v>200</v>
      </c>
      <c r="L34" s="63">
        <v>200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200</v>
      </c>
      <c r="AD34" s="63">
        <v>200</v>
      </c>
      <c r="AE34" s="63">
        <v>200</v>
      </c>
      <c r="AF34" s="63">
        <v>200</v>
      </c>
      <c r="AG34" s="69">
        <v>85</v>
      </c>
      <c r="AH34" s="56">
        <f t="shared" si="2"/>
        <v>200</v>
      </c>
      <c r="AI34" s="57">
        <f t="shared" si="3"/>
        <v>180</v>
      </c>
      <c r="AK34" s="58"/>
    </row>
    <row r="35" spans="1:88" ht="15.75" thickBot="1" x14ac:dyDescent="0.3">
      <c r="A35" s="71" t="s">
        <v>43</v>
      </c>
      <c r="B35" s="63">
        <v>124</v>
      </c>
      <c r="C35" s="63">
        <v>124</v>
      </c>
      <c r="D35" s="63">
        <v>125</v>
      </c>
      <c r="E35" s="63">
        <v>125</v>
      </c>
      <c r="F35" s="63">
        <v>125</v>
      </c>
      <c r="G35" s="63">
        <v>125</v>
      </c>
      <c r="H35" s="63">
        <v>126.1</v>
      </c>
      <c r="I35" s="63">
        <v>126</v>
      </c>
      <c r="J35" s="63">
        <v>126</v>
      </c>
      <c r="K35" s="63">
        <v>128</v>
      </c>
      <c r="L35" s="72">
        <f>72.6+71.11</f>
        <v>143.70999999999998</v>
      </c>
      <c r="M35" s="72">
        <f>72.4+70.67</f>
        <v>143.07</v>
      </c>
      <c r="N35" s="72">
        <f>72.8+71.56</f>
        <v>144.36000000000001</v>
      </c>
      <c r="O35" s="72">
        <f>72.8+71.56</f>
        <v>144.36000000000001</v>
      </c>
      <c r="P35" s="72">
        <f>72.8+71.56</f>
        <v>144.36000000000001</v>
      </c>
      <c r="Q35" s="72">
        <f>72.8+71.56</f>
        <v>144.36000000000001</v>
      </c>
      <c r="R35" s="72">
        <f>72.8+71.56</f>
        <v>144.36000000000001</v>
      </c>
      <c r="S35" s="72">
        <v>132</v>
      </c>
      <c r="T35" s="72">
        <f>55.9+74.7</f>
        <v>130.6</v>
      </c>
      <c r="U35" s="72">
        <v>135</v>
      </c>
      <c r="V35" s="72">
        <v>129.4</v>
      </c>
      <c r="W35" s="72">
        <v>135</v>
      </c>
      <c r="X35" s="72">
        <v>135</v>
      </c>
      <c r="Y35" s="72">
        <v>144.30000000000001</v>
      </c>
      <c r="Z35" s="72">
        <v>145.1</v>
      </c>
      <c r="AA35" s="72">
        <f t="shared" ref="AA35:AF35" si="4">74.9+71.6</f>
        <v>146.5</v>
      </c>
      <c r="AB35" s="72">
        <f t="shared" si="4"/>
        <v>146.5</v>
      </c>
      <c r="AC35" s="72">
        <f t="shared" si="4"/>
        <v>146.5</v>
      </c>
      <c r="AD35" s="72">
        <f t="shared" si="4"/>
        <v>146.5</v>
      </c>
      <c r="AE35" s="72">
        <f t="shared" si="4"/>
        <v>146.5</v>
      </c>
      <c r="AF35" s="72">
        <f t="shared" si="4"/>
        <v>146.5</v>
      </c>
      <c r="AG35" s="69">
        <v>240</v>
      </c>
      <c r="AH35" s="56">
        <f t="shared" si="2"/>
        <v>146.5</v>
      </c>
      <c r="AI35" s="57">
        <f t="shared" si="3"/>
        <v>124</v>
      </c>
      <c r="AK35" s="58"/>
    </row>
    <row r="36" spans="1:88" ht="15.75" thickBot="1" x14ac:dyDescent="0.3">
      <c r="A36" s="73" t="s">
        <v>44</v>
      </c>
      <c r="B36" s="74">
        <f t="shared" ref="B36:AF36" si="5">SUM(B11:B34)</f>
        <v>594.20000000000005</v>
      </c>
      <c r="C36" s="74">
        <f t="shared" si="5"/>
        <v>574.20000000000005</v>
      </c>
      <c r="D36" s="74">
        <f t="shared" si="5"/>
        <v>584.20000000000005</v>
      </c>
      <c r="E36" s="74">
        <f t="shared" si="5"/>
        <v>584.20000000000005</v>
      </c>
      <c r="F36" s="74">
        <f t="shared" si="5"/>
        <v>584.20000000000005</v>
      </c>
      <c r="G36" s="74">
        <f t="shared" si="5"/>
        <v>584.20000000000005</v>
      </c>
      <c r="H36" s="74">
        <f t="shared" si="5"/>
        <v>600.20000000000005</v>
      </c>
      <c r="I36" s="74">
        <f>SUM(I11:I34)</f>
        <v>600.20000000000005</v>
      </c>
      <c r="J36" s="74">
        <f t="shared" si="5"/>
        <v>680.9</v>
      </c>
      <c r="K36" s="74">
        <f t="shared" si="5"/>
        <v>762.9</v>
      </c>
      <c r="L36" s="74">
        <f t="shared" si="5"/>
        <v>782.9</v>
      </c>
      <c r="M36" s="74">
        <f t="shared" si="5"/>
        <v>732.9</v>
      </c>
      <c r="N36" s="74">
        <f t="shared" si="5"/>
        <v>723.09999999999991</v>
      </c>
      <c r="O36" s="74">
        <f t="shared" si="5"/>
        <v>693.09999999999991</v>
      </c>
      <c r="P36" s="74">
        <f t="shared" si="5"/>
        <v>693.09999999999991</v>
      </c>
      <c r="Q36" s="74">
        <f t="shared" si="5"/>
        <v>693.09999999999991</v>
      </c>
      <c r="R36" s="74">
        <f t="shared" si="5"/>
        <v>742.5</v>
      </c>
      <c r="S36" s="74">
        <f t="shared" si="5"/>
        <v>715.5</v>
      </c>
      <c r="T36" s="74">
        <f t="shared" si="5"/>
        <v>739.5</v>
      </c>
      <c r="U36" s="74">
        <f t="shared" si="5"/>
        <v>781.09999999999991</v>
      </c>
      <c r="V36" s="74">
        <f t="shared" si="5"/>
        <v>848.59999999999991</v>
      </c>
      <c r="W36" s="74">
        <f t="shared" si="5"/>
        <v>905.60000000000014</v>
      </c>
      <c r="X36" s="74">
        <f t="shared" si="5"/>
        <v>881.90000000000009</v>
      </c>
      <c r="Y36" s="74">
        <f t="shared" si="5"/>
        <v>877.00000000000011</v>
      </c>
      <c r="Z36" s="74">
        <f t="shared" si="5"/>
        <v>821.7</v>
      </c>
      <c r="AA36" s="74">
        <f t="shared" si="5"/>
        <v>750.7</v>
      </c>
      <c r="AB36" s="74">
        <f t="shared" si="5"/>
        <v>750.7</v>
      </c>
      <c r="AC36" s="74">
        <f t="shared" si="5"/>
        <v>653.20000000000005</v>
      </c>
      <c r="AD36" s="74">
        <f t="shared" si="5"/>
        <v>637.20000000000005</v>
      </c>
      <c r="AE36" s="74">
        <f t="shared" si="5"/>
        <v>617.20000000000005</v>
      </c>
      <c r="AF36" s="74">
        <f t="shared" si="5"/>
        <v>617.20000000000005</v>
      </c>
      <c r="AG36" s="69">
        <f>SUM(AG11:AG35)</f>
        <v>1431.83</v>
      </c>
      <c r="AH36" s="56">
        <f t="shared" si="2"/>
        <v>905.60000000000014</v>
      </c>
      <c r="AI36" s="57">
        <f t="shared" si="3"/>
        <v>574.20000000000005</v>
      </c>
      <c r="AK36" s="58"/>
    </row>
    <row r="37" spans="1:88" x14ac:dyDescent="0.25">
      <c r="A37" s="59" t="s">
        <v>45</v>
      </c>
      <c r="B37" s="63">
        <v>97</v>
      </c>
      <c r="C37" s="63">
        <v>74</v>
      </c>
      <c r="D37" s="63">
        <v>74.5</v>
      </c>
      <c r="E37" s="63">
        <v>75.099999999999994</v>
      </c>
      <c r="F37" s="63">
        <v>74.900000000000006</v>
      </c>
      <c r="G37" s="63">
        <v>90.1</v>
      </c>
      <c r="H37" s="63">
        <v>97</v>
      </c>
      <c r="I37" s="63">
        <v>96.7</v>
      </c>
      <c r="J37" s="63">
        <v>97.2</v>
      </c>
      <c r="K37" s="63">
        <v>97.2</v>
      </c>
      <c r="L37" s="50">
        <v>97.2</v>
      </c>
      <c r="M37" s="50">
        <v>143.69999999999999</v>
      </c>
      <c r="N37" s="50">
        <v>143.69999999999999</v>
      </c>
      <c r="O37" s="50">
        <v>143.69999999999999</v>
      </c>
      <c r="P37" s="50">
        <v>135.6</v>
      </c>
      <c r="Q37" s="50">
        <v>136</v>
      </c>
      <c r="R37" s="50">
        <v>145.80000000000001</v>
      </c>
      <c r="S37" s="50">
        <v>145.80000000000001</v>
      </c>
      <c r="T37" s="50">
        <v>145.4</v>
      </c>
      <c r="U37" s="50">
        <v>136.69999999999999</v>
      </c>
      <c r="V37" s="50">
        <v>145</v>
      </c>
      <c r="W37" s="50">
        <v>145</v>
      </c>
      <c r="X37" s="50">
        <v>145</v>
      </c>
      <c r="Y37" s="50">
        <v>144.4</v>
      </c>
      <c r="Z37" s="50">
        <v>144.4</v>
      </c>
      <c r="AA37" s="50">
        <v>144.69999999999999</v>
      </c>
      <c r="AB37" s="50">
        <v>144.69999999999999</v>
      </c>
      <c r="AC37" s="50">
        <v>144.69999999999999</v>
      </c>
      <c r="AD37" s="50">
        <v>121</v>
      </c>
      <c r="AE37" s="49">
        <v>101.7</v>
      </c>
      <c r="AF37" s="49">
        <v>101.4</v>
      </c>
      <c r="AG37" s="64">
        <v>144</v>
      </c>
      <c r="AH37" s="56">
        <f t="shared" si="2"/>
        <v>145.80000000000001</v>
      </c>
      <c r="AI37" s="57">
        <f t="shared" si="3"/>
        <v>74</v>
      </c>
      <c r="AK37" s="58"/>
    </row>
    <row r="38" spans="1:88" x14ac:dyDescent="0.25">
      <c r="A38" s="68" t="s">
        <v>46</v>
      </c>
      <c r="B38" s="63">
        <v>35</v>
      </c>
      <c r="C38" s="63">
        <v>25</v>
      </c>
      <c r="D38" s="63">
        <v>24.8</v>
      </c>
      <c r="E38" s="63">
        <v>24.9</v>
      </c>
      <c r="F38" s="63">
        <v>21.2</v>
      </c>
      <c r="G38" s="63">
        <v>34.9</v>
      </c>
      <c r="H38" s="63">
        <v>35.4</v>
      </c>
      <c r="I38" s="63">
        <v>35.299999999999997</v>
      </c>
      <c r="J38" s="63">
        <v>35.4</v>
      </c>
      <c r="K38" s="63">
        <v>35.299999999999997</v>
      </c>
      <c r="L38" s="52">
        <v>35.299999999999997</v>
      </c>
      <c r="M38" s="52">
        <v>35.299999999999997</v>
      </c>
      <c r="N38" s="52">
        <v>35.299999999999997</v>
      </c>
      <c r="O38" s="52">
        <v>30</v>
      </c>
      <c r="P38" s="52">
        <v>30</v>
      </c>
      <c r="Q38" s="52">
        <v>30</v>
      </c>
      <c r="R38" s="52">
        <v>35.299999999999997</v>
      </c>
      <c r="S38" s="52">
        <v>35.299999999999997</v>
      </c>
      <c r="T38" s="52">
        <v>35.299999999999997</v>
      </c>
      <c r="U38" s="52">
        <v>35.299999999999997</v>
      </c>
      <c r="V38" s="52">
        <v>35.299999999999997</v>
      </c>
      <c r="W38" s="52">
        <v>35.299999999999997</v>
      </c>
      <c r="X38" s="52">
        <v>35.299999999999997</v>
      </c>
      <c r="Y38" s="52">
        <v>35.299999999999997</v>
      </c>
      <c r="Z38" s="52">
        <v>35.299999999999997</v>
      </c>
      <c r="AA38" s="52">
        <v>35.200000000000003</v>
      </c>
      <c r="AB38" s="52">
        <v>35.200000000000003</v>
      </c>
      <c r="AC38" s="52">
        <v>35.200000000000003</v>
      </c>
      <c r="AD38" s="52">
        <v>35</v>
      </c>
      <c r="AE38" s="52">
        <v>35</v>
      </c>
      <c r="AF38" s="52">
        <v>35</v>
      </c>
      <c r="AG38" s="69">
        <v>70</v>
      </c>
      <c r="AH38" s="56">
        <f t="shared" si="2"/>
        <v>35.4</v>
      </c>
      <c r="AI38" s="57">
        <f t="shared" si="3"/>
        <v>21.2</v>
      </c>
      <c r="AK38" s="58"/>
    </row>
    <row r="39" spans="1:88" x14ac:dyDescent="0.25">
      <c r="A39" s="68" t="s">
        <v>47</v>
      </c>
      <c r="B39" s="63">
        <v>46</v>
      </c>
      <c r="C39" s="63">
        <v>33</v>
      </c>
      <c r="D39" s="63">
        <v>33.4</v>
      </c>
      <c r="E39" s="63">
        <v>33.4</v>
      </c>
      <c r="F39" s="63">
        <v>35.6</v>
      </c>
      <c r="G39" s="63">
        <v>47.1</v>
      </c>
      <c r="H39" s="63">
        <v>62.5</v>
      </c>
      <c r="I39" s="63">
        <v>67.099999999999994</v>
      </c>
      <c r="J39" s="63">
        <v>69.2</v>
      </c>
      <c r="K39" s="63">
        <v>69.7</v>
      </c>
      <c r="L39" s="52">
        <v>69.7</v>
      </c>
      <c r="M39" s="52">
        <v>55</v>
      </c>
      <c r="N39" s="52">
        <v>70.099999999999994</v>
      </c>
      <c r="O39" s="52">
        <v>65</v>
      </c>
      <c r="P39" s="52">
        <v>69.5</v>
      </c>
      <c r="Q39" s="52">
        <v>69.5</v>
      </c>
      <c r="R39" s="52">
        <v>69.7</v>
      </c>
      <c r="S39" s="52">
        <v>69.7</v>
      </c>
      <c r="T39" s="52">
        <v>70.900000000000006</v>
      </c>
      <c r="U39" s="52">
        <v>70.099999999999994</v>
      </c>
      <c r="V39" s="52">
        <v>63.7</v>
      </c>
      <c r="W39" s="52">
        <v>63.7</v>
      </c>
      <c r="X39" s="52">
        <v>63.7</v>
      </c>
      <c r="Y39" s="52">
        <v>69</v>
      </c>
      <c r="Z39" s="52">
        <v>69</v>
      </c>
      <c r="AA39" s="52">
        <v>69</v>
      </c>
      <c r="AB39" s="52">
        <v>69</v>
      </c>
      <c r="AC39" s="52">
        <v>69</v>
      </c>
      <c r="AD39" s="52">
        <v>36</v>
      </c>
      <c r="AE39" s="52">
        <v>36</v>
      </c>
      <c r="AF39" s="52">
        <v>36</v>
      </c>
      <c r="AG39" s="69">
        <v>69</v>
      </c>
      <c r="AH39" s="56">
        <f t="shared" si="2"/>
        <v>70.900000000000006</v>
      </c>
      <c r="AI39" s="57">
        <f t="shared" si="3"/>
        <v>33</v>
      </c>
      <c r="AK39" s="58"/>
    </row>
    <row r="40" spans="1:88" x14ac:dyDescent="0.25">
      <c r="A40" s="68" t="s">
        <v>48</v>
      </c>
      <c r="B40" s="63">
        <v>30</v>
      </c>
      <c r="C40" s="63">
        <v>25</v>
      </c>
      <c r="D40" s="63">
        <v>24.7</v>
      </c>
      <c r="E40" s="63">
        <v>24.7</v>
      </c>
      <c r="F40" s="63">
        <v>25</v>
      </c>
      <c r="G40" s="63">
        <v>40.1</v>
      </c>
      <c r="H40" s="63">
        <v>43.9</v>
      </c>
      <c r="I40" s="63">
        <v>61.4</v>
      </c>
      <c r="J40" s="63">
        <v>61.4</v>
      </c>
      <c r="K40" s="63">
        <v>62</v>
      </c>
      <c r="L40" s="52">
        <v>60</v>
      </c>
      <c r="M40" s="52">
        <v>60</v>
      </c>
      <c r="N40" s="52">
        <v>60</v>
      </c>
      <c r="O40" s="52">
        <v>60</v>
      </c>
      <c r="P40" s="52">
        <v>60</v>
      </c>
      <c r="Q40" s="52">
        <v>60</v>
      </c>
      <c r="R40" s="52">
        <v>60.9</v>
      </c>
      <c r="S40" s="52">
        <v>60.9</v>
      </c>
      <c r="T40" s="52">
        <v>60.2</v>
      </c>
      <c r="U40" s="52">
        <v>51.4</v>
      </c>
      <c r="V40" s="52">
        <v>61.4</v>
      </c>
      <c r="W40" s="52">
        <v>61.4</v>
      </c>
      <c r="X40" s="52">
        <v>61.4</v>
      </c>
      <c r="Y40" s="52">
        <v>61.4</v>
      </c>
      <c r="Z40" s="52">
        <v>61.4</v>
      </c>
      <c r="AA40" s="52">
        <v>61.4</v>
      </c>
      <c r="AB40" s="52">
        <v>61.4</v>
      </c>
      <c r="AC40" s="52">
        <v>61.4</v>
      </c>
      <c r="AD40" s="52">
        <v>30</v>
      </c>
      <c r="AE40" s="52">
        <v>30</v>
      </c>
      <c r="AF40" s="52">
        <v>30</v>
      </c>
      <c r="AG40" s="69">
        <v>60</v>
      </c>
      <c r="AH40" s="56">
        <f t="shared" si="2"/>
        <v>62</v>
      </c>
      <c r="AI40" s="57">
        <f t="shared" si="3"/>
        <v>24.7</v>
      </c>
      <c r="AK40" s="58"/>
    </row>
    <row r="41" spans="1:88" x14ac:dyDescent="0.25">
      <c r="A41" s="68" t="s">
        <v>49</v>
      </c>
      <c r="B41" s="63">
        <v>29.6</v>
      </c>
      <c r="C41" s="63">
        <v>29.6</v>
      </c>
      <c r="D41" s="63">
        <v>29.5</v>
      </c>
      <c r="E41" s="63">
        <v>29.5</v>
      </c>
      <c r="F41" s="63">
        <v>29.5</v>
      </c>
      <c r="G41" s="63">
        <v>29.4</v>
      </c>
      <c r="H41" s="63">
        <v>29.4</v>
      </c>
      <c r="I41" s="63">
        <v>29.4</v>
      </c>
      <c r="J41" s="63">
        <v>29.5</v>
      </c>
      <c r="K41" s="63">
        <v>29.6</v>
      </c>
      <c r="L41" s="50">
        <v>29.6</v>
      </c>
      <c r="M41" s="50">
        <v>29.6</v>
      </c>
      <c r="N41" s="50">
        <v>14.9</v>
      </c>
      <c r="O41" s="50">
        <v>14.9</v>
      </c>
      <c r="P41" s="50">
        <v>14.9</v>
      </c>
      <c r="Q41" s="50">
        <v>14.9</v>
      </c>
      <c r="R41" s="50">
        <v>14.9</v>
      </c>
      <c r="S41" s="50">
        <v>14.9</v>
      </c>
      <c r="T41" s="50">
        <v>14.9</v>
      </c>
      <c r="U41" s="50">
        <v>14.8</v>
      </c>
      <c r="V41" s="50">
        <v>14.9</v>
      </c>
      <c r="W41" s="50">
        <v>14.9</v>
      </c>
      <c r="X41" s="50">
        <v>14.9</v>
      </c>
      <c r="Y41" s="50">
        <v>14.9</v>
      </c>
      <c r="Z41" s="50">
        <v>14.9</v>
      </c>
      <c r="AA41" s="50">
        <v>14.9</v>
      </c>
      <c r="AB41" s="50">
        <v>14.9</v>
      </c>
      <c r="AC41" s="50">
        <v>14.9</v>
      </c>
      <c r="AD41" s="50">
        <v>14.9</v>
      </c>
      <c r="AE41" s="50">
        <v>14.9</v>
      </c>
      <c r="AF41" s="50">
        <v>14.9</v>
      </c>
      <c r="AG41" s="69">
        <v>30</v>
      </c>
      <c r="AH41" s="56">
        <f t="shared" si="2"/>
        <v>29.6</v>
      </c>
      <c r="AI41" s="57">
        <f t="shared" si="3"/>
        <v>14.8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17</v>
      </c>
      <c r="C43" s="75">
        <v>17</v>
      </c>
      <c r="D43" s="75">
        <v>10.6</v>
      </c>
      <c r="E43" s="75">
        <v>10.6</v>
      </c>
      <c r="F43" s="75">
        <v>10.6</v>
      </c>
      <c r="G43" s="75">
        <v>10.6</v>
      </c>
      <c r="H43" s="75">
        <v>10.6</v>
      </c>
      <c r="I43" s="75">
        <v>10.6</v>
      </c>
      <c r="J43" s="75">
        <v>17.399999999999999</v>
      </c>
      <c r="K43" s="75">
        <v>17.2</v>
      </c>
      <c r="L43" s="50">
        <v>17.2</v>
      </c>
      <c r="M43" s="50">
        <v>17.2</v>
      </c>
      <c r="N43" s="50">
        <v>17.899999999999999</v>
      </c>
      <c r="O43" s="50">
        <v>17.899999999999999</v>
      </c>
      <c r="P43" s="50">
        <v>17.899999999999999</v>
      </c>
      <c r="Q43" s="50">
        <v>17.899999999999999</v>
      </c>
      <c r="R43" s="50">
        <v>17.899999999999999</v>
      </c>
      <c r="S43" s="50">
        <v>17.899999999999999</v>
      </c>
      <c r="T43" s="50">
        <v>17.600000000000001</v>
      </c>
      <c r="U43" s="50">
        <v>17.600000000000001</v>
      </c>
      <c r="V43" s="50">
        <v>17.600000000000001</v>
      </c>
      <c r="W43" s="50">
        <v>17.600000000000001</v>
      </c>
      <c r="X43" s="50">
        <v>17.600000000000001</v>
      </c>
      <c r="Y43" s="50">
        <v>17.600000000000001</v>
      </c>
      <c r="Z43" s="50">
        <v>17.600000000000001</v>
      </c>
      <c r="AA43" s="50">
        <v>17.600000000000001</v>
      </c>
      <c r="AB43" s="50">
        <v>17.600000000000001</v>
      </c>
      <c r="AC43" s="50">
        <v>17.600000000000001</v>
      </c>
      <c r="AD43" s="50">
        <v>17.600000000000001</v>
      </c>
      <c r="AE43" s="50">
        <v>17.600000000000001</v>
      </c>
      <c r="AF43" s="50">
        <v>17.600000000000001</v>
      </c>
      <c r="AG43" s="69">
        <v>24</v>
      </c>
      <c r="AH43" s="56">
        <f t="shared" si="2"/>
        <v>17.899999999999999</v>
      </c>
      <c r="AI43" s="57">
        <f t="shared" si="3"/>
        <v>10.6</v>
      </c>
      <c r="AK43" s="58"/>
    </row>
    <row r="44" spans="1:88" x14ac:dyDescent="0.25">
      <c r="A44" s="68" t="s">
        <v>52</v>
      </c>
      <c r="B44" s="63">
        <v>3</v>
      </c>
      <c r="C44" s="63">
        <v>3</v>
      </c>
      <c r="D44" s="63">
        <v>3</v>
      </c>
      <c r="E44" s="63">
        <v>3</v>
      </c>
      <c r="F44" s="63">
        <v>3</v>
      </c>
      <c r="G44" s="63">
        <v>3</v>
      </c>
      <c r="H44" s="63">
        <v>3</v>
      </c>
      <c r="I44" s="63">
        <v>3</v>
      </c>
      <c r="J44" s="63">
        <v>3</v>
      </c>
      <c r="K44" s="63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9">
        <v>15</v>
      </c>
      <c r="AH44" s="56">
        <f t="shared" si="2"/>
        <v>3</v>
      </c>
      <c r="AI44" s="57">
        <f t="shared" si="3"/>
        <v>3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12</v>
      </c>
      <c r="C45" s="63">
        <v>12</v>
      </c>
      <c r="D45" s="63">
        <v>12</v>
      </c>
      <c r="E45" s="63">
        <v>12</v>
      </c>
      <c r="F45" s="63">
        <v>12</v>
      </c>
      <c r="G45" s="63">
        <v>12</v>
      </c>
      <c r="H45" s="63">
        <v>12</v>
      </c>
      <c r="I45" s="63">
        <v>12</v>
      </c>
      <c r="J45" s="63">
        <v>13</v>
      </c>
      <c r="K45" s="63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9">
        <v>14.1</v>
      </c>
      <c r="AH45" s="56">
        <f t="shared" si="2"/>
        <v>13</v>
      </c>
      <c r="AI45" s="57">
        <f t="shared" si="3"/>
        <v>12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7</v>
      </c>
      <c r="C46" s="75">
        <v>7</v>
      </c>
      <c r="D46" s="75">
        <v>7</v>
      </c>
      <c r="E46" s="75">
        <v>7</v>
      </c>
      <c r="F46" s="75">
        <v>7</v>
      </c>
      <c r="G46" s="75">
        <v>7</v>
      </c>
      <c r="H46" s="75">
        <v>7</v>
      </c>
      <c r="I46" s="75">
        <v>7</v>
      </c>
      <c r="J46" s="75">
        <v>14</v>
      </c>
      <c r="K46" s="75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12</v>
      </c>
      <c r="AD46" s="50">
        <v>12</v>
      </c>
      <c r="AE46" s="50">
        <v>12</v>
      </c>
      <c r="AF46" s="50">
        <v>12</v>
      </c>
      <c r="AG46" s="69">
        <v>14</v>
      </c>
      <c r="AH46" s="56">
        <f t="shared" si="2"/>
        <v>14</v>
      </c>
      <c r="AI46" s="57">
        <f t="shared" si="3"/>
        <v>7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6.2</v>
      </c>
      <c r="C48" s="63">
        <v>6.2</v>
      </c>
      <c r="D48" s="63">
        <v>6.2</v>
      </c>
      <c r="E48" s="63">
        <v>6.2</v>
      </c>
      <c r="F48" s="63">
        <v>6.2</v>
      </c>
      <c r="G48" s="63">
        <v>6.2</v>
      </c>
      <c r="H48" s="63">
        <v>6.2</v>
      </c>
      <c r="I48" s="63">
        <v>6.2</v>
      </c>
      <c r="J48" s="63">
        <v>6.2</v>
      </c>
      <c r="K48" s="63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9">
        <v>6.2</v>
      </c>
      <c r="AH48" s="56">
        <f t="shared" si="2"/>
        <v>6.2</v>
      </c>
      <c r="AI48" s="57">
        <f t="shared" si="3"/>
        <v>6.2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6">T197</f>
        <v>3.54</v>
      </c>
      <c r="U49" s="78">
        <f t="shared" si="6"/>
        <v>3.54</v>
      </c>
      <c r="V49" s="78">
        <f t="shared" si="6"/>
        <v>3.54</v>
      </c>
      <c r="W49" s="78">
        <f t="shared" si="6"/>
        <v>3.54</v>
      </c>
      <c r="X49" s="78">
        <v>3.54</v>
      </c>
      <c r="Y49" s="78">
        <v>3.54</v>
      </c>
      <c r="Z49" s="78">
        <f t="shared" si="6"/>
        <v>3.54</v>
      </c>
      <c r="AA49" s="78">
        <f t="shared" si="6"/>
        <v>3.54</v>
      </c>
      <c r="AB49" s="78">
        <f t="shared" si="6"/>
        <v>3.54</v>
      </c>
      <c r="AC49" s="78">
        <f t="shared" si="6"/>
        <v>3.54</v>
      </c>
      <c r="AD49" s="78">
        <f t="shared" si="6"/>
        <v>3.54</v>
      </c>
      <c r="AE49" s="78">
        <f t="shared" si="6"/>
        <v>3.54</v>
      </c>
      <c r="AF49" s="78">
        <f t="shared" si="6"/>
        <v>3.54</v>
      </c>
      <c r="AG49" s="78">
        <f t="shared" si="6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7">SUM(B37:B49)</f>
        <v>295.94000000000005</v>
      </c>
      <c r="C50" s="74">
        <f t="shared" si="7"/>
        <v>244.93999999999997</v>
      </c>
      <c r="D50" s="74">
        <f t="shared" si="7"/>
        <v>238.83999999999995</v>
      </c>
      <c r="E50" s="74">
        <f t="shared" si="7"/>
        <v>239.53999999999996</v>
      </c>
      <c r="F50" s="74">
        <f>SUM(F37:F49)</f>
        <v>238.14</v>
      </c>
      <c r="G50" s="74">
        <f t="shared" si="7"/>
        <v>293.54000000000002</v>
      </c>
      <c r="H50" s="74">
        <f t="shared" si="7"/>
        <v>320.14000000000004</v>
      </c>
      <c r="I50" s="74">
        <f t="shared" si="7"/>
        <v>341.84000000000003</v>
      </c>
      <c r="J50" s="74">
        <f t="shared" si="7"/>
        <v>359.44</v>
      </c>
      <c r="K50" s="74">
        <f t="shared" si="7"/>
        <v>360.34000000000003</v>
      </c>
      <c r="L50" s="74">
        <f t="shared" si="7"/>
        <v>358.34000000000003</v>
      </c>
      <c r="M50" s="74">
        <f t="shared" si="7"/>
        <v>390.14000000000004</v>
      </c>
      <c r="N50" s="74">
        <f t="shared" si="7"/>
        <v>391.24</v>
      </c>
      <c r="O50" s="74">
        <f t="shared" si="7"/>
        <v>380.84</v>
      </c>
      <c r="P50" s="74">
        <f t="shared" si="7"/>
        <v>377.24</v>
      </c>
      <c r="Q50" s="74">
        <f t="shared" si="7"/>
        <v>377.64</v>
      </c>
      <c r="R50" s="74">
        <f t="shared" si="7"/>
        <v>393.84</v>
      </c>
      <c r="S50" s="74">
        <f t="shared" si="7"/>
        <v>393.84</v>
      </c>
      <c r="T50" s="74">
        <f t="shared" si="7"/>
        <v>393.64000000000004</v>
      </c>
      <c r="U50" s="74">
        <f t="shared" si="7"/>
        <v>375.24000000000007</v>
      </c>
      <c r="V50" s="74">
        <f t="shared" si="7"/>
        <v>387.24</v>
      </c>
      <c r="W50" s="74">
        <f t="shared" si="7"/>
        <v>387.24</v>
      </c>
      <c r="X50" s="74">
        <f t="shared" si="7"/>
        <v>387.24</v>
      </c>
      <c r="Y50" s="74">
        <f t="shared" si="7"/>
        <v>391.94</v>
      </c>
      <c r="Z50" s="74">
        <f t="shared" si="7"/>
        <v>391.94</v>
      </c>
      <c r="AA50" s="74">
        <f t="shared" si="7"/>
        <v>392.14</v>
      </c>
      <c r="AB50" s="74">
        <f t="shared" si="7"/>
        <v>392.14</v>
      </c>
      <c r="AC50" s="74">
        <f t="shared" si="7"/>
        <v>390.14</v>
      </c>
      <c r="AD50" s="74">
        <f t="shared" si="7"/>
        <v>301.84000000000003</v>
      </c>
      <c r="AE50" s="74">
        <f t="shared" si="7"/>
        <v>282.54000000000002</v>
      </c>
      <c r="AF50" s="74">
        <f t="shared" si="7"/>
        <v>282.24</v>
      </c>
      <c r="AG50" s="79">
        <f>SUM(AG37:AG49)</f>
        <v>489.91</v>
      </c>
      <c r="AH50" s="56">
        <f t="shared" si="2"/>
        <v>393.84</v>
      </c>
      <c r="AI50" s="57">
        <f t="shared" si="3"/>
        <v>238.14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59.2</v>
      </c>
      <c r="X51" s="50">
        <v>40</v>
      </c>
      <c r="Y51" s="50">
        <v>25.1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59.2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26.1</v>
      </c>
      <c r="X52" s="52">
        <v>23.6</v>
      </c>
      <c r="Y52" s="52">
        <v>12.5</v>
      </c>
      <c r="Z52" s="52">
        <v>6.6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26.1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9.5</v>
      </c>
      <c r="X53" s="82">
        <v>8.6</v>
      </c>
      <c r="Y53" s="82">
        <v>4.5999999999999996</v>
      </c>
      <c r="Z53" s="82">
        <v>2.4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9.5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8">SUM(C51:C53)</f>
        <v>0</v>
      </c>
      <c r="D54" s="74">
        <f t="shared" si="8"/>
        <v>0</v>
      </c>
      <c r="E54" s="74">
        <f t="shared" si="8"/>
        <v>0</v>
      </c>
      <c r="F54" s="74">
        <f t="shared" si="8"/>
        <v>0</v>
      </c>
      <c r="G54" s="74">
        <f t="shared" si="8"/>
        <v>0</v>
      </c>
      <c r="H54" s="74">
        <f t="shared" si="8"/>
        <v>0</v>
      </c>
      <c r="I54" s="74">
        <f t="shared" si="8"/>
        <v>0</v>
      </c>
      <c r="J54" s="74">
        <f t="shared" si="8"/>
        <v>0</v>
      </c>
      <c r="K54" s="74">
        <f t="shared" si="8"/>
        <v>0</v>
      </c>
      <c r="L54" s="74">
        <f t="shared" si="8"/>
        <v>0</v>
      </c>
      <c r="M54" s="74">
        <f t="shared" si="8"/>
        <v>0</v>
      </c>
      <c r="N54" s="74">
        <f t="shared" si="8"/>
        <v>0</v>
      </c>
      <c r="O54" s="74">
        <f t="shared" si="8"/>
        <v>0</v>
      </c>
      <c r="P54" s="74">
        <f t="shared" si="8"/>
        <v>0</v>
      </c>
      <c r="Q54" s="74">
        <f t="shared" si="8"/>
        <v>0</v>
      </c>
      <c r="R54" s="74">
        <f t="shared" si="8"/>
        <v>0</v>
      </c>
      <c r="S54" s="74">
        <f t="shared" si="8"/>
        <v>0</v>
      </c>
      <c r="T54" s="74">
        <f t="shared" si="8"/>
        <v>0</v>
      </c>
      <c r="U54" s="74">
        <f t="shared" si="8"/>
        <v>0</v>
      </c>
      <c r="V54" s="74">
        <f t="shared" si="8"/>
        <v>0</v>
      </c>
      <c r="W54" s="74">
        <f t="shared" si="8"/>
        <v>94.800000000000011</v>
      </c>
      <c r="X54" s="74">
        <f t="shared" si="8"/>
        <v>72.2</v>
      </c>
      <c r="Y54" s="74">
        <f t="shared" si="8"/>
        <v>42.2</v>
      </c>
      <c r="Z54" s="74">
        <f t="shared" si="8"/>
        <v>9</v>
      </c>
      <c r="AA54" s="74">
        <f t="shared" si="8"/>
        <v>0</v>
      </c>
      <c r="AB54" s="74">
        <f t="shared" si="8"/>
        <v>0</v>
      </c>
      <c r="AC54" s="74">
        <f t="shared" si="8"/>
        <v>0</v>
      </c>
      <c r="AD54" s="74">
        <f t="shared" si="8"/>
        <v>0</v>
      </c>
      <c r="AE54" s="74">
        <f t="shared" si="8"/>
        <v>0</v>
      </c>
      <c r="AF54" s="74">
        <f t="shared" si="8"/>
        <v>0</v>
      </c>
      <c r="AG54" s="79">
        <f>SUM(AG51:AG53)</f>
        <v>106</v>
      </c>
      <c r="AH54" s="56">
        <f t="shared" si="2"/>
        <v>94.800000000000011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-40.299999999999997</v>
      </c>
      <c r="C57" s="52">
        <v>-10</v>
      </c>
      <c r="D57" s="52">
        <v>-10.7</v>
      </c>
      <c r="E57" s="52">
        <v>-13</v>
      </c>
      <c r="F57" s="52">
        <v>-2.5</v>
      </c>
      <c r="G57" s="50">
        <v>-3.4</v>
      </c>
      <c r="H57" s="50">
        <v>-18.399999999999999</v>
      </c>
      <c r="I57" s="50">
        <v>-2.7</v>
      </c>
      <c r="J57" s="50">
        <v>-2.7</v>
      </c>
      <c r="K57" s="50">
        <v>-14.9</v>
      </c>
      <c r="L57" s="52">
        <v>-15</v>
      </c>
      <c r="M57" s="52">
        <v>-18</v>
      </c>
      <c r="N57" s="52">
        <v>-5.2</v>
      </c>
      <c r="O57" s="52">
        <v>-6</v>
      </c>
      <c r="P57" s="52">
        <v>-5</v>
      </c>
      <c r="Q57" s="52">
        <v>-21</v>
      </c>
      <c r="R57" s="52">
        <v>-7</v>
      </c>
      <c r="S57" s="52">
        <v>-10</v>
      </c>
      <c r="T57" s="52">
        <v>-17.100000000000001</v>
      </c>
      <c r="U57" s="52">
        <v>-5.4</v>
      </c>
      <c r="V57" s="52">
        <v>-26.7</v>
      </c>
      <c r="W57" s="52">
        <v>-17.8</v>
      </c>
      <c r="X57" s="52">
        <v>-12</v>
      </c>
      <c r="Y57" s="52">
        <v>-28.5</v>
      </c>
      <c r="Z57" s="52">
        <v>-16.8</v>
      </c>
      <c r="AA57" s="52">
        <v>-12.1</v>
      </c>
      <c r="AB57" s="52">
        <v>-16.8</v>
      </c>
      <c r="AC57" s="52">
        <v>-20</v>
      </c>
      <c r="AD57" s="52">
        <v>-38</v>
      </c>
      <c r="AE57" s="52">
        <v>-25</v>
      </c>
      <c r="AF57" s="52">
        <v>-26.2</v>
      </c>
      <c r="AG57" s="86"/>
      <c r="AH57" s="56">
        <f t="shared" si="2"/>
        <v>-2.5</v>
      </c>
      <c r="AI57" s="57">
        <f t="shared" si="3"/>
        <v>-40.299999999999997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-40.299999999999997</v>
      </c>
      <c r="C66" s="74">
        <f t="shared" ref="C66:AF66" si="9">SUM(C55:C65)</f>
        <v>-10</v>
      </c>
      <c r="D66" s="74">
        <f t="shared" si="9"/>
        <v>-10.7</v>
      </c>
      <c r="E66" s="74">
        <f t="shared" si="9"/>
        <v>-13</v>
      </c>
      <c r="F66" s="74">
        <f t="shared" si="9"/>
        <v>-2.5</v>
      </c>
      <c r="G66" s="74">
        <f t="shared" si="9"/>
        <v>-3.4</v>
      </c>
      <c r="H66" s="74">
        <f t="shared" si="9"/>
        <v>-18.399999999999999</v>
      </c>
      <c r="I66" s="74">
        <f t="shared" si="9"/>
        <v>-2.7</v>
      </c>
      <c r="J66" s="74">
        <f t="shared" si="9"/>
        <v>-2.7</v>
      </c>
      <c r="K66" s="74">
        <f t="shared" si="9"/>
        <v>-14.9</v>
      </c>
      <c r="L66" s="74">
        <f t="shared" si="9"/>
        <v>-15</v>
      </c>
      <c r="M66" s="74">
        <f t="shared" si="9"/>
        <v>-18</v>
      </c>
      <c r="N66" s="74">
        <f t="shared" si="9"/>
        <v>-5.2</v>
      </c>
      <c r="O66" s="74">
        <f t="shared" si="9"/>
        <v>-6</v>
      </c>
      <c r="P66" s="74">
        <f t="shared" si="9"/>
        <v>-5</v>
      </c>
      <c r="Q66" s="74">
        <f t="shared" si="9"/>
        <v>-21</v>
      </c>
      <c r="R66" s="74">
        <f t="shared" si="9"/>
        <v>-7</v>
      </c>
      <c r="S66" s="74">
        <f t="shared" si="9"/>
        <v>-10</v>
      </c>
      <c r="T66" s="74">
        <f t="shared" si="9"/>
        <v>-17.100000000000001</v>
      </c>
      <c r="U66" s="74">
        <f t="shared" si="9"/>
        <v>-5.4</v>
      </c>
      <c r="V66" s="74">
        <f t="shared" si="9"/>
        <v>-26.7</v>
      </c>
      <c r="W66" s="74">
        <f t="shared" si="9"/>
        <v>-17.8</v>
      </c>
      <c r="X66" s="74">
        <f t="shared" si="9"/>
        <v>-12</v>
      </c>
      <c r="Y66" s="74">
        <f t="shared" si="9"/>
        <v>-28.5</v>
      </c>
      <c r="Z66" s="74">
        <f t="shared" si="9"/>
        <v>-16.8</v>
      </c>
      <c r="AA66" s="74">
        <f t="shared" si="9"/>
        <v>-12.1</v>
      </c>
      <c r="AB66" s="74">
        <f t="shared" si="9"/>
        <v>-16.8</v>
      </c>
      <c r="AC66" s="74">
        <f t="shared" si="9"/>
        <v>-20</v>
      </c>
      <c r="AD66" s="74">
        <f t="shared" si="9"/>
        <v>-38</v>
      </c>
      <c r="AE66" s="74">
        <f t="shared" si="9"/>
        <v>-25</v>
      </c>
      <c r="AF66" s="74">
        <f t="shared" si="9"/>
        <v>-26.2</v>
      </c>
      <c r="AG66" s="79">
        <f>SUM(AG55:AG65)</f>
        <v>0</v>
      </c>
      <c r="AH66" s="56">
        <f t="shared" si="2"/>
        <v>-2.5</v>
      </c>
      <c r="AI66" s="57">
        <f t="shared" si="3"/>
        <v>-40.299999999999997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10">SUM(C67:C69)</f>
        <v>0</v>
      </c>
      <c r="D70" s="74">
        <f t="shared" si="10"/>
        <v>0</v>
      </c>
      <c r="E70" s="74">
        <f t="shared" si="10"/>
        <v>0</v>
      </c>
      <c r="F70" s="74">
        <f t="shared" si="10"/>
        <v>0</v>
      </c>
      <c r="G70" s="74">
        <f t="shared" si="10"/>
        <v>0</v>
      </c>
      <c r="H70" s="74">
        <f t="shared" si="10"/>
        <v>0</v>
      </c>
      <c r="I70" s="74">
        <f t="shared" si="10"/>
        <v>0</v>
      </c>
      <c r="J70" s="74">
        <f t="shared" si="10"/>
        <v>0</v>
      </c>
      <c r="K70" s="74">
        <f t="shared" si="10"/>
        <v>0</v>
      </c>
      <c r="L70" s="74">
        <f t="shared" si="10"/>
        <v>0</v>
      </c>
      <c r="M70" s="74">
        <f t="shared" si="10"/>
        <v>0</v>
      </c>
      <c r="N70" s="74">
        <f t="shared" si="10"/>
        <v>0</v>
      </c>
      <c r="O70" s="74">
        <f t="shared" si="10"/>
        <v>0</v>
      </c>
      <c r="P70" s="74">
        <f t="shared" si="10"/>
        <v>0</v>
      </c>
      <c r="Q70" s="74">
        <f t="shared" si="10"/>
        <v>0</v>
      </c>
      <c r="R70" s="74">
        <f t="shared" si="10"/>
        <v>0</v>
      </c>
      <c r="S70" s="74">
        <f t="shared" si="10"/>
        <v>0</v>
      </c>
      <c r="T70" s="74">
        <f t="shared" si="10"/>
        <v>0</v>
      </c>
      <c r="U70" s="74">
        <f t="shared" si="10"/>
        <v>0</v>
      </c>
      <c r="V70" s="74">
        <f t="shared" si="10"/>
        <v>0</v>
      </c>
      <c r="W70" s="74">
        <f t="shared" si="10"/>
        <v>0</v>
      </c>
      <c r="X70" s="74">
        <f t="shared" si="10"/>
        <v>0</v>
      </c>
      <c r="Y70" s="74">
        <f t="shared" si="10"/>
        <v>0</v>
      </c>
      <c r="Z70" s="74">
        <f t="shared" si="10"/>
        <v>0</v>
      </c>
      <c r="AA70" s="74">
        <f t="shared" si="10"/>
        <v>0</v>
      </c>
      <c r="AB70" s="74">
        <f t="shared" si="10"/>
        <v>0</v>
      </c>
      <c r="AC70" s="74">
        <f t="shared" si="10"/>
        <v>0</v>
      </c>
      <c r="AD70" s="74">
        <f t="shared" si="10"/>
        <v>0</v>
      </c>
      <c r="AE70" s="74">
        <f t="shared" si="10"/>
        <v>0</v>
      </c>
      <c r="AF70" s="74">
        <f t="shared" si="10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849.84000000000015</v>
      </c>
      <c r="C71" s="90">
        <f t="shared" ref="C71:AG71" si="11">C66+C54+C50+C36+C70</f>
        <v>809.14</v>
      </c>
      <c r="D71" s="90">
        <f t="shared" si="11"/>
        <v>812.34</v>
      </c>
      <c r="E71" s="90">
        <f t="shared" si="11"/>
        <v>810.74</v>
      </c>
      <c r="F71" s="90">
        <f t="shared" si="11"/>
        <v>819.84</v>
      </c>
      <c r="G71" s="90">
        <f t="shared" si="11"/>
        <v>874.34000000000015</v>
      </c>
      <c r="H71" s="90">
        <f t="shared" si="11"/>
        <v>901.94</v>
      </c>
      <c r="I71" s="90">
        <f t="shared" si="11"/>
        <v>939.34000000000015</v>
      </c>
      <c r="J71" s="90">
        <f t="shared" si="11"/>
        <v>1037.6399999999999</v>
      </c>
      <c r="K71" s="90">
        <f t="shared" si="11"/>
        <v>1108.3400000000001</v>
      </c>
      <c r="L71" s="90">
        <f t="shared" si="11"/>
        <v>1126.24</v>
      </c>
      <c r="M71" s="90">
        <f t="shared" si="11"/>
        <v>1105.04</v>
      </c>
      <c r="N71" s="90">
        <f t="shared" si="11"/>
        <v>1109.1399999999999</v>
      </c>
      <c r="O71" s="90">
        <f t="shared" si="11"/>
        <v>1067.9399999999998</v>
      </c>
      <c r="P71" s="90">
        <f t="shared" si="11"/>
        <v>1065.3399999999999</v>
      </c>
      <c r="Q71" s="90">
        <f t="shared" si="11"/>
        <v>1049.7399999999998</v>
      </c>
      <c r="R71" s="90">
        <f t="shared" si="11"/>
        <v>1129.3399999999999</v>
      </c>
      <c r="S71" s="90">
        <f t="shared" si="11"/>
        <v>1099.3399999999999</v>
      </c>
      <c r="T71" s="90">
        <f t="shared" si="11"/>
        <v>1116.04</v>
      </c>
      <c r="U71" s="90">
        <f t="shared" si="11"/>
        <v>1150.94</v>
      </c>
      <c r="V71" s="90">
        <f t="shared" si="11"/>
        <v>1209.1399999999999</v>
      </c>
      <c r="W71" s="90">
        <f t="shared" si="11"/>
        <v>1369.8400000000001</v>
      </c>
      <c r="X71" s="90">
        <f t="shared" si="11"/>
        <v>1329.3400000000001</v>
      </c>
      <c r="Y71" s="90">
        <f t="shared" si="11"/>
        <v>1282.6400000000001</v>
      </c>
      <c r="Z71" s="90">
        <f t="shared" si="11"/>
        <v>1205.8400000000001</v>
      </c>
      <c r="AA71" s="90">
        <f t="shared" si="11"/>
        <v>1130.74</v>
      </c>
      <c r="AB71" s="90">
        <f t="shared" si="11"/>
        <v>1126.04</v>
      </c>
      <c r="AC71" s="90">
        <f t="shared" si="11"/>
        <v>1023.34</v>
      </c>
      <c r="AD71" s="90">
        <f t="shared" si="11"/>
        <v>901.04000000000008</v>
      </c>
      <c r="AE71" s="90">
        <f t="shared" si="11"/>
        <v>874.74</v>
      </c>
      <c r="AF71" s="90">
        <f t="shared" si="11"/>
        <v>873.24</v>
      </c>
      <c r="AG71" s="90">
        <f t="shared" si="11"/>
        <v>2083.14</v>
      </c>
      <c r="AH71" s="56">
        <f t="shared" si="2"/>
        <v>1369.8400000000001</v>
      </c>
      <c r="AI71" s="57">
        <f t="shared" si="3"/>
        <v>809.14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849.84000000000015</v>
      </c>
      <c r="C73" s="90">
        <f t="shared" ref="C73:AF73" si="12">C70+C66+C54+C50+C36+C72</f>
        <v>809.14</v>
      </c>
      <c r="D73" s="90">
        <f t="shared" si="12"/>
        <v>812.34</v>
      </c>
      <c r="E73" s="90">
        <f t="shared" si="12"/>
        <v>810.74</v>
      </c>
      <c r="F73" s="90">
        <f t="shared" si="12"/>
        <v>819.84</v>
      </c>
      <c r="G73" s="90">
        <f t="shared" si="12"/>
        <v>874.34000000000015</v>
      </c>
      <c r="H73" s="90">
        <f t="shared" si="12"/>
        <v>901.94</v>
      </c>
      <c r="I73" s="90">
        <f t="shared" si="12"/>
        <v>939.34000000000015</v>
      </c>
      <c r="J73" s="90">
        <f t="shared" si="12"/>
        <v>1037.6399999999999</v>
      </c>
      <c r="K73" s="90">
        <f t="shared" si="12"/>
        <v>1108.3400000000001</v>
      </c>
      <c r="L73" s="90">
        <f t="shared" si="12"/>
        <v>1126.24</v>
      </c>
      <c r="M73" s="90">
        <f t="shared" si="12"/>
        <v>1105.04</v>
      </c>
      <c r="N73" s="90">
        <f t="shared" si="12"/>
        <v>1109.1399999999999</v>
      </c>
      <c r="O73" s="90">
        <f t="shared" si="12"/>
        <v>1067.9399999999998</v>
      </c>
      <c r="P73" s="90">
        <f t="shared" si="12"/>
        <v>1065.3399999999999</v>
      </c>
      <c r="Q73" s="90">
        <f t="shared" si="12"/>
        <v>1049.7399999999998</v>
      </c>
      <c r="R73" s="90">
        <f t="shared" si="12"/>
        <v>1129.3399999999999</v>
      </c>
      <c r="S73" s="90">
        <f t="shared" si="12"/>
        <v>1099.3399999999999</v>
      </c>
      <c r="T73" s="90">
        <f t="shared" si="12"/>
        <v>1116.04</v>
      </c>
      <c r="U73" s="90">
        <f t="shared" si="12"/>
        <v>1150.94</v>
      </c>
      <c r="V73" s="90">
        <f t="shared" si="12"/>
        <v>1209.1399999999999</v>
      </c>
      <c r="W73" s="90">
        <f t="shared" si="12"/>
        <v>1369.8400000000001</v>
      </c>
      <c r="X73" s="90">
        <f t="shared" si="12"/>
        <v>1329.3400000000001</v>
      </c>
      <c r="Y73" s="90">
        <f t="shared" si="12"/>
        <v>1282.6400000000001</v>
      </c>
      <c r="Z73" s="90">
        <f t="shared" si="12"/>
        <v>1205.8400000000001</v>
      </c>
      <c r="AA73" s="90">
        <f t="shared" si="12"/>
        <v>1130.74</v>
      </c>
      <c r="AB73" s="90">
        <f t="shared" si="12"/>
        <v>1126.04</v>
      </c>
      <c r="AC73" s="90">
        <f t="shared" si="12"/>
        <v>1023.34</v>
      </c>
      <c r="AD73" s="90">
        <f t="shared" si="12"/>
        <v>901.04000000000008</v>
      </c>
      <c r="AE73" s="90">
        <f t="shared" si="12"/>
        <v>874.74</v>
      </c>
      <c r="AF73" s="90">
        <f t="shared" si="12"/>
        <v>873.24</v>
      </c>
      <c r="AG73" s="79">
        <f>AG70+AG66+AG54+AG50+AG36+AG72</f>
        <v>2083.14</v>
      </c>
      <c r="AH73" s="56">
        <f t="shared" si="2"/>
        <v>1369.8400000000001</v>
      </c>
      <c r="AI73" s="57">
        <f t="shared" si="3"/>
        <v>809.14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3">IF(C58&lt;0,C58*-1,0)</f>
        <v>0</v>
      </c>
      <c r="D74" s="60">
        <f t="shared" si="13"/>
        <v>0</v>
      </c>
      <c r="E74" s="60">
        <f t="shared" si="13"/>
        <v>0</v>
      </c>
      <c r="F74" s="60">
        <f t="shared" si="13"/>
        <v>0</v>
      </c>
      <c r="G74" s="60">
        <f t="shared" si="13"/>
        <v>0</v>
      </c>
      <c r="H74" s="60">
        <f t="shared" si="13"/>
        <v>0</v>
      </c>
      <c r="I74" s="60">
        <f t="shared" si="13"/>
        <v>0</v>
      </c>
      <c r="J74" s="60">
        <f t="shared" si="13"/>
        <v>0</v>
      </c>
      <c r="K74" s="60">
        <f t="shared" si="13"/>
        <v>0</v>
      </c>
      <c r="L74" s="60">
        <f t="shared" si="13"/>
        <v>0</v>
      </c>
      <c r="M74" s="60">
        <f t="shared" si="13"/>
        <v>0</v>
      </c>
      <c r="N74" s="60">
        <f t="shared" si="13"/>
        <v>0</v>
      </c>
      <c r="O74" s="60">
        <f t="shared" si="13"/>
        <v>0</v>
      </c>
      <c r="P74" s="60">
        <f t="shared" si="13"/>
        <v>0</v>
      </c>
      <c r="Q74" s="60">
        <f t="shared" si="13"/>
        <v>0</v>
      </c>
      <c r="R74" s="60">
        <f t="shared" si="13"/>
        <v>0</v>
      </c>
      <c r="S74" s="60">
        <f t="shared" si="13"/>
        <v>0</v>
      </c>
      <c r="T74" s="60">
        <f t="shared" si="13"/>
        <v>0</v>
      </c>
      <c r="U74" s="60">
        <f t="shared" si="13"/>
        <v>0</v>
      </c>
      <c r="V74" s="60">
        <f t="shared" si="13"/>
        <v>0</v>
      </c>
      <c r="W74" s="60">
        <f t="shared" si="13"/>
        <v>0</v>
      </c>
      <c r="X74" s="60">
        <f t="shared" si="13"/>
        <v>0</v>
      </c>
      <c r="Y74" s="60">
        <f t="shared" si="13"/>
        <v>0</v>
      </c>
      <c r="Z74" s="60">
        <f t="shared" si="13"/>
        <v>0</v>
      </c>
      <c r="AA74" s="60">
        <f t="shared" si="13"/>
        <v>0</v>
      </c>
      <c r="AB74" s="60">
        <f t="shared" si="13"/>
        <v>0</v>
      </c>
      <c r="AC74" s="60">
        <f t="shared" si="13"/>
        <v>0</v>
      </c>
      <c r="AD74" s="60">
        <f t="shared" si="13"/>
        <v>0</v>
      </c>
      <c r="AE74" s="60">
        <f t="shared" si="13"/>
        <v>0</v>
      </c>
      <c r="AF74" s="60">
        <f t="shared" si="13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4">IF(C56&lt;0,C56*-1,0)</f>
        <v>0</v>
      </c>
      <c r="D75" s="60">
        <f t="shared" si="14"/>
        <v>0</v>
      </c>
      <c r="E75" s="60">
        <f t="shared" si="14"/>
        <v>0</v>
      </c>
      <c r="F75" s="60">
        <f t="shared" si="14"/>
        <v>0</v>
      </c>
      <c r="G75" s="60">
        <f t="shared" si="14"/>
        <v>0</v>
      </c>
      <c r="H75" s="60">
        <f t="shared" si="14"/>
        <v>0</v>
      </c>
      <c r="I75" s="60">
        <f t="shared" si="14"/>
        <v>0</v>
      </c>
      <c r="J75" s="60">
        <f t="shared" si="14"/>
        <v>0</v>
      </c>
      <c r="K75" s="60">
        <f t="shared" si="14"/>
        <v>0</v>
      </c>
      <c r="L75" s="60">
        <f t="shared" si="14"/>
        <v>0</v>
      </c>
      <c r="M75" s="60">
        <f t="shared" si="14"/>
        <v>0</v>
      </c>
      <c r="N75" s="60">
        <f t="shared" si="14"/>
        <v>0</v>
      </c>
      <c r="O75" s="60">
        <f t="shared" si="14"/>
        <v>0</v>
      </c>
      <c r="P75" s="60">
        <f t="shared" si="14"/>
        <v>0</v>
      </c>
      <c r="Q75" s="60">
        <f t="shared" si="14"/>
        <v>0</v>
      </c>
      <c r="R75" s="60">
        <f t="shared" si="14"/>
        <v>0</v>
      </c>
      <c r="S75" s="60">
        <f t="shared" si="14"/>
        <v>0</v>
      </c>
      <c r="T75" s="60">
        <f t="shared" si="14"/>
        <v>0</v>
      </c>
      <c r="U75" s="60">
        <f t="shared" si="14"/>
        <v>0</v>
      </c>
      <c r="V75" s="60">
        <f t="shared" si="14"/>
        <v>0</v>
      </c>
      <c r="W75" s="60">
        <f t="shared" si="14"/>
        <v>0</v>
      </c>
      <c r="X75" s="60">
        <f t="shared" si="14"/>
        <v>0</v>
      </c>
      <c r="Y75" s="60">
        <f t="shared" si="14"/>
        <v>0</v>
      </c>
      <c r="Z75" s="60">
        <f t="shared" si="14"/>
        <v>0</v>
      </c>
      <c r="AA75" s="60">
        <f t="shared" si="14"/>
        <v>0</v>
      </c>
      <c r="AB75" s="60">
        <f t="shared" si="14"/>
        <v>0</v>
      </c>
      <c r="AC75" s="60">
        <f t="shared" si="14"/>
        <v>0</v>
      </c>
      <c r="AD75" s="60">
        <f t="shared" si="14"/>
        <v>0</v>
      </c>
      <c r="AE75" s="60">
        <f t="shared" si="14"/>
        <v>0</v>
      </c>
      <c r="AF75" s="60">
        <f t="shared" si="14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5">IF(C59&lt;0,C59*-1,0)</f>
        <v>0</v>
      </c>
      <c r="D76" s="60">
        <f t="shared" si="15"/>
        <v>0</v>
      </c>
      <c r="E76" s="60">
        <f t="shared" si="15"/>
        <v>0</v>
      </c>
      <c r="F76" s="60">
        <f t="shared" si="15"/>
        <v>0</v>
      </c>
      <c r="G76" s="60">
        <f t="shared" si="15"/>
        <v>0</v>
      </c>
      <c r="H76" s="60">
        <f t="shared" si="15"/>
        <v>0</v>
      </c>
      <c r="I76" s="60">
        <f t="shared" si="15"/>
        <v>0</v>
      </c>
      <c r="J76" s="60">
        <f t="shared" si="15"/>
        <v>0</v>
      </c>
      <c r="K76" s="60">
        <f t="shared" si="15"/>
        <v>0</v>
      </c>
      <c r="L76" s="60">
        <f t="shared" si="15"/>
        <v>0</v>
      </c>
      <c r="M76" s="60">
        <f t="shared" si="15"/>
        <v>0</v>
      </c>
      <c r="N76" s="60">
        <f t="shared" si="15"/>
        <v>0</v>
      </c>
      <c r="O76" s="60">
        <f t="shared" si="15"/>
        <v>0</v>
      </c>
      <c r="P76" s="60">
        <f t="shared" si="15"/>
        <v>0</v>
      </c>
      <c r="Q76" s="60">
        <f t="shared" si="15"/>
        <v>0</v>
      </c>
      <c r="R76" s="60">
        <f t="shared" si="15"/>
        <v>0</v>
      </c>
      <c r="S76" s="60">
        <f t="shared" si="15"/>
        <v>0</v>
      </c>
      <c r="T76" s="60">
        <f t="shared" si="15"/>
        <v>0</v>
      </c>
      <c r="U76" s="60">
        <f t="shared" si="15"/>
        <v>0</v>
      </c>
      <c r="V76" s="60">
        <f t="shared" si="15"/>
        <v>0</v>
      </c>
      <c r="W76" s="60">
        <f t="shared" si="15"/>
        <v>0</v>
      </c>
      <c r="X76" s="60">
        <f t="shared" si="15"/>
        <v>0</v>
      </c>
      <c r="Y76" s="60">
        <f t="shared" si="15"/>
        <v>0</v>
      </c>
      <c r="Z76" s="60">
        <f t="shared" si="15"/>
        <v>0</v>
      </c>
      <c r="AA76" s="60">
        <f t="shared" si="15"/>
        <v>0</v>
      </c>
      <c r="AB76" s="60">
        <f t="shared" si="15"/>
        <v>0</v>
      </c>
      <c r="AC76" s="60">
        <f t="shared" si="15"/>
        <v>0</v>
      </c>
      <c r="AD76" s="60">
        <f t="shared" si="15"/>
        <v>0</v>
      </c>
      <c r="AE76" s="60">
        <f t="shared" si="15"/>
        <v>0</v>
      </c>
      <c r="AF76" s="60">
        <f t="shared" si="15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40.299999999999997</v>
      </c>
      <c r="C77" s="60">
        <f t="shared" ref="C77:AF77" si="16">IF(C57&lt;0,C57*-1,0)</f>
        <v>10</v>
      </c>
      <c r="D77" s="60">
        <f t="shared" si="16"/>
        <v>10.7</v>
      </c>
      <c r="E77" s="60">
        <f t="shared" si="16"/>
        <v>13</v>
      </c>
      <c r="F77" s="60">
        <f t="shared" si="16"/>
        <v>2.5</v>
      </c>
      <c r="G77" s="60">
        <f t="shared" si="16"/>
        <v>3.4</v>
      </c>
      <c r="H77" s="60">
        <f t="shared" si="16"/>
        <v>18.399999999999999</v>
      </c>
      <c r="I77" s="60">
        <f t="shared" si="16"/>
        <v>2.7</v>
      </c>
      <c r="J77" s="60">
        <f t="shared" si="16"/>
        <v>2.7</v>
      </c>
      <c r="K77" s="60">
        <f t="shared" si="16"/>
        <v>14.9</v>
      </c>
      <c r="L77" s="60">
        <f t="shared" si="16"/>
        <v>15</v>
      </c>
      <c r="M77" s="60">
        <f t="shared" si="16"/>
        <v>18</v>
      </c>
      <c r="N77" s="60">
        <f t="shared" si="16"/>
        <v>5.2</v>
      </c>
      <c r="O77" s="60">
        <f t="shared" si="16"/>
        <v>6</v>
      </c>
      <c r="P77" s="60">
        <f t="shared" si="16"/>
        <v>5</v>
      </c>
      <c r="Q77" s="60">
        <f t="shared" si="16"/>
        <v>21</v>
      </c>
      <c r="R77" s="60">
        <f t="shared" si="16"/>
        <v>7</v>
      </c>
      <c r="S77" s="60">
        <f t="shared" si="16"/>
        <v>10</v>
      </c>
      <c r="T77" s="60">
        <f t="shared" si="16"/>
        <v>17.100000000000001</v>
      </c>
      <c r="U77" s="60">
        <f t="shared" si="16"/>
        <v>5.4</v>
      </c>
      <c r="V77" s="60">
        <f t="shared" si="16"/>
        <v>26.7</v>
      </c>
      <c r="W77" s="60">
        <f t="shared" si="16"/>
        <v>17.8</v>
      </c>
      <c r="X77" s="60">
        <f t="shared" si="16"/>
        <v>12</v>
      </c>
      <c r="Y77" s="60">
        <f t="shared" si="16"/>
        <v>28.5</v>
      </c>
      <c r="Z77" s="60">
        <f t="shared" si="16"/>
        <v>16.8</v>
      </c>
      <c r="AA77" s="60">
        <f t="shared" si="16"/>
        <v>12.1</v>
      </c>
      <c r="AB77" s="60">
        <f t="shared" si="16"/>
        <v>16.8</v>
      </c>
      <c r="AC77" s="60">
        <f t="shared" si="16"/>
        <v>20</v>
      </c>
      <c r="AD77" s="60">
        <f t="shared" si="16"/>
        <v>38</v>
      </c>
      <c r="AE77" s="60">
        <f t="shared" si="16"/>
        <v>25</v>
      </c>
      <c r="AF77" s="60">
        <f t="shared" si="16"/>
        <v>26.2</v>
      </c>
      <c r="AG77" s="93"/>
      <c r="AH77" s="56">
        <f t="shared" ref="AH77:AH89" si="17">MAX(B77:AF77)</f>
        <v>40.299999999999997</v>
      </c>
      <c r="AI77" s="57">
        <f t="shared" ref="AI77:AI89" si="18">MIN(B77:AF77)</f>
        <v>2.5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9">IF(C55&lt;0,C55*-1,0)</f>
        <v>0</v>
      </c>
      <c r="D78" s="60">
        <f t="shared" si="19"/>
        <v>0</v>
      </c>
      <c r="E78" s="60">
        <f t="shared" si="19"/>
        <v>0</v>
      </c>
      <c r="F78" s="60">
        <f t="shared" si="19"/>
        <v>0</v>
      </c>
      <c r="G78" s="60">
        <f t="shared" si="19"/>
        <v>0</v>
      </c>
      <c r="H78" s="60">
        <f t="shared" si="19"/>
        <v>0</v>
      </c>
      <c r="I78" s="60">
        <f t="shared" si="19"/>
        <v>0</v>
      </c>
      <c r="J78" s="60">
        <f t="shared" si="19"/>
        <v>0</v>
      </c>
      <c r="K78" s="60">
        <f t="shared" si="19"/>
        <v>0</v>
      </c>
      <c r="L78" s="60">
        <f t="shared" si="19"/>
        <v>0</v>
      </c>
      <c r="M78" s="60">
        <f t="shared" si="19"/>
        <v>0</v>
      </c>
      <c r="N78" s="60">
        <f t="shared" si="19"/>
        <v>0</v>
      </c>
      <c r="O78" s="60">
        <f t="shared" si="19"/>
        <v>0</v>
      </c>
      <c r="P78" s="60">
        <f t="shared" si="19"/>
        <v>0</v>
      </c>
      <c r="Q78" s="60">
        <f t="shared" si="19"/>
        <v>0</v>
      </c>
      <c r="R78" s="60">
        <f t="shared" si="19"/>
        <v>0</v>
      </c>
      <c r="S78" s="60">
        <f t="shared" si="19"/>
        <v>0</v>
      </c>
      <c r="T78" s="60">
        <f t="shared" si="19"/>
        <v>0</v>
      </c>
      <c r="U78" s="60">
        <f t="shared" si="19"/>
        <v>0</v>
      </c>
      <c r="V78" s="60">
        <f t="shared" si="19"/>
        <v>0</v>
      </c>
      <c r="W78" s="60">
        <f t="shared" si="19"/>
        <v>0</v>
      </c>
      <c r="X78" s="60">
        <f t="shared" si="19"/>
        <v>0</v>
      </c>
      <c r="Y78" s="60">
        <f t="shared" si="19"/>
        <v>0</v>
      </c>
      <c r="Z78" s="60">
        <f t="shared" si="19"/>
        <v>0</v>
      </c>
      <c r="AA78" s="60">
        <f t="shared" si="19"/>
        <v>0</v>
      </c>
      <c r="AB78" s="60">
        <f t="shared" si="19"/>
        <v>0</v>
      </c>
      <c r="AC78" s="60">
        <f t="shared" si="19"/>
        <v>0</v>
      </c>
      <c r="AD78" s="60">
        <f t="shared" si="19"/>
        <v>0</v>
      </c>
      <c r="AE78" s="60">
        <f t="shared" si="19"/>
        <v>0</v>
      </c>
      <c r="AF78" s="60">
        <f t="shared" si="19"/>
        <v>0</v>
      </c>
      <c r="AG78" s="93"/>
      <c r="AH78" s="56">
        <f t="shared" si="17"/>
        <v>0</v>
      </c>
      <c r="AI78" s="57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7"/>
        <v>0</v>
      </c>
      <c r="AI79" s="57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20">SUM(B74:B79)</f>
        <v>40.299999999999997</v>
      </c>
      <c r="C80" s="74">
        <f t="shared" si="20"/>
        <v>10</v>
      </c>
      <c r="D80" s="74">
        <f t="shared" si="20"/>
        <v>10.7</v>
      </c>
      <c r="E80" s="74">
        <f t="shared" si="20"/>
        <v>13</v>
      </c>
      <c r="F80" s="74">
        <f t="shared" si="20"/>
        <v>2.5</v>
      </c>
      <c r="G80" s="74">
        <f t="shared" si="20"/>
        <v>3.4</v>
      </c>
      <c r="H80" s="74">
        <f t="shared" si="20"/>
        <v>18.399999999999999</v>
      </c>
      <c r="I80" s="74">
        <f t="shared" si="20"/>
        <v>2.7</v>
      </c>
      <c r="J80" s="74">
        <f t="shared" si="20"/>
        <v>2.7</v>
      </c>
      <c r="K80" s="74">
        <f t="shared" si="20"/>
        <v>14.9</v>
      </c>
      <c r="L80" s="74">
        <f t="shared" si="20"/>
        <v>15</v>
      </c>
      <c r="M80" s="74">
        <f t="shared" si="20"/>
        <v>18</v>
      </c>
      <c r="N80" s="74">
        <f t="shared" si="20"/>
        <v>5.2</v>
      </c>
      <c r="O80" s="74">
        <f t="shared" si="20"/>
        <v>6</v>
      </c>
      <c r="P80" s="74">
        <f t="shared" si="20"/>
        <v>5</v>
      </c>
      <c r="Q80" s="74">
        <f t="shared" si="20"/>
        <v>21</v>
      </c>
      <c r="R80" s="74">
        <f t="shared" si="20"/>
        <v>7</v>
      </c>
      <c r="S80" s="74">
        <f t="shared" si="20"/>
        <v>10</v>
      </c>
      <c r="T80" s="74">
        <f t="shared" si="20"/>
        <v>17.100000000000001</v>
      </c>
      <c r="U80" s="74">
        <f t="shared" si="20"/>
        <v>5.4</v>
      </c>
      <c r="V80" s="74">
        <f t="shared" si="20"/>
        <v>26.7</v>
      </c>
      <c r="W80" s="74">
        <f t="shared" si="20"/>
        <v>17.8</v>
      </c>
      <c r="X80" s="74">
        <f t="shared" si="20"/>
        <v>12</v>
      </c>
      <c r="Y80" s="74">
        <f t="shared" si="20"/>
        <v>28.5</v>
      </c>
      <c r="Z80" s="74">
        <f t="shared" si="20"/>
        <v>16.8</v>
      </c>
      <c r="AA80" s="74">
        <f t="shared" si="20"/>
        <v>12.1</v>
      </c>
      <c r="AB80" s="74">
        <f t="shared" si="20"/>
        <v>16.8</v>
      </c>
      <c r="AC80" s="74">
        <f t="shared" si="20"/>
        <v>20</v>
      </c>
      <c r="AD80" s="74">
        <f t="shared" si="20"/>
        <v>38</v>
      </c>
      <c r="AE80" s="74">
        <f t="shared" si="20"/>
        <v>25</v>
      </c>
      <c r="AF80" s="74">
        <f t="shared" si="20"/>
        <v>26.2</v>
      </c>
      <c r="AG80" s="79">
        <f t="shared" si="20"/>
        <v>0</v>
      </c>
      <c r="AH80" s="56">
        <f t="shared" si="17"/>
        <v>40.299999999999997</v>
      </c>
      <c r="AI80" s="57">
        <f t="shared" si="18"/>
        <v>2.5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1">SUM(B68:B80)</f>
        <v>1780.2800000000002</v>
      </c>
      <c r="C81" s="74">
        <f t="shared" si="21"/>
        <v>1638.28</v>
      </c>
      <c r="D81" s="74">
        <f t="shared" si="21"/>
        <v>1646.0800000000002</v>
      </c>
      <c r="E81" s="74">
        <f t="shared" si="21"/>
        <v>1647.48</v>
      </c>
      <c r="F81" s="74">
        <f t="shared" si="21"/>
        <v>1644.68</v>
      </c>
      <c r="G81" s="74">
        <f t="shared" si="21"/>
        <v>1755.4800000000005</v>
      </c>
      <c r="H81" s="74">
        <f t="shared" si="21"/>
        <v>1840.6800000000003</v>
      </c>
      <c r="I81" s="74">
        <f t="shared" si="21"/>
        <v>1884.0800000000004</v>
      </c>
      <c r="J81" s="74">
        <f t="shared" si="21"/>
        <v>2080.6799999999994</v>
      </c>
      <c r="K81" s="74">
        <f t="shared" si="21"/>
        <v>2246.4800000000005</v>
      </c>
      <c r="L81" s="74">
        <f t="shared" si="21"/>
        <v>2282.48</v>
      </c>
      <c r="M81" s="74">
        <f t="shared" si="21"/>
        <v>2246.08</v>
      </c>
      <c r="N81" s="74">
        <f t="shared" si="21"/>
        <v>2228.6799999999994</v>
      </c>
      <c r="O81" s="74">
        <f t="shared" si="21"/>
        <v>2147.8799999999997</v>
      </c>
      <c r="P81" s="74">
        <f t="shared" si="21"/>
        <v>2140.6799999999998</v>
      </c>
      <c r="Q81" s="74">
        <f t="shared" si="21"/>
        <v>2141.4799999999996</v>
      </c>
      <c r="R81" s="74">
        <f t="shared" si="21"/>
        <v>2272.6799999999998</v>
      </c>
      <c r="S81" s="74">
        <f t="shared" si="21"/>
        <v>2218.6799999999998</v>
      </c>
      <c r="T81" s="74">
        <f t="shared" si="21"/>
        <v>2266.2799999999997</v>
      </c>
      <c r="U81" s="74">
        <f t="shared" si="21"/>
        <v>2312.6800000000003</v>
      </c>
      <c r="V81" s="74">
        <f t="shared" si="21"/>
        <v>2471.6799999999994</v>
      </c>
      <c r="W81" s="74">
        <f t="shared" si="21"/>
        <v>2775.2800000000007</v>
      </c>
      <c r="X81" s="74">
        <f t="shared" si="21"/>
        <v>2682.6800000000003</v>
      </c>
      <c r="Y81" s="74">
        <f t="shared" si="21"/>
        <v>2622.28</v>
      </c>
      <c r="Z81" s="74">
        <f t="shared" si="21"/>
        <v>2445.2800000000007</v>
      </c>
      <c r="AA81" s="74">
        <f t="shared" si="21"/>
        <v>2285.6799999999998</v>
      </c>
      <c r="AB81" s="74">
        <f t="shared" si="21"/>
        <v>2285.6800000000003</v>
      </c>
      <c r="AC81" s="74">
        <f t="shared" si="21"/>
        <v>2086.6800000000003</v>
      </c>
      <c r="AD81" s="74">
        <f t="shared" si="21"/>
        <v>1878.0800000000002</v>
      </c>
      <c r="AE81" s="74">
        <f t="shared" si="21"/>
        <v>1799.48</v>
      </c>
      <c r="AF81" s="74">
        <f t="shared" si="21"/>
        <v>1798.88</v>
      </c>
      <c r="AG81" s="79">
        <f t="shared" si="21"/>
        <v>4238.08</v>
      </c>
      <c r="AH81" s="56">
        <f t="shared" si="17"/>
        <v>2775.2800000000007</v>
      </c>
      <c r="AI81" s="57">
        <f t="shared" si="18"/>
        <v>1638.28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49.9</v>
      </c>
      <c r="C82" s="96">
        <v>50.04</v>
      </c>
      <c r="D82" s="96">
        <v>50.057000000000002</v>
      </c>
      <c r="E82" s="96">
        <v>50.030999999999999</v>
      </c>
      <c r="F82" s="96">
        <v>49.896000000000001</v>
      </c>
      <c r="G82" s="96">
        <v>50.024999999999999</v>
      </c>
      <c r="H82" s="96">
        <v>50.006999999999998</v>
      </c>
      <c r="I82" s="96">
        <v>49.991</v>
      </c>
      <c r="J82" s="96">
        <v>49.959000000000003</v>
      </c>
      <c r="K82" s="96">
        <v>50.000999999999998</v>
      </c>
      <c r="L82" s="96">
        <v>50.034999999999997</v>
      </c>
      <c r="M82" s="96">
        <v>50.030999999999999</v>
      </c>
      <c r="N82" s="96">
        <v>50.08</v>
      </c>
      <c r="O82" s="96">
        <v>50.06</v>
      </c>
      <c r="P82" s="96">
        <v>50.012</v>
      </c>
      <c r="Q82" s="96">
        <v>50.103999999999999</v>
      </c>
      <c r="R82" s="96">
        <v>49.984999999999999</v>
      </c>
      <c r="S82" s="96">
        <v>50.042999999999999</v>
      </c>
      <c r="T82" s="96">
        <v>49.889000000000003</v>
      </c>
      <c r="U82" s="96">
        <v>49.887</v>
      </c>
      <c r="V82" s="96">
        <v>50.058999999999997</v>
      </c>
      <c r="W82" s="96">
        <v>50.036999999999999</v>
      </c>
      <c r="X82" s="96">
        <v>50.009</v>
      </c>
      <c r="Y82" s="96">
        <v>50.052999999999997</v>
      </c>
      <c r="Z82" s="96">
        <v>50.076000000000001</v>
      </c>
      <c r="AA82" s="96">
        <v>50.088999999999999</v>
      </c>
      <c r="AB82" s="96">
        <v>50.088999999999999</v>
      </c>
      <c r="AC82" s="96">
        <v>50.067</v>
      </c>
      <c r="AD82" s="96">
        <v>50.046999999999997</v>
      </c>
      <c r="AE82" s="96">
        <v>49.954000000000001</v>
      </c>
      <c r="AF82" s="97">
        <v>50.02</v>
      </c>
      <c r="AG82" s="98"/>
      <c r="AH82" s="56">
        <f t="shared" si="17"/>
        <v>50.103999999999999</v>
      </c>
      <c r="AI82" s="57">
        <f t="shared" si="18"/>
        <v>49.887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127</v>
      </c>
      <c r="C83" s="52">
        <v>128</v>
      </c>
      <c r="D83" s="52">
        <v>127.3</v>
      </c>
      <c r="E83" s="52">
        <v>127.3</v>
      </c>
      <c r="F83" s="52">
        <v>125.6</v>
      </c>
      <c r="G83" s="52">
        <v>125.9</v>
      </c>
      <c r="H83" s="52">
        <v>125.1</v>
      </c>
      <c r="I83" s="52">
        <v>124.3</v>
      </c>
      <c r="J83" s="52">
        <v>125.3</v>
      </c>
      <c r="K83" s="52">
        <v>123.9</v>
      </c>
      <c r="L83" s="52">
        <v>123.5</v>
      </c>
      <c r="M83" s="52">
        <v>123</v>
      </c>
      <c r="N83" s="52">
        <v>122.4</v>
      </c>
      <c r="O83" s="52">
        <v>123.9</v>
      </c>
      <c r="P83" s="52">
        <v>122.5</v>
      </c>
      <c r="Q83" s="52">
        <v>123.9</v>
      </c>
      <c r="R83" s="52">
        <v>124.4</v>
      </c>
      <c r="S83" s="52">
        <v>125.4</v>
      </c>
      <c r="T83" s="100">
        <v>122.3</v>
      </c>
      <c r="U83" s="100">
        <v>124.3</v>
      </c>
      <c r="V83" s="100">
        <v>125</v>
      </c>
      <c r="W83" s="100">
        <v>128.9</v>
      </c>
      <c r="X83" s="100">
        <v>125.9</v>
      </c>
      <c r="Y83" s="100">
        <v>126.5</v>
      </c>
      <c r="Z83" s="100">
        <v>127.1</v>
      </c>
      <c r="AA83" s="52">
        <v>127.2</v>
      </c>
      <c r="AB83" s="52">
        <v>127.2</v>
      </c>
      <c r="AC83" s="52">
        <v>126.9</v>
      </c>
      <c r="AD83" s="52">
        <v>127.6</v>
      </c>
      <c r="AE83" s="52">
        <v>126.1</v>
      </c>
      <c r="AF83" s="101">
        <v>126.6</v>
      </c>
      <c r="AG83" s="102"/>
      <c r="AH83" s="56">
        <f t="shared" si="17"/>
        <v>128.9</v>
      </c>
      <c r="AI83" s="57">
        <f t="shared" si="18"/>
        <v>122.3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131</v>
      </c>
      <c r="C84" s="52">
        <v>131</v>
      </c>
      <c r="D84" s="52">
        <v>130.30000000000001</v>
      </c>
      <c r="E84" s="52">
        <v>130.30000000000001</v>
      </c>
      <c r="F84" s="52">
        <v>129.19999999999999</v>
      </c>
      <c r="G84" s="52">
        <v>129.30000000000001</v>
      </c>
      <c r="H84" s="52">
        <v>128.19999999999999</v>
      </c>
      <c r="I84" s="52">
        <v>127.6</v>
      </c>
      <c r="J84" s="52">
        <v>128.5</v>
      </c>
      <c r="K84" s="52">
        <v>126.8</v>
      </c>
      <c r="L84" s="52">
        <v>126.8</v>
      </c>
      <c r="M84" s="52">
        <v>126.5</v>
      </c>
      <c r="N84" s="52">
        <v>125.6</v>
      </c>
      <c r="O84" s="52">
        <v>127.2</v>
      </c>
      <c r="P84" s="52">
        <v>125.7</v>
      </c>
      <c r="Q84" s="52">
        <v>126.9</v>
      </c>
      <c r="R84" s="52">
        <v>127.5</v>
      </c>
      <c r="S84" s="52">
        <v>128.6</v>
      </c>
      <c r="T84" s="100">
        <v>125.9</v>
      </c>
      <c r="U84" s="100">
        <v>127.8</v>
      </c>
      <c r="V84" s="100">
        <v>128.19999999999999</v>
      </c>
      <c r="W84" s="100">
        <v>128.6</v>
      </c>
      <c r="X84" s="100">
        <v>128.19999999999999</v>
      </c>
      <c r="Y84" s="100">
        <v>129.19999999999999</v>
      </c>
      <c r="Z84" s="100">
        <v>129.9</v>
      </c>
      <c r="AA84" s="52">
        <v>130.19999999999999</v>
      </c>
      <c r="AB84" s="52">
        <v>130.19999999999999</v>
      </c>
      <c r="AC84" s="52">
        <v>130.6</v>
      </c>
      <c r="AD84" s="52">
        <v>130.9</v>
      </c>
      <c r="AE84" s="52">
        <v>129.4</v>
      </c>
      <c r="AF84" s="101">
        <v>129.9</v>
      </c>
      <c r="AG84" s="102"/>
      <c r="AH84" s="56">
        <f t="shared" si="17"/>
        <v>131</v>
      </c>
      <c r="AI84" s="57">
        <f t="shared" si="18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7"/>
        <v>0</v>
      </c>
      <c r="AI85" s="57">
        <f t="shared" si="18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>
        <v>131.69999999999999</v>
      </c>
      <c r="U86" s="52">
        <v>133.30000000000001</v>
      </c>
      <c r="V86" s="52">
        <v>132</v>
      </c>
      <c r="W86" s="100">
        <v>132.1</v>
      </c>
      <c r="X86" s="100">
        <v>133</v>
      </c>
      <c r="Y86" s="100">
        <v>133.5</v>
      </c>
      <c r="Z86" s="100">
        <v>135</v>
      </c>
      <c r="AA86" s="52">
        <v>131.69999999999999</v>
      </c>
      <c r="AB86" s="52">
        <v>131.69999999999999</v>
      </c>
      <c r="AC86" s="52">
        <v>130.9</v>
      </c>
      <c r="AD86" s="52">
        <v>131.6</v>
      </c>
      <c r="AE86" s="52">
        <v>130.9</v>
      </c>
      <c r="AF86" s="101">
        <v>131.69999999999999</v>
      </c>
      <c r="AG86" s="102"/>
      <c r="AH86" s="56">
        <f t="shared" si="17"/>
        <v>135</v>
      </c>
      <c r="AI86" s="57">
        <f t="shared" si="18"/>
        <v>130.9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133</v>
      </c>
      <c r="C87" s="104">
        <v>133</v>
      </c>
      <c r="D87" s="104">
        <v>132.5</v>
      </c>
      <c r="E87" s="104">
        <v>132.5</v>
      </c>
      <c r="F87" s="104">
        <v>133.1</v>
      </c>
      <c r="G87" s="104">
        <v>133.9</v>
      </c>
      <c r="H87" s="104">
        <v>133.30000000000001</v>
      </c>
      <c r="I87" s="104">
        <v>131.19999999999999</v>
      </c>
      <c r="J87" s="104">
        <v>132.5</v>
      </c>
      <c r="K87" s="104">
        <v>130.80000000000001</v>
      </c>
      <c r="L87" s="104">
        <v>130</v>
      </c>
      <c r="M87" s="104">
        <v>133.6</v>
      </c>
      <c r="N87" s="104">
        <v>131.5</v>
      </c>
      <c r="O87" s="104">
        <v>134</v>
      </c>
      <c r="P87" s="104">
        <v>132.4</v>
      </c>
      <c r="Q87" s="104">
        <v>131.19999999999999</v>
      </c>
      <c r="R87" s="104">
        <v>134.69999999999999</v>
      </c>
      <c r="S87" s="104">
        <v>134</v>
      </c>
      <c r="T87" s="104">
        <v>132.6</v>
      </c>
      <c r="U87" s="104">
        <v>132.9</v>
      </c>
      <c r="V87" s="104">
        <v>134.19999999999999</v>
      </c>
      <c r="W87" s="100">
        <v>131.4</v>
      </c>
      <c r="X87" s="100">
        <v>131.1</v>
      </c>
      <c r="Y87" s="100">
        <v>137</v>
      </c>
      <c r="Z87" s="100">
        <v>134.1</v>
      </c>
      <c r="AA87" s="104">
        <v>134.6</v>
      </c>
      <c r="AB87" s="104">
        <v>134.6</v>
      </c>
      <c r="AC87" s="104">
        <v>136.30000000000001</v>
      </c>
      <c r="AD87" s="104">
        <v>135.80000000000001</v>
      </c>
      <c r="AE87" s="104">
        <v>131.19999999999999</v>
      </c>
      <c r="AF87" s="105">
        <v>133.1</v>
      </c>
      <c r="AG87" s="106"/>
      <c r="AH87" s="56">
        <f t="shared" si="17"/>
        <v>137</v>
      </c>
      <c r="AI87" s="57">
        <f t="shared" si="18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132</v>
      </c>
      <c r="C88" s="52">
        <v>133</v>
      </c>
      <c r="D88" s="52">
        <v>131.69999999999999</v>
      </c>
      <c r="E88" s="52">
        <v>131.69999999999999</v>
      </c>
      <c r="F88" s="52">
        <v>131.69999999999999</v>
      </c>
      <c r="G88" s="52">
        <v>131</v>
      </c>
      <c r="H88" s="52">
        <v>130.19999999999999</v>
      </c>
      <c r="I88" s="52">
        <v>129.19999999999999</v>
      </c>
      <c r="J88" s="52">
        <v>129.80000000000001</v>
      </c>
      <c r="K88" s="52">
        <v>128.69999999999999</v>
      </c>
      <c r="L88" s="52">
        <v>126.9</v>
      </c>
      <c r="M88" s="52">
        <v>129.9</v>
      </c>
      <c r="N88" s="52">
        <v>127.5</v>
      </c>
      <c r="O88" s="52">
        <v>131.30000000000001</v>
      </c>
      <c r="P88" s="52">
        <v>132.1</v>
      </c>
      <c r="Q88" s="52">
        <v>129.4</v>
      </c>
      <c r="R88" s="52">
        <v>129.69999999999999</v>
      </c>
      <c r="S88" s="52">
        <v>129.19999999999999</v>
      </c>
      <c r="T88" s="52">
        <v>130.4</v>
      </c>
      <c r="U88" s="52">
        <v>129</v>
      </c>
      <c r="V88" s="52">
        <v>131.4</v>
      </c>
      <c r="W88" s="100">
        <v>128.5</v>
      </c>
      <c r="X88" s="100">
        <v>126.1</v>
      </c>
      <c r="Y88" s="100">
        <v>135.80000000000001</v>
      </c>
      <c r="Z88" s="100">
        <v>134.30000000000001</v>
      </c>
      <c r="AA88" s="52">
        <v>133.4</v>
      </c>
      <c r="AB88" s="52">
        <v>133.4</v>
      </c>
      <c r="AC88" s="52">
        <v>135.1</v>
      </c>
      <c r="AD88" s="52">
        <v>132.80000000000001</v>
      </c>
      <c r="AE88" s="52">
        <v>130.5</v>
      </c>
      <c r="AF88" s="101">
        <v>131.5</v>
      </c>
      <c r="AG88" s="102"/>
      <c r="AH88" s="56">
        <f t="shared" si="17"/>
        <v>135.80000000000001</v>
      </c>
      <c r="AI88" s="57">
        <f t="shared" si="18"/>
        <v>126.1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66.8</v>
      </c>
      <c r="C89" s="107">
        <v>67</v>
      </c>
      <c r="D89" s="107">
        <v>66.8</v>
      </c>
      <c r="E89" s="107">
        <v>66.8</v>
      </c>
      <c r="F89" s="107">
        <v>66.099999999999994</v>
      </c>
      <c r="G89" s="107">
        <v>66.099999999999994</v>
      </c>
      <c r="H89" s="107">
        <v>65.7</v>
      </c>
      <c r="I89" s="107">
        <v>65.400000000000006</v>
      </c>
      <c r="J89" s="107">
        <v>65.900000000000006</v>
      </c>
      <c r="K89" s="107">
        <v>64.8</v>
      </c>
      <c r="L89" s="107">
        <v>65</v>
      </c>
      <c r="M89" s="107">
        <v>64.7</v>
      </c>
      <c r="N89" s="107">
        <v>64.3</v>
      </c>
      <c r="O89" s="107">
        <v>65.099999999999994</v>
      </c>
      <c r="P89" s="107">
        <v>64.400000000000006</v>
      </c>
      <c r="Q89" s="107">
        <v>65</v>
      </c>
      <c r="R89" s="107">
        <v>65.5</v>
      </c>
      <c r="S89" s="107">
        <v>66</v>
      </c>
      <c r="T89" s="107">
        <v>64.7</v>
      </c>
      <c r="U89" s="107">
        <v>65.3</v>
      </c>
      <c r="V89" s="107">
        <v>65.599999999999994</v>
      </c>
      <c r="W89" s="107">
        <v>65.900000000000006</v>
      </c>
      <c r="X89" s="107">
        <v>66</v>
      </c>
      <c r="Y89" s="107">
        <v>66.400000000000006</v>
      </c>
      <c r="Z89" s="107">
        <v>66.7</v>
      </c>
      <c r="AA89" s="107">
        <v>66.599999999999994</v>
      </c>
      <c r="AB89" s="107">
        <v>66.599999999999994</v>
      </c>
      <c r="AC89" s="107">
        <v>66.8</v>
      </c>
      <c r="AD89" s="107">
        <v>67.2</v>
      </c>
      <c r="AE89" s="107">
        <v>66.2</v>
      </c>
      <c r="AF89" s="108">
        <v>66.900000000000006</v>
      </c>
      <c r="AG89" s="109"/>
      <c r="AH89" s="56">
        <f t="shared" si="17"/>
        <v>67.2</v>
      </c>
      <c r="AI89" s="57">
        <f t="shared" si="18"/>
        <v>64.3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145.43999999999997</v>
      </c>
      <c r="C91" s="114">
        <f t="shared" ref="C91:AF91" si="22">SUM(C14,C17,C20:C21,C40,C42:C43,C45,C47,C92:C95,C100,C106,C112,C121,C123,C135,C142,C145:C146,C153,C155,C157,C161:C163,C165:C167,C172,C178:C179,C181:C183,C191,C196)</f>
        <v>134.93999999999997</v>
      </c>
      <c r="D91" s="114">
        <f t="shared" si="22"/>
        <v>115.74000000000002</v>
      </c>
      <c r="E91" s="114">
        <f>SUM(E14,E17,E20:E21,E40,E42:E43,E45,E47,E92:E95,E100,E106,E112,E121,E123,E135,E142,E145:E146,E153,E155,E157,E161:E163,E165:E167,E172,E178:E179,E181:E183,E191,E196)</f>
        <v>116.94000000000001</v>
      </c>
      <c r="F91" s="115">
        <f>SUM(F14,F17,F20:F21,F40,F42:F43,F45,F47,F92:F95,F100,F106,F112,F121,F123,F135,F142,F145:F146,F153,F155,F157,F161:F163,F165:F167,F172,F178:F179,F181:F183,F191,F196)</f>
        <v>139.33999999999997</v>
      </c>
      <c r="G91" s="115">
        <f t="shared" si="22"/>
        <v>163.53999999999996</v>
      </c>
      <c r="H91" s="115">
        <f t="shared" si="22"/>
        <v>167.33999999999997</v>
      </c>
      <c r="I91" s="115">
        <f t="shared" si="22"/>
        <v>219.03999999999996</v>
      </c>
      <c r="J91" s="115">
        <f t="shared" si="22"/>
        <v>255.33999999999992</v>
      </c>
      <c r="K91" s="115">
        <f t="shared" si="22"/>
        <v>276.24</v>
      </c>
      <c r="L91" s="115">
        <f t="shared" si="22"/>
        <v>275.64000000000004</v>
      </c>
      <c r="M91" s="115">
        <f t="shared" si="22"/>
        <v>257.64000000000004</v>
      </c>
      <c r="N91" s="115">
        <f t="shared" si="22"/>
        <v>263.84000000000003</v>
      </c>
      <c r="O91" s="115">
        <f t="shared" si="22"/>
        <v>369.74</v>
      </c>
      <c r="P91" s="115">
        <f t="shared" si="22"/>
        <v>247.33999999999997</v>
      </c>
      <c r="Q91" s="115">
        <f t="shared" si="22"/>
        <v>250.13999999999996</v>
      </c>
      <c r="R91" s="115">
        <f t="shared" si="22"/>
        <v>250.53999999999996</v>
      </c>
      <c r="S91" s="115">
        <f t="shared" si="22"/>
        <v>228.73999999999998</v>
      </c>
      <c r="T91" s="115">
        <f t="shared" si="22"/>
        <v>252.23999999999998</v>
      </c>
      <c r="U91" s="115">
        <f t="shared" si="22"/>
        <v>282.84000000000003</v>
      </c>
      <c r="V91" s="115">
        <f t="shared" si="22"/>
        <v>308.44000000000005</v>
      </c>
      <c r="W91" s="115">
        <f t="shared" si="22"/>
        <v>349.64</v>
      </c>
      <c r="X91" s="115">
        <f t="shared" si="22"/>
        <v>332.64000000000004</v>
      </c>
      <c r="Y91" s="115">
        <f t="shared" si="22"/>
        <v>323.83999999999997</v>
      </c>
      <c r="Z91" s="115">
        <f t="shared" si="22"/>
        <v>294.94000000000005</v>
      </c>
      <c r="AA91" s="115">
        <f t="shared" si="22"/>
        <v>264.74</v>
      </c>
      <c r="AB91" s="115">
        <f t="shared" si="22"/>
        <v>264.74</v>
      </c>
      <c r="AC91" s="115">
        <f t="shared" si="22"/>
        <v>211.14</v>
      </c>
      <c r="AD91" s="115">
        <f t="shared" si="22"/>
        <v>176.33999999999995</v>
      </c>
      <c r="AE91" s="115">
        <f t="shared" si="22"/>
        <v>138.03999999999996</v>
      </c>
      <c r="AF91" s="115">
        <f t="shared" si="22"/>
        <v>124.64</v>
      </c>
      <c r="AG91" s="116"/>
      <c r="AH91" s="56">
        <f>MAX(B91:AF91)</f>
        <v>369.74</v>
      </c>
      <c r="AI91" s="57">
        <f>MIN(B91:AF91)</f>
        <v>115.74000000000002</v>
      </c>
    </row>
    <row r="92" spans="1:88" x14ac:dyDescent="0.25">
      <c r="A92" s="117" t="s">
        <v>96</v>
      </c>
      <c r="B92" s="60">
        <v>32</v>
      </c>
      <c r="C92" s="60">
        <v>24</v>
      </c>
      <c r="D92" s="60">
        <v>23.8</v>
      </c>
      <c r="E92" s="60">
        <v>29.9</v>
      </c>
      <c r="F92" s="118">
        <v>20.2</v>
      </c>
      <c r="G92" s="118">
        <v>33</v>
      </c>
      <c r="H92" s="118">
        <v>33</v>
      </c>
      <c r="I92" s="118">
        <v>34.4</v>
      </c>
      <c r="J92" s="118">
        <v>30.1</v>
      </c>
      <c r="K92" s="118">
        <v>20</v>
      </c>
      <c r="L92" s="54">
        <v>22.8</v>
      </c>
      <c r="M92" s="118">
        <v>36.4</v>
      </c>
      <c r="N92" s="118">
        <v>43.4</v>
      </c>
      <c r="O92" s="118">
        <v>44.7</v>
      </c>
      <c r="P92" s="118">
        <v>45.3</v>
      </c>
      <c r="Q92" s="118">
        <v>40.200000000000003</v>
      </c>
      <c r="R92" s="118">
        <v>33</v>
      </c>
      <c r="S92" s="118">
        <v>22.2</v>
      </c>
      <c r="T92" s="54">
        <v>39.200000000000003</v>
      </c>
      <c r="U92" s="54">
        <v>43.1</v>
      </c>
      <c r="V92" s="54">
        <v>29.8</v>
      </c>
      <c r="W92" s="118">
        <v>12.7</v>
      </c>
      <c r="X92" s="118">
        <v>8.4</v>
      </c>
      <c r="Y92" s="118">
        <v>18.600000000000001</v>
      </c>
      <c r="Z92" s="118">
        <v>35.4</v>
      </c>
      <c r="AA92" s="54">
        <v>41.8</v>
      </c>
      <c r="AB92" s="54">
        <v>41.8</v>
      </c>
      <c r="AC92" s="54">
        <v>52.1</v>
      </c>
      <c r="AD92" s="54">
        <v>38.1</v>
      </c>
      <c r="AE92" s="54">
        <v>35.200000000000003</v>
      </c>
      <c r="AF92" s="119">
        <v>29.9</v>
      </c>
      <c r="AG92" s="120">
        <v>75</v>
      </c>
      <c r="AH92" s="56">
        <f t="shared" ref="AH92:AH97" si="23">IF(ABS(MAX(B92:AF92))&gt;ABS(MIN(B92:AF92)),MAX(B92:AF92),MIN(B92:AF92))</f>
        <v>52.1</v>
      </c>
      <c r="AI92" s="121">
        <f t="shared" ref="AI92:AI97" si="24">INDEX($B$9:$AF$9,1,MATCH(AH92,B92:AF92,0))</f>
        <v>0.875</v>
      </c>
    </row>
    <row r="93" spans="1:88" x14ac:dyDescent="0.25">
      <c r="A93" s="122" t="s">
        <v>97</v>
      </c>
      <c r="B93" s="62">
        <v>-76</v>
      </c>
      <c r="C93" s="62">
        <v>-72</v>
      </c>
      <c r="D93" s="62">
        <v>-80.5</v>
      </c>
      <c r="E93" s="62">
        <v>-78.8</v>
      </c>
      <c r="F93" s="62">
        <v>-68.3</v>
      </c>
      <c r="G93" s="62">
        <v>-70.099999999999994</v>
      </c>
      <c r="H93" s="62">
        <v>-70.099999999999994</v>
      </c>
      <c r="I93" s="62">
        <v>-60.2</v>
      </c>
      <c r="J93" s="62">
        <v>-52.7</v>
      </c>
      <c r="K93" s="62">
        <v>-42.4</v>
      </c>
      <c r="L93" s="62">
        <v>-46.8</v>
      </c>
      <c r="M93" s="62">
        <v>-53</v>
      </c>
      <c r="N93" s="62">
        <f>-25.5-30.3</f>
        <v>-55.8</v>
      </c>
      <c r="O93" s="62">
        <v>55</v>
      </c>
      <c r="P93" s="62">
        <v>-66</v>
      </c>
      <c r="Q93" s="62">
        <v>-56</v>
      </c>
      <c r="R93" s="62">
        <v>-59.5</v>
      </c>
      <c r="S93" s="62">
        <v>-68.3</v>
      </c>
      <c r="T93" s="62">
        <v>-64.5</v>
      </c>
      <c r="U93" s="62">
        <v>-46.6</v>
      </c>
      <c r="V93" s="62">
        <v>-43</v>
      </c>
      <c r="W93" s="62">
        <v>-22.3</v>
      </c>
      <c r="X93" s="62">
        <v>-27.2</v>
      </c>
      <c r="Y93" s="62">
        <v>-32.9</v>
      </c>
      <c r="Z93" s="62">
        <v>-40</v>
      </c>
      <c r="AA93" s="52">
        <v>-53</v>
      </c>
      <c r="AB93" s="52">
        <v>-53</v>
      </c>
      <c r="AC93" s="52">
        <v>-73</v>
      </c>
      <c r="AD93" s="52">
        <v>-69</v>
      </c>
      <c r="AE93" s="52">
        <v>-83</v>
      </c>
      <c r="AF93" s="123">
        <v>-92</v>
      </c>
      <c r="AG93" s="120">
        <v>240</v>
      </c>
      <c r="AH93" s="56">
        <f t="shared" si="23"/>
        <v>-92</v>
      </c>
      <c r="AI93" s="121">
        <f t="shared" si="24"/>
        <v>1</v>
      </c>
    </row>
    <row r="94" spans="1:88" x14ac:dyDescent="0.25">
      <c r="A94" s="122" t="s">
        <v>98</v>
      </c>
      <c r="B94" s="62">
        <v>-4</v>
      </c>
      <c r="C94" s="62">
        <v>-5.5</v>
      </c>
      <c r="D94" s="62">
        <v>-10.5</v>
      </c>
      <c r="E94" s="62">
        <v>-8.1999999999999993</v>
      </c>
      <c r="F94" s="62">
        <v>-6.3</v>
      </c>
      <c r="G94" s="62">
        <v>-3.1</v>
      </c>
      <c r="H94" s="62">
        <v>-3.1</v>
      </c>
      <c r="I94" s="62">
        <v>-1.3</v>
      </c>
      <c r="J94" s="62">
        <v>3.2</v>
      </c>
      <c r="K94" s="62">
        <v>5.7</v>
      </c>
      <c r="L94" s="62">
        <v>7.5</v>
      </c>
      <c r="M94" s="62">
        <v>0</v>
      </c>
      <c r="N94" s="62">
        <v>1.2</v>
      </c>
      <c r="O94" s="62">
        <v>2.7</v>
      </c>
      <c r="P94" s="62">
        <v>-0.5</v>
      </c>
      <c r="Q94" s="62">
        <v>3.3</v>
      </c>
      <c r="R94" s="62">
        <v>5</v>
      </c>
      <c r="S94" s="62">
        <v>3</v>
      </c>
      <c r="T94" s="62">
        <v>4.2</v>
      </c>
      <c r="U94" s="62">
        <v>6.5</v>
      </c>
      <c r="V94" s="62">
        <v>13.8</v>
      </c>
      <c r="W94" s="62">
        <v>40.1</v>
      </c>
      <c r="X94" s="62">
        <v>34.299999999999997</v>
      </c>
      <c r="Y94" s="62">
        <v>20.100000000000001</v>
      </c>
      <c r="Z94" s="62">
        <v>5.8</v>
      </c>
      <c r="AA94" s="52">
        <v>3.2</v>
      </c>
      <c r="AB94" s="52">
        <v>3.2</v>
      </c>
      <c r="AC94" s="52">
        <v>-6.2</v>
      </c>
      <c r="AD94" s="52">
        <v>12</v>
      </c>
      <c r="AE94" s="52">
        <v>-11.2</v>
      </c>
      <c r="AF94" s="123">
        <v>-10.3</v>
      </c>
      <c r="AG94" s="120">
        <v>60</v>
      </c>
      <c r="AH94" s="56">
        <f t="shared" si="23"/>
        <v>40.1</v>
      </c>
      <c r="AI94" s="121">
        <f t="shared" si="24"/>
        <v>0.75</v>
      </c>
    </row>
    <row r="95" spans="1:88" x14ac:dyDescent="0.25">
      <c r="A95" s="124" t="s">
        <v>99</v>
      </c>
      <c r="B95" s="65">
        <v>-5</v>
      </c>
      <c r="C95" s="65">
        <v>-5</v>
      </c>
      <c r="D95" s="65">
        <v>-3.8</v>
      </c>
      <c r="E95" s="65">
        <v>-12.7</v>
      </c>
      <c r="F95" s="65">
        <v>6.7</v>
      </c>
      <c r="G95" s="65">
        <v>1.6</v>
      </c>
      <c r="H95" s="65">
        <v>1.6</v>
      </c>
      <c r="I95" s="65">
        <v>22.7</v>
      </c>
      <c r="J95" s="65">
        <v>43.2</v>
      </c>
      <c r="K95" s="65">
        <v>61</v>
      </c>
      <c r="L95" s="65">
        <v>62.2</v>
      </c>
      <c r="M95" s="65">
        <v>44.3</v>
      </c>
      <c r="N95" s="65">
        <v>44.5</v>
      </c>
      <c r="O95" s="65">
        <v>36.799999999999997</v>
      </c>
      <c r="P95" s="65">
        <v>38</v>
      </c>
      <c r="Q95" s="65">
        <v>32.1</v>
      </c>
      <c r="R95" s="65">
        <v>40.6</v>
      </c>
      <c r="S95" s="65">
        <v>40.4</v>
      </c>
      <c r="T95" s="65">
        <v>42.9</v>
      </c>
      <c r="U95" s="65">
        <v>58.2</v>
      </c>
      <c r="V95" s="65">
        <v>71.7</v>
      </c>
      <c r="W95" s="65">
        <v>83</v>
      </c>
      <c r="X95" s="65">
        <v>77.7</v>
      </c>
      <c r="Y95" s="65">
        <v>81.8</v>
      </c>
      <c r="Z95" s="65">
        <v>57.5</v>
      </c>
      <c r="AA95" s="125">
        <v>36.5</v>
      </c>
      <c r="AB95" s="125">
        <v>36.5</v>
      </c>
      <c r="AC95" s="125">
        <v>7.8</v>
      </c>
      <c r="AD95" s="125">
        <v>-1.8</v>
      </c>
      <c r="AE95" s="125">
        <v>0</v>
      </c>
      <c r="AF95" s="126">
        <v>0</v>
      </c>
      <c r="AG95" s="127">
        <v>120</v>
      </c>
      <c r="AH95" s="56">
        <f t="shared" si="23"/>
        <v>83</v>
      </c>
      <c r="AI95" s="121">
        <f t="shared" si="24"/>
        <v>0.75</v>
      </c>
    </row>
    <row r="96" spans="1:88" x14ac:dyDescent="0.25">
      <c r="A96" s="124" t="s">
        <v>100</v>
      </c>
      <c r="B96" s="65">
        <v>20</v>
      </c>
      <c r="C96" s="65">
        <v>25</v>
      </c>
      <c r="D96" s="65">
        <v>34.6</v>
      </c>
      <c r="E96" s="65">
        <v>25.8</v>
      </c>
      <c r="F96" s="65">
        <v>38.200000000000003</v>
      </c>
      <c r="G96" s="65">
        <v>34.5</v>
      </c>
      <c r="H96" s="65">
        <v>34.5</v>
      </c>
      <c r="I96" s="65">
        <v>37.1</v>
      </c>
      <c r="J96" s="65">
        <v>52.6</v>
      </c>
      <c r="K96" s="65">
        <v>65.599999999999994</v>
      </c>
      <c r="L96" s="65">
        <v>68.2</v>
      </c>
      <c r="M96" s="65">
        <v>55</v>
      </c>
      <c r="N96" s="65">
        <v>54.1</v>
      </c>
      <c r="O96" s="65">
        <v>46.6</v>
      </c>
      <c r="P96" s="65">
        <v>52.2</v>
      </c>
      <c r="Q96" s="65">
        <v>44</v>
      </c>
      <c r="R96" s="65">
        <v>45.6</v>
      </c>
      <c r="S96" s="65">
        <v>50.6</v>
      </c>
      <c r="T96" s="65">
        <v>49.5</v>
      </c>
      <c r="U96" s="65">
        <v>55.7</v>
      </c>
      <c r="V96" s="65">
        <v>66.900000000000006</v>
      </c>
      <c r="W96" s="65">
        <v>70.3</v>
      </c>
      <c r="X96" s="65">
        <v>72.400000000000006</v>
      </c>
      <c r="Y96" s="65">
        <v>75.900000000000006</v>
      </c>
      <c r="Z96" s="65">
        <v>59.3</v>
      </c>
      <c r="AA96" s="125">
        <v>43.7</v>
      </c>
      <c r="AB96" s="125">
        <v>43.7</v>
      </c>
      <c r="AC96" s="125">
        <v>29.6</v>
      </c>
      <c r="AD96" s="125">
        <v>22.8</v>
      </c>
      <c r="AE96" s="125">
        <v>25.6</v>
      </c>
      <c r="AF96" s="126">
        <v>12.8</v>
      </c>
      <c r="AG96" s="127"/>
      <c r="AH96" s="56">
        <f t="shared" si="23"/>
        <v>75.900000000000006</v>
      </c>
      <c r="AI96" s="121">
        <f t="shared" si="24"/>
        <v>0.79166666666666663</v>
      </c>
    </row>
    <row r="97" spans="1:37" ht="15.75" thickBot="1" x14ac:dyDescent="0.3">
      <c r="A97" s="124" t="s">
        <v>101</v>
      </c>
      <c r="B97" s="65">
        <v>10</v>
      </c>
      <c r="C97" s="65">
        <v>15</v>
      </c>
      <c r="D97" s="65">
        <v>4.4000000000000004</v>
      </c>
      <c r="E97" s="65">
        <v>-8</v>
      </c>
      <c r="F97" s="65">
        <v>11.4</v>
      </c>
      <c r="G97" s="65">
        <v>8.6</v>
      </c>
      <c r="H97" s="65">
        <v>8.6</v>
      </c>
      <c r="I97" s="65">
        <v>21.9</v>
      </c>
      <c r="J97" s="65">
        <v>35.9</v>
      </c>
      <c r="K97" s="65">
        <v>52.3</v>
      </c>
      <c r="L97" s="65">
        <v>49.8</v>
      </c>
      <c r="M97" s="65">
        <v>8</v>
      </c>
      <c r="N97" s="65">
        <v>8.5</v>
      </c>
      <c r="O97" s="65">
        <v>10</v>
      </c>
      <c r="P97" s="65">
        <v>-12</v>
      </c>
      <c r="Q97" s="65">
        <v>1.2</v>
      </c>
      <c r="R97" s="65">
        <v>29.7</v>
      </c>
      <c r="S97" s="65">
        <v>27.5</v>
      </c>
      <c r="T97" s="65">
        <v>44.1</v>
      </c>
      <c r="U97" s="65">
        <v>43.1</v>
      </c>
      <c r="V97" s="65">
        <v>55.7</v>
      </c>
      <c r="W97" s="65">
        <v>75</v>
      </c>
      <c r="X97" s="65">
        <v>76.5</v>
      </c>
      <c r="Y97" s="65">
        <v>60</v>
      </c>
      <c r="Z97" s="65">
        <v>59</v>
      </c>
      <c r="AA97" s="125">
        <v>53.3</v>
      </c>
      <c r="AB97" s="125">
        <v>53.3</v>
      </c>
      <c r="AC97" s="125">
        <v>37.1</v>
      </c>
      <c r="AD97" s="125">
        <v>36.200000000000003</v>
      </c>
      <c r="AE97" s="125">
        <v>41.1</v>
      </c>
      <c r="AF97" s="126">
        <v>44.9</v>
      </c>
      <c r="AG97" s="128"/>
      <c r="AH97" s="56">
        <f t="shared" si="23"/>
        <v>76.5</v>
      </c>
      <c r="AI97" s="121">
        <f t="shared" si="24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5">B99</f>
        <v>9.9</v>
      </c>
      <c r="D99" s="134">
        <f t="shared" si="25"/>
        <v>9.9</v>
      </c>
      <c r="E99" s="134">
        <f t="shared" si="25"/>
        <v>9.9</v>
      </c>
      <c r="F99" s="134">
        <f t="shared" si="25"/>
        <v>9.9</v>
      </c>
      <c r="G99" s="134">
        <f t="shared" si="25"/>
        <v>9.9</v>
      </c>
      <c r="H99" s="134">
        <f t="shared" si="25"/>
        <v>9.9</v>
      </c>
      <c r="I99" s="134">
        <f t="shared" si="25"/>
        <v>9.9</v>
      </c>
      <c r="J99" s="134">
        <f t="shared" si="25"/>
        <v>9.9</v>
      </c>
      <c r="K99" s="134">
        <f t="shared" si="25"/>
        <v>9.9</v>
      </c>
      <c r="L99" s="134">
        <f t="shared" si="25"/>
        <v>9.9</v>
      </c>
      <c r="M99" s="134">
        <f t="shared" si="25"/>
        <v>9.9</v>
      </c>
      <c r="N99" s="134">
        <f t="shared" si="25"/>
        <v>9.9</v>
      </c>
      <c r="O99" s="134">
        <f t="shared" si="25"/>
        <v>9.9</v>
      </c>
      <c r="P99" s="134">
        <f t="shared" si="25"/>
        <v>9.9</v>
      </c>
      <c r="Q99" s="134">
        <f t="shared" si="25"/>
        <v>9.9</v>
      </c>
      <c r="R99" s="134">
        <f t="shared" si="25"/>
        <v>9.9</v>
      </c>
      <c r="S99" s="134">
        <f t="shared" ref="S99:AF104" si="26">R99</f>
        <v>9.9</v>
      </c>
      <c r="T99" s="134">
        <f t="shared" si="26"/>
        <v>9.9</v>
      </c>
      <c r="U99" s="134">
        <f t="shared" si="26"/>
        <v>9.9</v>
      </c>
      <c r="V99" s="134">
        <f t="shared" si="26"/>
        <v>9.9</v>
      </c>
      <c r="W99" s="134">
        <f t="shared" si="26"/>
        <v>9.9</v>
      </c>
      <c r="X99" s="134">
        <f t="shared" si="26"/>
        <v>9.9</v>
      </c>
      <c r="Y99" s="134">
        <f t="shared" si="26"/>
        <v>9.9</v>
      </c>
      <c r="Z99" s="134">
        <f t="shared" si="26"/>
        <v>9.9</v>
      </c>
      <c r="AA99" s="134">
        <f t="shared" si="26"/>
        <v>9.9</v>
      </c>
      <c r="AB99" s="134">
        <f t="shared" si="26"/>
        <v>9.9</v>
      </c>
      <c r="AC99" s="134">
        <f t="shared" si="26"/>
        <v>9.9</v>
      </c>
      <c r="AD99" s="134">
        <f t="shared" si="26"/>
        <v>9.9</v>
      </c>
      <c r="AE99" s="134">
        <f t="shared" si="26"/>
        <v>9.9</v>
      </c>
      <c r="AF99" s="134">
        <f t="shared" si="26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5"/>
        <v>9.6</v>
      </c>
      <c r="D100" s="137">
        <f t="shared" si="25"/>
        <v>9.6</v>
      </c>
      <c r="E100" s="137">
        <f t="shared" si="25"/>
        <v>9.6</v>
      </c>
      <c r="F100" s="137">
        <f t="shared" si="25"/>
        <v>9.6</v>
      </c>
      <c r="G100" s="137">
        <f t="shared" si="25"/>
        <v>9.6</v>
      </c>
      <c r="H100" s="137">
        <f t="shared" si="25"/>
        <v>9.6</v>
      </c>
      <c r="I100" s="137">
        <f t="shared" si="25"/>
        <v>9.6</v>
      </c>
      <c r="J100" s="137">
        <f t="shared" si="25"/>
        <v>9.6</v>
      </c>
      <c r="K100" s="137">
        <f t="shared" si="25"/>
        <v>9.6</v>
      </c>
      <c r="L100" s="137">
        <f t="shared" si="25"/>
        <v>9.6</v>
      </c>
      <c r="M100" s="137">
        <f t="shared" si="25"/>
        <v>9.6</v>
      </c>
      <c r="N100" s="137">
        <f t="shared" si="25"/>
        <v>9.6</v>
      </c>
      <c r="O100" s="137">
        <f t="shared" si="25"/>
        <v>9.6</v>
      </c>
      <c r="P100" s="137">
        <f t="shared" si="25"/>
        <v>9.6</v>
      </c>
      <c r="Q100" s="137">
        <f t="shared" si="25"/>
        <v>9.6</v>
      </c>
      <c r="R100" s="137">
        <f t="shared" si="25"/>
        <v>9.6</v>
      </c>
      <c r="S100" s="137">
        <f t="shared" si="26"/>
        <v>9.6</v>
      </c>
      <c r="T100" s="137">
        <f t="shared" si="26"/>
        <v>9.6</v>
      </c>
      <c r="U100" s="137">
        <f t="shared" si="26"/>
        <v>9.6</v>
      </c>
      <c r="V100" s="137">
        <f t="shared" si="26"/>
        <v>9.6</v>
      </c>
      <c r="W100" s="137">
        <f t="shared" si="26"/>
        <v>9.6</v>
      </c>
      <c r="X100" s="137">
        <f t="shared" si="26"/>
        <v>9.6</v>
      </c>
      <c r="Y100" s="137">
        <f t="shared" si="26"/>
        <v>9.6</v>
      </c>
      <c r="Z100" s="137">
        <f t="shared" si="26"/>
        <v>9.6</v>
      </c>
      <c r="AA100" s="137">
        <f t="shared" si="26"/>
        <v>9.6</v>
      </c>
      <c r="AB100" s="137">
        <f t="shared" si="26"/>
        <v>9.6</v>
      </c>
      <c r="AC100" s="137">
        <f t="shared" si="26"/>
        <v>9.6</v>
      </c>
      <c r="AD100" s="137">
        <f t="shared" si="26"/>
        <v>9.6</v>
      </c>
      <c r="AE100" s="137">
        <f t="shared" si="26"/>
        <v>9.6</v>
      </c>
      <c r="AF100" s="137">
        <f t="shared" si="26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5"/>
        <v>9.98</v>
      </c>
      <c r="D101" s="137">
        <f t="shared" si="25"/>
        <v>9.98</v>
      </c>
      <c r="E101" s="137">
        <f t="shared" si="25"/>
        <v>9.98</v>
      </c>
      <c r="F101" s="137">
        <f t="shared" si="25"/>
        <v>9.98</v>
      </c>
      <c r="G101" s="137">
        <f t="shared" si="25"/>
        <v>9.98</v>
      </c>
      <c r="H101" s="137">
        <f t="shared" si="25"/>
        <v>9.98</v>
      </c>
      <c r="I101" s="137">
        <f t="shared" si="25"/>
        <v>9.98</v>
      </c>
      <c r="J101" s="137">
        <f t="shared" si="25"/>
        <v>9.98</v>
      </c>
      <c r="K101" s="137">
        <f t="shared" si="25"/>
        <v>9.98</v>
      </c>
      <c r="L101" s="137">
        <f t="shared" si="25"/>
        <v>9.98</v>
      </c>
      <c r="M101" s="137">
        <f t="shared" si="25"/>
        <v>9.98</v>
      </c>
      <c r="N101" s="137">
        <f t="shared" si="25"/>
        <v>9.98</v>
      </c>
      <c r="O101" s="137">
        <f t="shared" si="25"/>
        <v>9.98</v>
      </c>
      <c r="P101" s="137">
        <f t="shared" si="25"/>
        <v>9.98</v>
      </c>
      <c r="Q101" s="137">
        <f t="shared" si="25"/>
        <v>9.98</v>
      </c>
      <c r="R101" s="137">
        <f t="shared" si="25"/>
        <v>9.98</v>
      </c>
      <c r="S101" s="137">
        <f t="shared" si="26"/>
        <v>9.98</v>
      </c>
      <c r="T101" s="137">
        <f t="shared" si="26"/>
        <v>9.98</v>
      </c>
      <c r="U101" s="137">
        <f t="shared" si="26"/>
        <v>9.98</v>
      </c>
      <c r="V101" s="137">
        <f t="shared" si="26"/>
        <v>9.98</v>
      </c>
      <c r="W101" s="137">
        <f t="shared" si="26"/>
        <v>9.98</v>
      </c>
      <c r="X101" s="137">
        <f t="shared" si="26"/>
        <v>9.98</v>
      </c>
      <c r="Y101" s="137">
        <f t="shared" si="26"/>
        <v>9.98</v>
      </c>
      <c r="Z101" s="137">
        <f t="shared" si="26"/>
        <v>9.98</v>
      </c>
      <c r="AA101" s="137">
        <f t="shared" si="26"/>
        <v>9.98</v>
      </c>
      <c r="AB101" s="137">
        <f t="shared" si="26"/>
        <v>9.98</v>
      </c>
      <c r="AC101" s="137">
        <f t="shared" si="26"/>
        <v>9.98</v>
      </c>
      <c r="AD101" s="137">
        <f t="shared" si="26"/>
        <v>9.98</v>
      </c>
      <c r="AE101" s="137">
        <f t="shared" si="26"/>
        <v>9.98</v>
      </c>
      <c r="AF101" s="137">
        <f t="shared" si="26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5"/>
        <v>9.1</v>
      </c>
      <c r="D102" s="137">
        <f t="shared" si="25"/>
        <v>9.1</v>
      </c>
      <c r="E102" s="137">
        <f t="shared" si="25"/>
        <v>9.1</v>
      </c>
      <c r="F102" s="137">
        <f t="shared" si="25"/>
        <v>9.1</v>
      </c>
      <c r="G102" s="137">
        <f t="shared" si="25"/>
        <v>9.1</v>
      </c>
      <c r="H102" s="137">
        <f t="shared" si="25"/>
        <v>9.1</v>
      </c>
      <c r="I102" s="137">
        <f t="shared" si="25"/>
        <v>9.1</v>
      </c>
      <c r="J102" s="137">
        <f t="shared" si="25"/>
        <v>9.1</v>
      </c>
      <c r="K102" s="137">
        <f t="shared" si="25"/>
        <v>9.1</v>
      </c>
      <c r="L102" s="137">
        <f t="shared" si="25"/>
        <v>9.1</v>
      </c>
      <c r="M102" s="137">
        <f t="shared" si="25"/>
        <v>9.1</v>
      </c>
      <c r="N102" s="137">
        <f t="shared" si="25"/>
        <v>9.1</v>
      </c>
      <c r="O102" s="137">
        <f t="shared" si="25"/>
        <v>9.1</v>
      </c>
      <c r="P102" s="137">
        <f t="shared" si="25"/>
        <v>9.1</v>
      </c>
      <c r="Q102" s="137">
        <f t="shared" si="25"/>
        <v>9.1</v>
      </c>
      <c r="R102" s="137">
        <f t="shared" si="25"/>
        <v>9.1</v>
      </c>
      <c r="S102" s="137">
        <f t="shared" si="26"/>
        <v>9.1</v>
      </c>
      <c r="T102" s="137">
        <f t="shared" si="26"/>
        <v>9.1</v>
      </c>
      <c r="U102" s="137">
        <f t="shared" si="26"/>
        <v>9.1</v>
      </c>
      <c r="V102" s="137">
        <f t="shared" si="26"/>
        <v>9.1</v>
      </c>
      <c r="W102" s="137">
        <f t="shared" si="26"/>
        <v>9.1</v>
      </c>
      <c r="X102" s="137">
        <f t="shared" si="26"/>
        <v>9.1</v>
      </c>
      <c r="Y102" s="137">
        <f t="shared" si="26"/>
        <v>9.1</v>
      </c>
      <c r="Z102" s="137">
        <f t="shared" si="26"/>
        <v>9.1</v>
      </c>
      <c r="AA102" s="137">
        <f t="shared" si="26"/>
        <v>9.1</v>
      </c>
      <c r="AB102" s="137">
        <f t="shared" si="26"/>
        <v>9.1</v>
      </c>
      <c r="AC102" s="137">
        <f t="shared" si="26"/>
        <v>9.1</v>
      </c>
      <c r="AD102" s="137">
        <f t="shared" si="26"/>
        <v>9.1</v>
      </c>
      <c r="AE102" s="137">
        <f t="shared" si="26"/>
        <v>9.1</v>
      </c>
      <c r="AF102" s="137">
        <f t="shared" si="26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5"/>
        <v>9.18</v>
      </c>
      <c r="D103" s="137">
        <f t="shared" si="25"/>
        <v>9.18</v>
      </c>
      <c r="E103" s="137">
        <f t="shared" si="25"/>
        <v>9.18</v>
      </c>
      <c r="F103" s="137">
        <f t="shared" si="25"/>
        <v>9.18</v>
      </c>
      <c r="G103" s="137">
        <f t="shared" si="25"/>
        <v>9.18</v>
      </c>
      <c r="H103" s="137">
        <f t="shared" si="25"/>
        <v>9.18</v>
      </c>
      <c r="I103" s="137">
        <f t="shared" si="25"/>
        <v>9.18</v>
      </c>
      <c r="J103" s="137">
        <f t="shared" si="25"/>
        <v>9.18</v>
      </c>
      <c r="K103" s="137">
        <f t="shared" si="25"/>
        <v>9.18</v>
      </c>
      <c r="L103" s="137">
        <f t="shared" si="25"/>
        <v>9.18</v>
      </c>
      <c r="M103" s="137">
        <f t="shared" si="25"/>
        <v>9.18</v>
      </c>
      <c r="N103" s="137">
        <f t="shared" si="25"/>
        <v>9.18</v>
      </c>
      <c r="O103" s="137">
        <f t="shared" si="25"/>
        <v>9.18</v>
      </c>
      <c r="P103" s="137">
        <f t="shared" si="25"/>
        <v>9.18</v>
      </c>
      <c r="Q103" s="137">
        <f t="shared" si="25"/>
        <v>9.18</v>
      </c>
      <c r="R103" s="137">
        <f t="shared" si="25"/>
        <v>9.18</v>
      </c>
      <c r="S103" s="137">
        <f t="shared" si="26"/>
        <v>9.18</v>
      </c>
      <c r="T103" s="137">
        <f t="shared" si="26"/>
        <v>9.18</v>
      </c>
      <c r="U103" s="137">
        <f t="shared" si="26"/>
        <v>9.18</v>
      </c>
      <c r="V103" s="137">
        <f t="shared" si="26"/>
        <v>9.18</v>
      </c>
      <c r="W103" s="137">
        <f t="shared" si="26"/>
        <v>9.18</v>
      </c>
      <c r="X103" s="137">
        <f t="shared" si="26"/>
        <v>9.18</v>
      </c>
      <c r="Y103" s="137">
        <f t="shared" si="26"/>
        <v>9.18</v>
      </c>
      <c r="Z103" s="137">
        <f t="shared" si="26"/>
        <v>9.18</v>
      </c>
      <c r="AA103" s="137">
        <f t="shared" si="26"/>
        <v>9.18</v>
      </c>
      <c r="AB103" s="137">
        <f t="shared" si="26"/>
        <v>9.18</v>
      </c>
      <c r="AC103" s="137">
        <f t="shared" si="26"/>
        <v>9.18</v>
      </c>
      <c r="AD103" s="137">
        <f t="shared" si="26"/>
        <v>9.18</v>
      </c>
      <c r="AE103" s="137">
        <f t="shared" si="26"/>
        <v>9.18</v>
      </c>
      <c r="AF103" s="137">
        <f t="shared" si="26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5"/>
        <v>7</v>
      </c>
      <c r="D104" s="137">
        <f t="shared" si="25"/>
        <v>7</v>
      </c>
      <c r="E104" s="137">
        <f t="shared" si="25"/>
        <v>7</v>
      </c>
      <c r="F104" s="137">
        <f t="shared" si="25"/>
        <v>7</v>
      </c>
      <c r="G104" s="137">
        <f t="shared" si="25"/>
        <v>7</v>
      </c>
      <c r="H104" s="137">
        <f t="shared" si="25"/>
        <v>7</v>
      </c>
      <c r="I104" s="137">
        <f t="shared" si="25"/>
        <v>7</v>
      </c>
      <c r="J104" s="137">
        <f t="shared" si="25"/>
        <v>7</v>
      </c>
      <c r="K104" s="137">
        <f t="shared" si="25"/>
        <v>7</v>
      </c>
      <c r="L104" s="137">
        <f t="shared" si="25"/>
        <v>7</v>
      </c>
      <c r="M104" s="137">
        <f t="shared" si="25"/>
        <v>7</v>
      </c>
      <c r="N104" s="137">
        <f t="shared" si="25"/>
        <v>7</v>
      </c>
      <c r="O104" s="137">
        <f t="shared" si="25"/>
        <v>7</v>
      </c>
      <c r="P104" s="137">
        <f t="shared" si="25"/>
        <v>7</v>
      </c>
      <c r="Q104" s="137">
        <f t="shared" si="25"/>
        <v>7</v>
      </c>
      <c r="R104" s="137">
        <f t="shared" si="25"/>
        <v>7</v>
      </c>
      <c r="S104" s="137">
        <f t="shared" si="26"/>
        <v>7</v>
      </c>
      <c r="T104" s="137">
        <f t="shared" si="26"/>
        <v>7</v>
      </c>
      <c r="U104" s="137">
        <f t="shared" si="26"/>
        <v>7</v>
      </c>
      <c r="V104" s="137">
        <f t="shared" si="26"/>
        <v>7</v>
      </c>
      <c r="W104" s="137">
        <f t="shared" si="26"/>
        <v>7</v>
      </c>
      <c r="X104" s="137">
        <f t="shared" si="26"/>
        <v>7</v>
      </c>
      <c r="Y104" s="137">
        <f t="shared" si="26"/>
        <v>7</v>
      </c>
      <c r="Z104" s="137">
        <f t="shared" si="26"/>
        <v>7</v>
      </c>
      <c r="AA104" s="137">
        <f t="shared" si="26"/>
        <v>7</v>
      </c>
      <c r="AB104" s="137">
        <f t="shared" si="26"/>
        <v>7</v>
      </c>
      <c r="AC104" s="137">
        <f t="shared" si="26"/>
        <v>7</v>
      </c>
      <c r="AD104" s="137">
        <f t="shared" si="26"/>
        <v>7</v>
      </c>
      <c r="AE104" s="137">
        <f t="shared" si="26"/>
        <v>7</v>
      </c>
      <c r="AF104" s="137">
        <f t="shared" si="26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7">B106</f>
        <v>2.25</v>
      </c>
      <c r="D106" s="137">
        <f t="shared" si="27"/>
        <v>2.25</v>
      </c>
      <c r="E106" s="137">
        <f t="shared" si="27"/>
        <v>2.25</v>
      </c>
      <c r="F106" s="137">
        <f t="shared" si="27"/>
        <v>2.25</v>
      </c>
      <c r="G106" s="137">
        <f t="shared" si="27"/>
        <v>2.25</v>
      </c>
      <c r="H106" s="137">
        <f t="shared" si="27"/>
        <v>2.25</v>
      </c>
      <c r="I106" s="137">
        <f t="shared" si="27"/>
        <v>2.25</v>
      </c>
      <c r="J106" s="137">
        <f t="shared" si="27"/>
        <v>2.25</v>
      </c>
      <c r="K106" s="137">
        <f t="shared" si="27"/>
        <v>2.25</v>
      </c>
      <c r="L106" s="137">
        <f t="shared" si="27"/>
        <v>2.25</v>
      </c>
      <c r="M106" s="137">
        <f t="shared" si="27"/>
        <v>2.25</v>
      </c>
      <c r="N106" s="137">
        <f t="shared" si="27"/>
        <v>2.25</v>
      </c>
      <c r="O106" s="137">
        <f t="shared" si="27"/>
        <v>2.25</v>
      </c>
      <c r="P106" s="137">
        <f t="shared" si="27"/>
        <v>2.25</v>
      </c>
      <c r="Q106" s="137">
        <f t="shared" si="27"/>
        <v>2.25</v>
      </c>
      <c r="R106" s="137">
        <f t="shared" si="27"/>
        <v>2.25</v>
      </c>
      <c r="S106" s="137">
        <f t="shared" ref="S106:AF107" si="28">R106</f>
        <v>2.25</v>
      </c>
      <c r="T106" s="137">
        <f t="shared" si="28"/>
        <v>2.25</v>
      </c>
      <c r="U106" s="137">
        <f t="shared" si="28"/>
        <v>2.25</v>
      </c>
      <c r="V106" s="137">
        <f t="shared" si="28"/>
        <v>2.25</v>
      </c>
      <c r="W106" s="137">
        <f t="shared" si="28"/>
        <v>2.25</v>
      </c>
      <c r="X106" s="137">
        <f t="shared" si="28"/>
        <v>2.25</v>
      </c>
      <c r="Y106" s="137">
        <f t="shared" si="28"/>
        <v>2.25</v>
      </c>
      <c r="Z106" s="137">
        <f t="shared" si="28"/>
        <v>2.25</v>
      </c>
      <c r="AA106" s="137">
        <f t="shared" si="28"/>
        <v>2.25</v>
      </c>
      <c r="AB106" s="137">
        <f t="shared" si="28"/>
        <v>2.25</v>
      </c>
      <c r="AC106" s="137">
        <f t="shared" si="28"/>
        <v>2.25</v>
      </c>
      <c r="AD106" s="137">
        <f t="shared" si="28"/>
        <v>2.25</v>
      </c>
      <c r="AE106" s="137">
        <f t="shared" si="28"/>
        <v>2.25</v>
      </c>
      <c r="AF106" s="137">
        <f t="shared" si="28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7"/>
        <v>1.64</v>
      </c>
      <c r="D107" s="137">
        <f t="shared" si="27"/>
        <v>1.64</v>
      </c>
      <c r="E107" s="137">
        <f t="shared" si="27"/>
        <v>1.64</v>
      </c>
      <c r="F107" s="137">
        <f t="shared" si="27"/>
        <v>1.64</v>
      </c>
      <c r="G107" s="137">
        <f t="shared" si="27"/>
        <v>1.64</v>
      </c>
      <c r="H107" s="137">
        <f t="shared" si="27"/>
        <v>1.64</v>
      </c>
      <c r="I107" s="137">
        <f t="shared" si="27"/>
        <v>1.64</v>
      </c>
      <c r="J107" s="137">
        <f t="shared" si="27"/>
        <v>1.64</v>
      </c>
      <c r="K107" s="137">
        <f t="shared" si="27"/>
        <v>1.64</v>
      </c>
      <c r="L107" s="137">
        <f t="shared" si="27"/>
        <v>1.64</v>
      </c>
      <c r="M107" s="137">
        <f t="shared" si="27"/>
        <v>1.64</v>
      </c>
      <c r="N107" s="137">
        <f t="shared" si="27"/>
        <v>1.64</v>
      </c>
      <c r="O107" s="137">
        <f t="shared" si="27"/>
        <v>1.64</v>
      </c>
      <c r="P107" s="137">
        <f t="shared" si="27"/>
        <v>1.64</v>
      </c>
      <c r="Q107" s="137">
        <f t="shared" si="27"/>
        <v>1.64</v>
      </c>
      <c r="R107" s="137">
        <f t="shared" si="27"/>
        <v>1.64</v>
      </c>
      <c r="S107" s="137">
        <f t="shared" si="28"/>
        <v>1.64</v>
      </c>
      <c r="T107" s="137">
        <f t="shared" si="28"/>
        <v>1.64</v>
      </c>
      <c r="U107" s="137">
        <f t="shared" si="28"/>
        <v>1.64</v>
      </c>
      <c r="V107" s="137">
        <f t="shared" si="28"/>
        <v>1.64</v>
      </c>
      <c r="W107" s="137">
        <f t="shared" si="28"/>
        <v>1.64</v>
      </c>
      <c r="X107" s="137">
        <f t="shared" si="28"/>
        <v>1.64</v>
      </c>
      <c r="Y107" s="137">
        <f t="shared" si="28"/>
        <v>1.64</v>
      </c>
      <c r="Z107" s="137">
        <f t="shared" si="28"/>
        <v>1.64</v>
      </c>
      <c r="AA107" s="137">
        <f t="shared" si="28"/>
        <v>1.64</v>
      </c>
      <c r="AB107" s="137">
        <f t="shared" si="28"/>
        <v>1.64</v>
      </c>
      <c r="AC107" s="137">
        <f t="shared" si="28"/>
        <v>1.64</v>
      </c>
      <c r="AD107" s="137">
        <f t="shared" si="28"/>
        <v>1.64</v>
      </c>
      <c r="AE107" s="137">
        <f t="shared" si="28"/>
        <v>1.64</v>
      </c>
      <c r="AF107" s="137">
        <f t="shared" si="28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9">B109</f>
        <v>1.62</v>
      </c>
      <c r="D109" s="137">
        <f t="shared" si="29"/>
        <v>1.62</v>
      </c>
      <c r="E109" s="137">
        <f t="shared" si="29"/>
        <v>1.62</v>
      </c>
      <c r="F109" s="137">
        <f t="shared" si="29"/>
        <v>1.62</v>
      </c>
      <c r="G109" s="137">
        <f t="shared" si="29"/>
        <v>1.62</v>
      </c>
      <c r="H109" s="137">
        <f t="shared" si="29"/>
        <v>1.62</v>
      </c>
      <c r="I109" s="137">
        <f t="shared" si="29"/>
        <v>1.62</v>
      </c>
      <c r="J109" s="137">
        <f t="shared" si="29"/>
        <v>1.62</v>
      </c>
      <c r="K109" s="137">
        <f t="shared" si="29"/>
        <v>1.62</v>
      </c>
      <c r="L109" s="137">
        <f t="shared" si="29"/>
        <v>1.62</v>
      </c>
      <c r="M109" s="137">
        <f t="shared" si="29"/>
        <v>1.62</v>
      </c>
      <c r="N109" s="137">
        <f t="shared" si="29"/>
        <v>1.62</v>
      </c>
      <c r="O109" s="137">
        <f t="shared" si="29"/>
        <v>1.62</v>
      </c>
      <c r="P109" s="137">
        <f t="shared" si="29"/>
        <v>1.62</v>
      </c>
      <c r="Q109" s="137">
        <f t="shared" si="29"/>
        <v>1.62</v>
      </c>
      <c r="R109" s="137">
        <f t="shared" si="29"/>
        <v>1.62</v>
      </c>
      <c r="S109" s="137">
        <f t="shared" ref="S109:AF124" si="30">R109</f>
        <v>1.62</v>
      </c>
      <c r="T109" s="137">
        <f t="shared" si="30"/>
        <v>1.62</v>
      </c>
      <c r="U109" s="137">
        <f t="shared" si="30"/>
        <v>1.62</v>
      </c>
      <c r="V109" s="137">
        <f t="shared" si="30"/>
        <v>1.62</v>
      </c>
      <c r="W109" s="137">
        <f t="shared" si="30"/>
        <v>1.62</v>
      </c>
      <c r="X109" s="137">
        <f t="shared" si="30"/>
        <v>1.62</v>
      </c>
      <c r="Y109" s="137">
        <f t="shared" si="30"/>
        <v>1.62</v>
      </c>
      <c r="Z109" s="137">
        <f t="shared" si="30"/>
        <v>1.62</v>
      </c>
      <c r="AA109" s="137">
        <f t="shared" si="30"/>
        <v>1.62</v>
      </c>
      <c r="AB109" s="137">
        <f t="shared" si="30"/>
        <v>1.62</v>
      </c>
      <c r="AC109" s="137">
        <f t="shared" si="30"/>
        <v>1.62</v>
      </c>
      <c r="AD109" s="137">
        <f t="shared" si="30"/>
        <v>1.62</v>
      </c>
      <c r="AE109" s="137">
        <f t="shared" si="30"/>
        <v>1.62</v>
      </c>
      <c r="AF109" s="137">
        <f t="shared" si="30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9"/>
        <v>8.36</v>
      </c>
      <c r="D110" s="137">
        <f t="shared" si="29"/>
        <v>8.36</v>
      </c>
      <c r="E110" s="137">
        <f t="shared" si="29"/>
        <v>8.36</v>
      </c>
      <c r="F110" s="137">
        <f t="shared" si="29"/>
        <v>8.36</v>
      </c>
      <c r="G110" s="137">
        <f t="shared" si="29"/>
        <v>8.36</v>
      </c>
      <c r="H110" s="137">
        <f t="shared" si="29"/>
        <v>8.36</v>
      </c>
      <c r="I110" s="137">
        <f t="shared" si="29"/>
        <v>8.36</v>
      </c>
      <c r="J110" s="137">
        <f t="shared" si="29"/>
        <v>8.36</v>
      </c>
      <c r="K110" s="137">
        <f t="shared" si="29"/>
        <v>8.36</v>
      </c>
      <c r="L110" s="137">
        <f t="shared" si="29"/>
        <v>8.36</v>
      </c>
      <c r="M110" s="137">
        <f t="shared" si="29"/>
        <v>8.36</v>
      </c>
      <c r="N110" s="137">
        <f t="shared" si="29"/>
        <v>8.36</v>
      </c>
      <c r="O110" s="137">
        <f t="shared" si="29"/>
        <v>8.36</v>
      </c>
      <c r="P110" s="137">
        <f t="shared" si="29"/>
        <v>8.36</v>
      </c>
      <c r="Q110" s="137">
        <f t="shared" si="29"/>
        <v>8.36</v>
      </c>
      <c r="R110" s="137">
        <f t="shared" si="29"/>
        <v>8.36</v>
      </c>
      <c r="S110" s="137">
        <f t="shared" si="30"/>
        <v>8.36</v>
      </c>
      <c r="T110" s="137">
        <f t="shared" si="30"/>
        <v>8.36</v>
      </c>
      <c r="U110" s="137">
        <f t="shared" si="30"/>
        <v>8.36</v>
      </c>
      <c r="V110" s="137">
        <f t="shared" si="30"/>
        <v>8.36</v>
      </c>
      <c r="W110" s="137">
        <f t="shared" si="30"/>
        <v>8.36</v>
      </c>
      <c r="X110" s="137">
        <f t="shared" si="30"/>
        <v>8.36</v>
      </c>
      <c r="Y110" s="137">
        <f t="shared" si="30"/>
        <v>8.36</v>
      </c>
      <c r="Z110" s="137">
        <f t="shared" si="30"/>
        <v>8.36</v>
      </c>
      <c r="AA110" s="137">
        <f t="shared" si="30"/>
        <v>8.36</v>
      </c>
      <c r="AB110" s="137">
        <f t="shared" si="30"/>
        <v>8.36</v>
      </c>
      <c r="AC110" s="137">
        <f t="shared" si="30"/>
        <v>8.36</v>
      </c>
      <c r="AD110" s="137">
        <f t="shared" si="30"/>
        <v>8.36</v>
      </c>
      <c r="AE110" s="137">
        <f t="shared" si="30"/>
        <v>8.36</v>
      </c>
      <c r="AF110" s="137">
        <f t="shared" si="30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9"/>
        <v>8</v>
      </c>
      <c r="D111" s="137">
        <f t="shared" si="29"/>
        <v>8</v>
      </c>
      <c r="E111" s="137">
        <f t="shared" si="29"/>
        <v>8</v>
      </c>
      <c r="F111" s="137">
        <f t="shared" si="29"/>
        <v>8</v>
      </c>
      <c r="G111" s="137">
        <f t="shared" si="29"/>
        <v>8</v>
      </c>
      <c r="H111" s="137">
        <f t="shared" si="29"/>
        <v>8</v>
      </c>
      <c r="I111" s="137">
        <v>5.4</v>
      </c>
      <c r="J111" s="137">
        <f t="shared" si="29"/>
        <v>5.4</v>
      </c>
      <c r="K111" s="137">
        <f t="shared" si="29"/>
        <v>5.4</v>
      </c>
      <c r="L111" s="137">
        <f t="shared" si="29"/>
        <v>5.4</v>
      </c>
      <c r="M111" s="137">
        <f t="shared" si="29"/>
        <v>5.4</v>
      </c>
      <c r="N111" s="137">
        <f t="shared" si="29"/>
        <v>5.4</v>
      </c>
      <c r="O111" s="137">
        <f t="shared" si="29"/>
        <v>5.4</v>
      </c>
      <c r="P111" s="137">
        <f t="shared" si="29"/>
        <v>5.4</v>
      </c>
      <c r="Q111" s="137">
        <f t="shared" si="29"/>
        <v>5.4</v>
      </c>
      <c r="R111" s="137">
        <f t="shared" si="29"/>
        <v>5.4</v>
      </c>
      <c r="S111" s="137">
        <f t="shared" si="30"/>
        <v>5.4</v>
      </c>
      <c r="T111" s="137">
        <f t="shared" si="30"/>
        <v>5.4</v>
      </c>
      <c r="U111" s="137">
        <f t="shared" si="30"/>
        <v>5.4</v>
      </c>
      <c r="V111" s="137">
        <f t="shared" si="30"/>
        <v>5.4</v>
      </c>
      <c r="W111" s="137">
        <f t="shared" si="30"/>
        <v>5.4</v>
      </c>
      <c r="X111" s="137">
        <f t="shared" si="30"/>
        <v>5.4</v>
      </c>
      <c r="Y111" s="137">
        <f t="shared" si="30"/>
        <v>5.4</v>
      </c>
      <c r="Z111" s="137">
        <f t="shared" si="30"/>
        <v>5.4</v>
      </c>
      <c r="AA111" s="137">
        <f t="shared" si="30"/>
        <v>5.4</v>
      </c>
      <c r="AB111" s="137">
        <f t="shared" si="30"/>
        <v>5.4</v>
      </c>
      <c r="AC111" s="137">
        <f t="shared" si="30"/>
        <v>5.4</v>
      </c>
      <c r="AD111" s="137">
        <f t="shared" si="30"/>
        <v>5.4</v>
      </c>
      <c r="AE111" s="137">
        <f t="shared" si="30"/>
        <v>5.4</v>
      </c>
      <c r="AF111" s="137">
        <f t="shared" si="30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9"/>
        <v>6.57</v>
      </c>
      <c r="D112" s="137">
        <f t="shared" si="29"/>
        <v>6.57</v>
      </c>
      <c r="E112" s="137">
        <f t="shared" si="29"/>
        <v>6.57</v>
      </c>
      <c r="F112" s="137">
        <f t="shared" si="29"/>
        <v>6.57</v>
      </c>
      <c r="G112" s="137">
        <f t="shared" si="29"/>
        <v>6.57</v>
      </c>
      <c r="H112" s="137">
        <f t="shared" si="29"/>
        <v>6.57</v>
      </c>
      <c r="I112" s="137">
        <f t="shared" si="29"/>
        <v>6.57</v>
      </c>
      <c r="J112" s="137">
        <f t="shared" si="29"/>
        <v>6.57</v>
      </c>
      <c r="K112" s="137">
        <f t="shared" si="29"/>
        <v>6.57</v>
      </c>
      <c r="L112" s="137">
        <f t="shared" si="29"/>
        <v>6.57</v>
      </c>
      <c r="M112" s="137">
        <f t="shared" si="29"/>
        <v>6.57</v>
      </c>
      <c r="N112" s="137">
        <f t="shared" si="29"/>
        <v>6.57</v>
      </c>
      <c r="O112" s="137">
        <f t="shared" si="29"/>
        <v>6.57</v>
      </c>
      <c r="P112" s="137">
        <f t="shared" si="29"/>
        <v>6.57</v>
      </c>
      <c r="Q112" s="137">
        <f t="shared" si="29"/>
        <v>6.57</v>
      </c>
      <c r="R112" s="137">
        <f t="shared" si="29"/>
        <v>6.57</v>
      </c>
      <c r="S112" s="137">
        <f t="shared" si="30"/>
        <v>6.57</v>
      </c>
      <c r="T112" s="137">
        <f t="shared" si="30"/>
        <v>6.57</v>
      </c>
      <c r="U112" s="137">
        <f t="shared" si="30"/>
        <v>6.57</v>
      </c>
      <c r="V112" s="137">
        <f t="shared" si="30"/>
        <v>6.57</v>
      </c>
      <c r="W112" s="137">
        <f t="shared" si="30"/>
        <v>6.57</v>
      </c>
      <c r="X112" s="137">
        <f t="shared" si="30"/>
        <v>6.57</v>
      </c>
      <c r="Y112" s="137">
        <f t="shared" si="30"/>
        <v>6.57</v>
      </c>
      <c r="Z112" s="137">
        <f t="shared" si="30"/>
        <v>6.57</v>
      </c>
      <c r="AA112" s="137">
        <f t="shared" si="30"/>
        <v>6.57</v>
      </c>
      <c r="AB112" s="137">
        <f t="shared" si="30"/>
        <v>6.57</v>
      </c>
      <c r="AC112" s="137">
        <f t="shared" si="30"/>
        <v>6.57</v>
      </c>
      <c r="AD112" s="137">
        <f t="shared" si="30"/>
        <v>6.57</v>
      </c>
      <c r="AE112" s="137">
        <f t="shared" si="30"/>
        <v>6.57</v>
      </c>
      <c r="AF112" s="137">
        <f t="shared" si="30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9"/>
        <v>3.43</v>
      </c>
      <c r="D113" s="137">
        <f t="shared" si="29"/>
        <v>3.43</v>
      </c>
      <c r="E113" s="137">
        <f t="shared" si="29"/>
        <v>3.43</v>
      </c>
      <c r="F113" s="137">
        <f t="shared" si="29"/>
        <v>3.43</v>
      </c>
      <c r="G113" s="137">
        <f t="shared" si="29"/>
        <v>3.43</v>
      </c>
      <c r="H113" s="137">
        <f t="shared" si="29"/>
        <v>3.43</v>
      </c>
      <c r="I113" s="137">
        <f t="shared" si="29"/>
        <v>3.43</v>
      </c>
      <c r="J113" s="137">
        <f t="shared" si="29"/>
        <v>3.43</v>
      </c>
      <c r="K113" s="137">
        <f t="shared" si="29"/>
        <v>3.43</v>
      </c>
      <c r="L113" s="137">
        <f t="shared" si="29"/>
        <v>3.43</v>
      </c>
      <c r="M113" s="137">
        <f t="shared" si="29"/>
        <v>3.43</v>
      </c>
      <c r="N113" s="137">
        <f t="shared" si="29"/>
        <v>3.43</v>
      </c>
      <c r="O113" s="137">
        <f t="shared" si="29"/>
        <v>3.43</v>
      </c>
      <c r="P113" s="137">
        <f t="shared" si="29"/>
        <v>3.43</v>
      </c>
      <c r="Q113" s="137">
        <f t="shared" si="29"/>
        <v>3.43</v>
      </c>
      <c r="R113" s="137">
        <f t="shared" si="29"/>
        <v>3.43</v>
      </c>
      <c r="S113" s="137">
        <f t="shared" si="30"/>
        <v>3.43</v>
      </c>
      <c r="T113" s="137">
        <f t="shared" si="30"/>
        <v>3.43</v>
      </c>
      <c r="U113" s="137">
        <f t="shared" si="30"/>
        <v>3.43</v>
      </c>
      <c r="V113" s="137">
        <f t="shared" si="30"/>
        <v>3.43</v>
      </c>
      <c r="W113" s="137">
        <f t="shared" si="30"/>
        <v>3.43</v>
      </c>
      <c r="X113" s="137">
        <f t="shared" si="30"/>
        <v>3.43</v>
      </c>
      <c r="Y113" s="137">
        <f t="shared" si="30"/>
        <v>3.43</v>
      </c>
      <c r="Z113" s="137">
        <f t="shared" si="30"/>
        <v>3.43</v>
      </c>
      <c r="AA113" s="137">
        <f t="shared" si="30"/>
        <v>3.43</v>
      </c>
      <c r="AB113" s="137">
        <f t="shared" si="30"/>
        <v>3.43</v>
      </c>
      <c r="AC113" s="137">
        <f t="shared" si="30"/>
        <v>3.43</v>
      </c>
      <c r="AD113" s="137">
        <f t="shared" si="30"/>
        <v>3.43</v>
      </c>
      <c r="AE113" s="137">
        <f t="shared" si="30"/>
        <v>3.43</v>
      </c>
      <c r="AF113" s="137">
        <f t="shared" si="30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9"/>
        <v>2.96</v>
      </c>
      <c r="D114" s="137">
        <f t="shared" si="29"/>
        <v>2.96</v>
      </c>
      <c r="E114" s="137">
        <f t="shared" si="29"/>
        <v>2.96</v>
      </c>
      <c r="F114" s="137">
        <f t="shared" si="29"/>
        <v>2.96</v>
      </c>
      <c r="G114" s="137">
        <f t="shared" si="29"/>
        <v>2.96</v>
      </c>
      <c r="H114" s="137">
        <f t="shared" si="29"/>
        <v>2.96</v>
      </c>
      <c r="I114" s="137">
        <f t="shared" si="29"/>
        <v>2.96</v>
      </c>
      <c r="J114" s="137">
        <f t="shared" si="29"/>
        <v>2.96</v>
      </c>
      <c r="K114" s="137">
        <f t="shared" si="29"/>
        <v>2.96</v>
      </c>
      <c r="L114" s="137">
        <f t="shared" si="29"/>
        <v>2.96</v>
      </c>
      <c r="M114" s="137">
        <f t="shared" si="29"/>
        <v>2.96</v>
      </c>
      <c r="N114" s="137">
        <f t="shared" si="29"/>
        <v>2.96</v>
      </c>
      <c r="O114" s="137">
        <f t="shared" si="29"/>
        <v>2.96</v>
      </c>
      <c r="P114" s="137">
        <f t="shared" si="29"/>
        <v>2.96</v>
      </c>
      <c r="Q114" s="137">
        <f t="shared" si="29"/>
        <v>2.96</v>
      </c>
      <c r="R114" s="137">
        <f t="shared" si="29"/>
        <v>2.96</v>
      </c>
      <c r="S114" s="137">
        <f t="shared" si="30"/>
        <v>2.96</v>
      </c>
      <c r="T114" s="137">
        <f t="shared" si="30"/>
        <v>2.96</v>
      </c>
      <c r="U114" s="137">
        <f t="shared" si="30"/>
        <v>2.96</v>
      </c>
      <c r="V114" s="137">
        <f t="shared" si="30"/>
        <v>2.96</v>
      </c>
      <c r="W114" s="137">
        <f t="shared" si="30"/>
        <v>2.96</v>
      </c>
      <c r="X114" s="137">
        <f t="shared" si="30"/>
        <v>2.96</v>
      </c>
      <c r="Y114" s="137">
        <f t="shared" si="30"/>
        <v>2.96</v>
      </c>
      <c r="Z114" s="137">
        <f t="shared" si="30"/>
        <v>2.96</v>
      </c>
      <c r="AA114" s="137">
        <f t="shared" si="30"/>
        <v>2.96</v>
      </c>
      <c r="AB114" s="137">
        <f t="shared" si="30"/>
        <v>2.96</v>
      </c>
      <c r="AC114" s="137">
        <f t="shared" si="30"/>
        <v>2.96</v>
      </c>
      <c r="AD114" s="137">
        <f t="shared" si="30"/>
        <v>2.96</v>
      </c>
      <c r="AE114" s="137">
        <f t="shared" si="30"/>
        <v>2.96</v>
      </c>
      <c r="AF114" s="137">
        <f t="shared" si="30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9"/>
        <v>8</v>
      </c>
      <c r="D115" s="137">
        <f t="shared" si="29"/>
        <v>8</v>
      </c>
      <c r="E115" s="137">
        <f t="shared" si="29"/>
        <v>8</v>
      </c>
      <c r="F115" s="137">
        <f t="shared" si="29"/>
        <v>8</v>
      </c>
      <c r="G115" s="137">
        <f t="shared" si="29"/>
        <v>8</v>
      </c>
      <c r="H115" s="137">
        <f t="shared" si="29"/>
        <v>8</v>
      </c>
      <c r="I115" s="137">
        <f t="shared" si="29"/>
        <v>8</v>
      </c>
      <c r="J115" s="137">
        <f t="shared" si="29"/>
        <v>8</v>
      </c>
      <c r="K115" s="137">
        <f t="shared" si="29"/>
        <v>8</v>
      </c>
      <c r="L115" s="137">
        <f t="shared" si="29"/>
        <v>8</v>
      </c>
      <c r="M115" s="137">
        <f t="shared" si="29"/>
        <v>8</v>
      </c>
      <c r="N115" s="137">
        <f t="shared" si="29"/>
        <v>8</v>
      </c>
      <c r="O115" s="137">
        <f t="shared" si="29"/>
        <v>8</v>
      </c>
      <c r="P115" s="137">
        <f t="shared" si="29"/>
        <v>8</v>
      </c>
      <c r="Q115" s="137">
        <f t="shared" si="29"/>
        <v>8</v>
      </c>
      <c r="R115" s="137">
        <f t="shared" si="29"/>
        <v>8</v>
      </c>
      <c r="S115" s="137">
        <f t="shared" si="30"/>
        <v>8</v>
      </c>
      <c r="T115" s="137">
        <f t="shared" si="30"/>
        <v>8</v>
      </c>
      <c r="U115" s="137">
        <f t="shared" si="30"/>
        <v>8</v>
      </c>
      <c r="V115" s="137">
        <f t="shared" si="30"/>
        <v>8</v>
      </c>
      <c r="W115" s="137">
        <f t="shared" si="30"/>
        <v>8</v>
      </c>
      <c r="X115" s="137">
        <f t="shared" si="30"/>
        <v>8</v>
      </c>
      <c r="Y115" s="137">
        <f t="shared" si="30"/>
        <v>8</v>
      </c>
      <c r="Z115" s="137">
        <f t="shared" si="30"/>
        <v>8</v>
      </c>
      <c r="AA115" s="137">
        <f t="shared" si="30"/>
        <v>8</v>
      </c>
      <c r="AB115" s="137">
        <f t="shared" si="30"/>
        <v>8</v>
      </c>
      <c r="AC115" s="137">
        <f t="shared" si="30"/>
        <v>8</v>
      </c>
      <c r="AD115" s="137">
        <f t="shared" si="30"/>
        <v>8</v>
      </c>
      <c r="AE115" s="137">
        <f t="shared" si="30"/>
        <v>8</v>
      </c>
      <c r="AF115" s="137">
        <f t="shared" si="30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9"/>
        <v>7</v>
      </c>
      <c r="E116" s="137">
        <f t="shared" si="29"/>
        <v>7</v>
      </c>
      <c r="F116" s="137">
        <f t="shared" si="29"/>
        <v>7</v>
      </c>
      <c r="G116" s="137">
        <f t="shared" si="29"/>
        <v>7</v>
      </c>
      <c r="H116" s="137">
        <f t="shared" si="29"/>
        <v>7</v>
      </c>
      <c r="I116" s="137">
        <f t="shared" si="29"/>
        <v>7</v>
      </c>
      <c r="J116" s="137">
        <f t="shared" si="29"/>
        <v>7</v>
      </c>
      <c r="K116" s="137">
        <f t="shared" si="29"/>
        <v>7</v>
      </c>
      <c r="L116" s="137">
        <f t="shared" si="29"/>
        <v>7</v>
      </c>
      <c r="M116" s="137">
        <f t="shared" si="29"/>
        <v>7</v>
      </c>
      <c r="N116" s="137">
        <f t="shared" si="29"/>
        <v>7</v>
      </c>
      <c r="O116" s="137">
        <f t="shared" si="29"/>
        <v>7</v>
      </c>
      <c r="P116" s="137">
        <f t="shared" si="29"/>
        <v>7</v>
      </c>
      <c r="Q116" s="137">
        <f t="shared" si="29"/>
        <v>7</v>
      </c>
      <c r="R116" s="137">
        <f t="shared" si="29"/>
        <v>7</v>
      </c>
      <c r="S116" s="137">
        <f t="shared" si="30"/>
        <v>7</v>
      </c>
      <c r="T116" s="137">
        <f t="shared" si="30"/>
        <v>7</v>
      </c>
      <c r="U116" s="137">
        <f t="shared" si="30"/>
        <v>7</v>
      </c>
      <c r="V116" s="137">
        <f t="shared" si="30"/>
        <v>7</v>
      </c>
      <c r="W116" s="137">
        <f t="shared" si="30"/>
        <v>7</v>
      </c>
      <c r="X116" s="137">
        <f t="shared" si="30"/>
        <v>7</v>
      </c>
      <c r="Y116" s="137">
        <f t="shared" si="30"/>
        <v>7</v>
      </c>
      <c r="Z116" s="137">
        <f t="shared" si="30"/>
        <v>7</v>
      </c>
      <c r="AA116" s="137">
        <f t="shared" si="30"/>
        <v>7</v>
      </c>
      <c r="AB116" s="137">
        <f t="shared" si="30"/>
        <v>7</v>
      </c>
      <c r="AC116" s="137">
        <f t="shared" si="30"/>
        <v>7</v>
      </c>
      <c r="AD116" s="137">
        <f t="shared" si="30"/>
        <v>7</v>
      </c>
      <c r="AE116" s="137">
        <f t="shared" si="30"/>
        <v>7</v>
      </c>
      <c r="AF116" s="137">
        <f t="shared" si="30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1">B117</f>
        <v>3.47</v>
      </c>
      <c r="D117" s="137">
        <f t="shared" si="31"/>
        <v>3.47</v>
      </c>
      <c r="E117" s="137">
        <f t="shared" si="31"/>
        <v>3.47</v>
      </c>
      <c r="F117" s="137">
        <f t="shared" si="31"/>
        <v>3.47</v>
      </c>
      <c r="G117" s="137">
        <f t="shared" si="31"/>
        <v>3.47</v>
      </c>
      <c r="H117" s="137">
        <f t="shared" si="31"/>
        <v>3.47</v>
      </c>
      <c r="I117" s="137">
        <f t="shared" si="31"/>
        <v>3.47</v>
      </c>
      <c r="J117" s="137">
        <f t="shared" si="31"/>
        <v>3.47</v>
      </c>
      <c r="K117" s="137">
        <f t="shared" si="31"/>
        <v>3.47</v>
      </c>
      <c r="L117" s="137">
        <f t="shared" si="31"/>
        <v>3.47</v>
      </c>
      <c r="M117" s="137">
        <f t="shared" si="31"/>
        <v>3.47</v>
      </c>
      <c r="N117" s="137">
        <f t="shared" si="31"/>
        <v>3.47</v>
      </c>
      <c r="O117" s="137">
        <f t="shared" si="31"/>
        <v>3.47</v>
      </c>
      <c r="P117" s="137">
        <f t="shared" si="31"/>
        <v>3.47</v>
      </c>
      <c r="Q117" s="137">
        <f t="shared" si="31"/>
        <v>3.47</v>
      </c>
      <c r="R117" s="137">
        <f t="shared" si="31"/>
        <v>3.47</v>
      </c>
      <c r="S117" s="137">
        <f t="shared" si="30"/>
        <v>3.47</v>
      </c>
      <c r="T117" s="137">
        <f t="shared" si="30"/>
        <v>3.47</v>
      </c>
      <c r="U117" s="137">
        <f t="shared" si="30"/>
        <v>3.47</v>
      </c>
      <c r="V117" s="137">
        <f t="shared" si="30"/>
        <v>3.47</v>
      </c>
      <c r="W117" s="137">
        <f t="shared" si="30"/>
        <v>3.47</v>
      </c>
      <c r="X117" s="137">
        <f t="shared" si="30"/>
        <v>3.47</v>
      </c>
      <c r="Y117" s="137">
        <f t="shared" si="30"/>
        <v>3.47</v>
      </c>
      <c r="Z117" s="137">
        <f t="shared" si="30"/>
        <v>3.47</v>
      </c>
      <c r="AA117" s="137">
        <f t="shared" si="30"/>
        <v>3.47</v>
      </c>
      <c r="AB117" s="137">
        <f t="shared" si="30"/>
        <v>3.47</v>
      </c>
      <c r="AC117" s="137">
        <f t="shared" si="30"/>
        <v>3.47</v>
      </c>
      <c r="AD117" s="137">
        <f t="shared" si="30"/>
        <v>3.47</v>
      </c>
      <c r="AE117" s="137">
        <f t="shared" si="30"/>
        <v>3.47</v>
      </c>
      <c r="AF117" s="137">
        <f t="shared" si="30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1"/>
        <v>2.1</v>
      </c>
      <c r="D118" s="137">
        <f t="shared" si="31"/>
        <v>2.1</v>
      </c>
      <c r="E118" s="137">
        <f t="shared" si="31"/>
        <v>2.1</v>
      </c>
      <c r="F118" s="137">
        <f t="shared" si="31"/>
        <v>2.1</v>
      </c>
      <c r="G118" s="137">
        <f t="shared" si="31"/>
        <v>2.1</v>
      </c>
      <c r="H118" s="137">
        <f t="shared" si="31"/>
        <v>2.1</v>
      </c>
      <c r="I118" s="137">
        <f t="shared" si="31"/>
        <v>2.1</v>
      </c>
      <c r="J118" s="137">
        <f t="shared" si="31"/>
        <v>2.1</v>
      </c>
      <c r="K118" s="137">
        <f t="shared" si="31"/>
        <v>2.1</v>
      </c>
      <c r="L118" s="137">
        <f t="shared" si="31"/>
        <v>2.1</v>
      </c>
      <c r="M118" s="137">
        <f t="shared" si="31"/>
        <v>2.1</v>
      </c>
      <c r="N118" s="137">
        <f t="shared" si="31"/>
        <v>2.1</v>
      </c>
      <c r="O118" s="137">
        <f t="shared" si="31"/>
        <v>2.1</v>
      </c>
      <c r="P118" s="137">
        <f t="shared" si="31"/>
        <v>2.1</v>
      </c>
      <c r="Q118" s="137">
        <f t="shared" si="31"/>
        <v>2.1</v>
      </c>
      <c r="R118" s="137">
        <f t="shared" si="31"/>
        <v>2.1</v>
      </c>
      <c r="S118" s="137">
        <f t="shared" si="30"/>
        <v>2.1</v>
      </c>
      <c r="T118" s="137">
        <f t="shared" si="30"/>
        <v>2.1</v>
      </c>
      <c r="U118" s="137">
        <f t="shared" si="30"/>
        <v>2.1</v>
      </c>
      <c r="V118" s="137">
        <f t="shared" si="30"/>
        <v>2.1</v>
      </c>
      <c r="W118" s="137">
        <f t="shared" si="30"/>
        <v>2.1</v>
      </c>
      <c r="X118" s="137">
        <f t="shared" si="30"/>
        <v>2.1</v>
      </c>
      <c r="Y118" s="137">
        <f t="shared" si="30"/>
        <v>2.1</v>
      </c>
      <c r="Z118" s="137">
        <f t="shared" si="30"/>
        <v>2.1</v>
      </c>
      <c r="AA118" s="137">
        <f t="shared" si="30"/>
        <v>2.1</v>
      </c>
      <c r="AB118" s="137">
        <f t="shared" si="30"/>
        <v>2.1</v>
      </c>
      <c r="AC118" s="137">
        <f t="shared" si="30"/>
        <v>2.1</v>
      </c>
      <c r="AD118" s="137">
        <f t="shared" si="30"/>
        <v>2.1</v>
      </c>
      <c r="AE118" s="137">
        <f t="shared" si="30"/>
        <v>2.1</v>
      </c>
      <c r="AF118" s="137">
        <f t="shared" si="30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1"/>
        <v>9.3000000000000007</v>
      </c>
      <c r="D119" s="137">
        <f t="shared" si="31"/>
        <v>9.3000000000000007</v>
      </c>
      <c r="E119" s="137">
        <f t="shared" si="31"/>
        <v>9.3000000000000007</v>
      </c>
      <c r="F119" s="137">
        <f t="shared" si="31"/>
        <v>9.3000000000000007</v>
      </c>
      <c r="G119" s="137">
        <f t="shared" si="31"/>
        <v>9.3000000000000007</v>
      </c>
      <c r="H119" s="137">
        <f t="shared" si="31"/>
        <v>9.3000000000000007</v>
      </c>
      <c r="I119" s="137">
        <f t="shared" si="31"/>
        <v>9.3000000000000007</v>
      </c>
      <c r="J119" s="137">
        <f t="shared" si="31"/>
        <v>9.3000000000000007</v>
      </c>
      <c r="K119" s="137">
        <f t="shared" si="31"/>
        <v>9.3000000000000007</v>
      </c>
      <c r="L119" s="137">
        <f t="shared" si="31"/>
        <v>9.3000000000000007</v>
      </c>
      <c r="M119" s="137">
        <f t="shared" si="31"/>
        <v>9.3000000000000007</v>
      </c>
      <c r="N119" s="137">
        <f t="shared" si="31"/>
        <v>9.3000000000000007</v>
      </c>
      <c r="O119" s="137">
        <f t="shared" si="31"/>
        <v>9.3000000000000007</v>
      </c>
      <c r="P119" s="137">
        <f t="shared" si="31"/>
        <v>9.3000000000000007</v>
      </c>
      <c r="Q119" s="137">
        <f t="shared" si="31"/>
        <v>9.3000000000000007</v>
      </c>
      <c r="R119" s="137">
        <f t="shared" si="31"/>
        <v>9.3000000000000007</v>
      </c>
      <c r="S119" s="137">
        <f t="shared" si="30"/>
        <v>9.3000000000000007</v>
      </c>
      <c r="T119" s="137">
        <f t="shared" si="30"/>
        <v>9.3000000000000007</v>
      </c>
      <c r="U119" s="137">
        <f t="shared" si="30"/>
        <v>9.3000000000000007</v>
      </c>
      <c r="V119" s="137">
        <f t="shared" si="30"/>
        <v>9.3000000000000007</v>
      </c>
      <c r="W119" s="137">
        <f t="shared" si="30"/>
        <v>9.3000000000000007</v>
      </c>
      <c r="X119" s="137">
        <f t="shared" si="30"/>
        <v>9.3000000000000007</v>
      </c>
      <c r="Y119" s="137">
        <f t="shared" si="30"/>
        <v>9.3000000000000007</v>
      </c>
      <c r="Z119" s="137">
        <f t="shared" si="30"/>
        <v>9.3000000000000007</v>
      </c>
      <c r="AA119" s="137">
        <f t="shared" si="30"/>
        <v>9.3000000000000007</v>
      </c>
      <c r="AB119" s="137">
        <f t="shared" si="30"/>
        <v>9.3000000000000007</v>
      </c>
      <c r="AC119" s="137">
        <f t="shared" si="30"/>
        <v>9.3000000000000007</v>
      </c>
      <c r="AD119" s="137">
        <f t="shared" si="30"/>
        <v>9.3000000000000007</v>
      </c>
      <c r="AE119" s="137">
        <f t="shared" si="30"/>
        <v>9.3000000000000007</v>
      </c>
      <c r="AF119" s="137">
        <f t="shared" si="30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1"/>
        <v>0</v>
      </c>
      <c r="D120" s="137">
        <f t="shared" si="31"/>
        <v>0</v>
      </c>
      <c r="E120" s="137">
        <f t="shared" si="31"/>
        <v>0</v>
      </c>
      <c r="F120" s="137">
        <f t="shared" si="31"/>
        <v>0</v>
      </c>
      <c r="G120" s="137">
        <f t="shared" si="31"/>
        <v>0</v>
      </c>
      <c r="H120" s="137">
        <f t="shared" si="31"/>
        <v>0</v>
      </c>
      <c r="I120" s="137">
        <f t="shared" si="31"/>
        <v>0</v>
      </c>
      <c r="J120" s="137">
        <f t="shared" si="31"/>
        <v>0</v>
      </c>
      <c r="K120" s="137">
        <f t="shared" si="31"/>
        <v>0</v>
      </c>
      <c r="L120" s="137">
        <f t="shared" si="31"/>
        <v>0</v>
      </c>
      <c r="M120" s="137">
        <f t="shared" si="31"/>
        <v>0</v>
      </c>
      <c r="N120" s="137">
        <f t="shared" si="31"/>
        <v>0</v>
      </c>
      <c r="O120" s="137">
        <f t="shared" si="31"/>
        <v>0</v>
      </c>
      <c r="P120" s="137">
        <f t="shared" si="31"/>
        <v>0</v>
      </c>
      <c r="Q120" s="137">
        <f t="shared" si="31"/>
        <v>0</v>
      </c>
      <c r="R120" s="137">
        <f t="shared" si="31"/>
        <v>0</v>
      </c>
      <c r="S120" s="137">
        <f t="shared" si="30"/>
        <v>0</v>
      </c>
      <c r="T120" s="137">
        <f t="shared" si="30"/>
        <v>0</v>
      </c>
      <c r="U120" s="137">
        <f t="shared" si="30"/>
        <v>0</v>
      </c>
      <c r="V120" s="137">
        <f t="shared" si="30"/>
        <v>0</v>
      </c>
      <c r="W120" s="137">
        <f t="shared" si="30"/>
        <v>0</v>
      </c>
      <c r="X120" s="137">
        <f t="shared" si="30"/>
        <v>0</v>
      </c>
      <c r="Y120" s="137">
        <f t="shared" si="30"/>
        <v>0</v>
      </c>
      <c r="Z120" s="137">
        <f t="shared" si="30"/>
        <v>0</v>
      </c>
      <c r="AA120" s="137">
        <f t="shared" si="30"/>
        <v>0</v>
      </c>
      <c r="AB120" s="137">
        <f t="shared" si="30"/>
        <v>0</v>
      </c>
      <c r="AC120" s="137">
        <f t="shared" si="30"/>
        <v>0</v>
      </c>
      <c r="AD120" s="137">
        <f t="shared" si="30"/>
        <v>0</v>
      </c>
      <c r="AE120" s="137">
        <f t="shared" si="30"/>
        <v>0</v>
      </c>
      <c r="AF120" s="137">
        <f t="shared" si="30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1"/>
        <v>0</v>
      </c>
      <c r="D121" s="137">
        <f t="shared" si="31"/>
        <v>0</v>
      </c>
      <c r="E121" s="137">
        <f t="shared" si="31"/>
        <v>0</v>
      </c>
      <c r="F121" s="137">
        <f t="shared" si="31"/>
        <v>0</v>
      </c>
      <c r="G121" s="137">
        <f t="shared" si="31"/>
        <v>0</v>
      </c>
      <c r="H121" s="137">
        <f t="shared" si="31"/>
        <v>0</v>
      </c>
      <c r="I121" s="137">
        <f t="shared" si="31"/>
        <v>0</v>
      </c>
      <c r="J121" s="137">
        <f t="shared" si="31"/>
        <v>0</v>
      </c>
      <c r="K121" s="137">
        <f t="shared" si="31"/>
        <v>0</v>
      </c>
      <c r="L121" s="137">
        <f t="shared" si="31"/>
        <v>0</v>
      </c>
      <c r="M121" s="137">
        <f t="shared" si="31"/>
        <v>0</v>
      </c>
      <c r="N121" s="137">
        <f t="shared" si="31"/>
        <v>0</v>
      </c>
      <c r="O121" s="137">
        <f t="shared" si="31"/>
        <v>0</v>
      </c>
      <c r="P121" s="137">
        <f t="shared" si="31"/>
        <v>0</v>
      </c>
      <c r="Q121" s="137">
        <f t="shared" si="31"/>
        <v>0</v>
      </c>
      <c r="R121" s="137">
        <f t="shared" si="31"/>
        <v>0</v>
      </c>
      <c r="S121" s="137">
        <f t="shared" si="30"/>
        <v>0</v>
      </c>
      <c r="T121" s="137">
        <f t="shared" si="30"/>
        <v>0</v>
      </c>
      <c r="U121" s="137">
        <f t="shared" si="30"/>
        <v>0</v>
      </c>
      <c r="V121" s="137">
        <f t="shared" si="30"/>
        <v>0</v>
      </c>
      <c r="W121" s="137">
        <f t="shared" si="30"/>
        <v>0</v>
      </c>
      <c r="X121" s="137">
        <f t="shared" si="30"/>
        <v>0</v>
      </c>
      <c r="Y121" s="137">
        <f t="shared" si="30"/>
        <v>0</v>
      </c>
      <c r="Z121" s="137">
        <f t="shared" si="30"/>
        <v>0</v>
      </c>
      <c r="AA121" s="137">
        <f t="shared" si="30"/>
        <v>0</v>
      </c>
      <c r="AB121" s="137">
        <f t="shared" si="30"/>
        <v>0</v>
      </c>
      <c r="AC121" s="137">
        <f t="shared" si="30"/>
        <v>0</v>
      </c>
      <c r="AD121" s="137">
        <f t="shared" si="30"/>
        <v>0</v>
      </c>
      <c r="AE121" s="137">
        <f t="shared" si="30"/>
        <v>0</v>
      </c>
      <c r="AF121" s="137">
        <f t="shared" si="30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1"/>
        <v>5</v>
      </c>
      <c r="D122" s="137">
        <f t="shared" si="31"/>
        <v>5</v>
      </c>
      <c r="E122" s="137">
        <f t="shared" si="31"/>
        <v>5</v>
      </c>
      <c r="F122" s="137">
        <f t="shared" si="31"/>
        <v>5</v>
      </c>
      <c r="G122" s="137">
        <f t="shared" si="31"/>
        <v>5</v>
      </c>
      <c r="H122" s="137">
        <f t="shared" si="31"/>
        <v>5</v>
      </c>
      <c r="I122" s="137">
        <f t="shared" si="31"/>
        <v>5</v>
      </c>
      <c r="J122" s="137">
        <f t="shared" si="31"/>
        <v>5</v>
      </c>
      <c r="K122" s="137">
        <f t="shared" si="31"/>
        <v>5</v>
      </c>
      <c r="L122" s="137">
        <f t="shared" si="31"/>
        <v>5</v>
      </c>
      <c r="M122" s="137">
        <f t="shared" si="31"/>
        <v>5</v>
      </c>
      <c r="N122" s="137">
        <f t="shared" si="31"/>
        <v>5</v>
      </c>
      <c r="O122" s="137">
        <f t="shared" si="31"/>
        <v>5</v>
      </c>
      <c r="P122" s="137">
        <f t="shared" si="31"/>
        <v>5</v>
      </c>
      <c r="Q122" s="137">
        <f t="shared" si="31"/>
        <v>5</v>
      </c>
      <c r="R122" s="137">
        <f t="shared" si="31"/>
        <v>5</v>
      </c>
      <c r="S122" s="137">
        <f t="shared" si="30"/>
        <v>5</v>
      </c>
      <c r="T122" s="137">
        <f t="shared" si="30"/>
        <v>5</v>
      </c>
      <c r="U122" s="137">
        <f t="shared" si="30"/>
        <v>5</v>
      </c>
      <c r="V122" s="137">
        <f t="shared" si="30"/>
        <v>5</v>
      </c>
      <c r="W122" s="137">
        <f t="shared" si="30"/>
        <v>5</v>
      </c>
      <c r="X122" s="137">
        <f t="shared" si="30"/>
        <v>5</v>
      </c>
      <c r="Y122" s="137">
        <f t="shared" si="30"/>
        <v>5</v>
      </c>
      <c r="Z122" s="137">
        <f t="shared" si="30"/>
        <v>5</v>
      </c>
      <c r="AA122" s="137">
        <f t="shared" si="30"/>
        <v>5</v>
      </c>
      <c r="AB122" s="137">
        <f t="shared" si="30"/>
        <v>5</v>
      </c>
      <c r="AC122" s="137">
        <f t="shared" si="30"/>
        <v>5</v>
      </c>
      <c r="AD122" s="137">
        <f t="shared" si="30"/>
        <v>5</v>
      </c>
      <c r="AE122" s="137">
        <f t="shared" si="30"/>
        <v>5</v>
      </c>
      <c r="AF122" s="137">
        <f t="shared" si="30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1"/>
        <v>1</v>
      </c>
      <c r="D123" s="137">
        <f t="shared" si="31"/>
        <v>1</v>
      </c>
      <c r="E123" s="137">
        <f t="shared" si="31"/>
        <v>1</v>
      </c>
      <c r="F123" s="137">
        <f t="shared" si="31"/>
        <v>1</v>
      </c>
      <c r="G123" s="137">
        <f t="shared" si="31"/>
        <v>1</v>
      </c>
      <c r="H123" s="137">
        <f t="shared" si="31"/>
        <v>1</v>
      </c>
      <c r="I123" s="137">
        <f t="shared" si="31"/>
        <v>1</v>
      </c>
      <c r="J123" s="137">
        <f t="shared" si="31"/>
        <v>1</v>
      </c>
      <c r="K123" s="137">
        <f t="shared" si="31"/>
        <v>1</v>
      </c>
      <c r="L123" s="137">
        <f t="shared" si="31"/>
        <v>1</v>
      </c>
      <c r="M123" s="137">
        <f t="shared" si="31"/>
        <v>1</v>
      </c>
      <c r="N123" s="137">
        <f t="shared" si="31"/>
        <v>1</v>
      </c>
      <c r="O123" s="137">
        <f t="shared" si="31"/>
        <v>1</v>
      </c>
      <c r="P123" s="137">
        <f t="shared" si="31"/>
        <v>1</v>
      </c>
      <c r="Q123" s="137">
        <f t="shared" si="31"/>
        <v>1</v>
      </c>
      <c r="R123" s="137">
        <f t="shared" si="31"/>
        <v>1</v>
      </c>
      <c r="S123" s="137">
        <f t="shared" si="30"/>
        <v>1</v>
      </c>
      <c r="T123" s="137">
        <f t="shared" si="30"/>
        <v>1</v>
      </c>
      <c r="U123" s="137">
        <f t="shared" si="30"/>
        <v>1</v>
      </c>
      <c r="V123" s="137">
        <f t="shared" si="30"/>
        <v>1</v>
      </c>
      <c r="W123" s="137">
        <f t="shared" si="30"/>
        <v>1</v>
      </c>
      <c r="X123" s="137">
        <f t="shared" si="30"/>
        <v>1</v>
      </c>
      <c r="Y123" s="137">
        <f t="shared" si="30"/>
        <v>1</v>
      </c>
      <c r="Z123" s="137">
        <f t="shared" si="30"/>
        <v>1</v>
      </c>
      <c r="AA123" s="137">
        <f t="shared" si="30"/>
        <v>1</v>
      </c>
      <c r="AB123" s="137">
        <f t="shared" si="30"/>
        <v>1</v>
      </c>
      <c r="AC123" s="137">
        <f t="shared" si="30"/>
        <v>1</v>
      </c>
      <c r="AD123" s="137">
        <f t="shared" si="30"/>
        <v>1</v>
      </c>
      <c r="AE123" s="137">
        <f t="shared" si="30"/>
        <v>1</v>
      </c>
      <c r="AF123" s="137">
        <f t="shared" si="30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1"/>
        <v>1.58</v>
      </c>
      <c r="D124" s="137">
        <f t="shared" si="31"/>
        <v>1.58</v>
      </c>
      <c r="E124" s="137">
        <f t="shared" si="31"/>
        <v>1.58</v>
      </c>
      <c r="F124" s="137">
        <f t="shared" si="31"/>
        <v>1.58</v>
      </c>
      <c r="G124" s="137">
        <f t="shared" si="31"/>
        <v>1.58</v>
      </c>
      <c r="H124" s="137">
        <f t="shared" si="31"/>
        <v>1.58</v>
      </c>
      <c r="I124" s="137">
        <f t="shared" si="31"/>
        <v>1.58</v>
      </c>
      <c r="J124" s="137">
        <f t="shared" si="31"/>
        <v>1.58</v>
      </c>
      <c r="K124" s="137">
        <f t="shared" si="31"/>
        <v>1.58</v>
      </c>
      <c r="L124" s="137">
        <f t="shared" si="31"/>
        <v>1.58</v>
      </c>
      <c r="M124" s="137">
        <f t="shared" si="31"/>
        <v>1.58</v>
      </c>
      <c r="N124" s="137">
        <f t="shared" si="31"/>
        <v>1.58</v>
      </c>
      <c r="O124" s="137">
        <f t="shared" si="31"/>
        <v>1.58</v>
      </c>
      <c r="P124" s="137">
        <f t="shared" si="31"/>
        <v>1.58</v>
      </c>
      <c r="Q124" s="137">
        <f t="shared" si="31"/>
        <v>1.58</v>
      </c>
      <c r="R124" s="137">
        <f t="shared" si="31"/>
        <v>1.58</v>
      </c>
      <c r="S124" s="137">
        <f t="shared" si="30"/>
        <v>1.58</v>
      </c>
      <c r="T124" s="137">
        <f t="shared" si="30"/>
        <v>1.58</v>
      </c>
      <c r="U124" s="137">
        <f t="shared" si="30"/>
        <v>1.58</v>
      </c>
      <c r="V124" s="137">
        <f t="shared" si="30"/>
        <v>1.58</v>
      </c>
      <c r="W124" s="137">
        <f t="shared" si="30"/>
        <v>1.58</v>
      </c>
      <c r="X124" s="137">
        <f t="shared" si="30"/>
        <v>1.58</v>
      </c>
      <c r="Y124" s="137">
        <f t="shared" si="30"/>
        <v>1.58</v>
      </c>
      <c r="Z124" s="137">
        <f t="shared" si="30"/>
        <v>1.58</v>
      </c>
      <c r="AA124" s="137">
        <f t="shared" si="30"/>
        <v>1.58</v>
      </c>
      <c r="AB124" s="137">
        <f t="shared" si="30"/>
        <v>1.58</v>
      </c>
      <c r="AC124" s="137">
        <f t="shared" si="30"/>
        <v>1.58</v>
      </c>
      <c r="AD124" s="137">
        <f t="shared" si="30"/>
        <v>1.58</v>
      </c>
      <c r="AE124" s="137">
        <f t="shared" si="30"/>
        <v>1.58</v>
      </c>
      <c r="AF124" s="137">
        <f t="shared" si="30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1"/>
        <v>1.46</v>
      </c>
      <c r="D125" s="137">
        <f t="shared" si="31"/>
        <v>1.46</v>
      </c>
      <c r="E125" s="137">
        <f t="shared" si="31"/>
        <v>1.46</v>
      </c>
      <c r="F125" s="137">
        <f t="shared" si="31"/>
        <v>1.46</v>
      </c>
      <c r="G125" s="137">
        <f t="shared" si="31"/>
        <v>1.46</v>
      </c>
      <c r="H125" s="137">
        <f t="shared" si="31"/>
        <v>1.46</v>
      </c>
      <c r="I125" s="137">
        <f t="shared" si="31"/>
        <v>1.46</v>
      </c>
      <c r="J125" s="137">
        <f t="shared" si="31"/>
        <v>1.46</v>
      </c>
      <c r="K125" s="137">
        <f t="shared" si="31"/>
        <v>1.46</v>
      </c>
      <c r="L125" s="137">
        <f t="shared" si="31"/>
        <v>1.46</v>
      </c>
      <c r="M125" s="137">
        <f t="shared" si="31"/>
        <v>1.46</v>
      </c>
      <c r="N125" s="137">
        <f t="shared" si="31"/>
        <v>1.46</v>
      </c>
      <c r="O125" s="137">
        <f t="shared" si="31"/>
        <v>1.46</v>
      </c>
      <c r="P125" s="137">
        <f t="shared" si="31"/>
        <v>1.46</v>
      </c>
      <c r="Q125" s="137">
        <f t="shared" si="31"/>
        <v>1.46</v>
      </c>
      <c r="R125" s="137">
        <f t="shared" si="31"/>
        <v>1.46</v>
      </c>
      <c r="S125" s="137">
        <f t="shared" ref="S125:AF126" si="32">R125</f>
        <v>1.46</v>
      </c>
      <c r="T125" s="137">
        <f t="shared" si="32"/>
        <v>1.46</v>
      </c>
      <c r="U125" s="137">
        <f t="shared" si="32"/>
        <v>1.46</v>
      </c>
      <c r="V125" s="137">
        <f t="shared" si="32"/>
        <v>1.46</v>
      </c>
      <c r="W125" s="137">
        <f t="shared" si="32"/>
        <v>1.46</v>
      </c>
      <c r="X125" s="137">
        <f t="shared" si="32"/>
        <v>1.46</v>
      </c>
      <c r="Y125" s="137">
        <f t="shared" si="32"/>
        <v>1.46</v>
      </c>
      <c r="Z125" s="137">
        <f t="shared" si="32"/>
        <v>1.46</v>
      </c>
      <c r="AA125" s="137">
        <f t="shared" si="32"/>
        <v>1.46</v>
      </c>
      <c r="AB125" s="137">
        <f t="shared" si="32"/>
        <v>1.46</v>
      </c>
      <c r="AC125" s="137">
        <f t="shared" si="32"/>
        <v>1.46</v>
      </c>
      <c r="AD125" s="137">
        <f t="shared" si="32"/>
        <v>1.46</v>
      </c>
      <c r="AE125" s="137">
        <f t="shared" si="32"/>
        <v>1.46</v>
      </c>
      <c r="AF125" s="137">
        <f t="shared" si="32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1"/>
        <v>1.48</v>
      </c>
      <c r="D126" s="137">
        <f t="shared" si="31"/>
        <v>1.48</v>
      </c>
      <c r="E126" s="137">
        <f t="shared" si="31"/>
        <v>1.48</v>
      </c>
      <c r="F126" s="137">
        <f t="shared" si="31"/>
        <v>1.48</v>
      </c>
      <c r="G126" s="137">
        <f t="shared" si="31"/>
        <v>1.48</v>
      </c>
      <c r="H126" s="137">
        <f t="shared" si="31"/>
        <v>1.48</v>
      </c>
      <c r="I126" s="137">
        <f t="shared" si="31"/>
        <v>1.48</v>
      </c>
      <c r="J126" s="137">
        <f t="shared" si="31"/>
        <v>1.48</v>
      </c>
      <c r="K126" s="137">
        <f t="shared" si="31"/>
        <v>1.48</v>
      </c>
      <c r="L126" s="137">
        <f t="shared" si="31"/>
        <v>1.48</v>
      </c>
      <c r="M126" s="137">
        <f t="shared" si="31"/>
        <v>1.48</v>
      </c>
      <c r="N126" s="137">
        <f t="shared" si="31"/>
        <v>1.48</v>
      </c>
      <c r="O126" s="137">
        <f t="shared" si="31"/>
        <v>1.48</v>
      </c>
      <c r="P126" s="137">
        <f t="shared" si="31"/>
        <v>1.48</v>
      </c>
      <c r="Q126" s="137">
        <f t="shared" si="31"/>
        <v>1.48</v>
      </c>
      <c r="R126" s="137">
        <f t="shared" si="31"/>
        <v>1.48</v>
      </c>
      <c r="S126" s="137">
        <f t="shared" si="32"/>
        <v>1.48</v>
      </c>
      <c r="T126" s="137">
        <f t="shared" si="32"/>
        <v>1.48</v>
      </c>
      <c r="U126" s="137">
        <f t="shared" si="32"/>
        <v>1.48</v>
      </c>
      <c r="V126" s="137">
        <f t="shared" si="32"/>
        <v>1.48</v>
      </c>
      <c r="W126" s="137">
        <f t="shared" si="32"/>
        <v>1.48</v>
      </c>
      <c r="X126" s="137">
        <f t="shared" si="32"/>
        <v>1.48</v>
      </c>
      <c r="Y126" s="137">
        <f t="shared" si="32"/>
        <v>1.48</v>
      </c>
      <c r="Z126" s="137">
        <f t="shared" si="32"/>
        <v>1.48</v>
      </c>
      <c r="AA126" s="137">
        <f t="shared" si="32"/>
        <v>1.48</v>
      </c>
      <c r="AB126" s="137">
        <f t="shared" si="32"/>
        <v>1.48</v>
      </c>
      <c r="AC126" s="137">
        <f t="shared" si="32"/>
        <v>1.48</v>
      </c>
      <c r="AD126" s="137">
        <f t="shared" si="32"/>
        <v>1.48</v>
      </c>
      <c r="AE126" s="137">
        <f t="shared" si="32"/>
        <v>1.48</v>
      </c>
      <c r="AF126" s="137">
        <f t="shared" si="32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3">B128</f>
        <v>2.2000000000000002</v>
      </c>
      <c r="D128" s="137">
        <f t="shared" si="33"/>
        <v>2.2000000000000002</v>
      </c>
      <c r="E128" s="137">
        <f t="shared" si="33"/>
        <v>2.2000000000000002</v>
      </c>
      <c r="F128" s="137">
        <f t="shared" si="33"/>
        <v>2.2000000000000002</v>
      </c>
      <c r="G128" s="137">
        <f t="shared" si="33"/>
        <v>2.2000000000000002</v>
      </c>
      <c r="H128" s="137">
        <f t="shared" si="33"/>
        <v>2.2000000000000002</v>
      </c>
      <c r="I128" s="137">
        <f t="shared" si="33"/>
        <v>2.2000000000000002</v>
      </c>
      <c r="J128" s="137">
        <f t="shared" si="33"/>
        <v>2.2000000000000002</v>
      </c>
      <c r="K128" s="137">
        <f t="shared" si="33"/>
        <v>2.2000000000000002</v>
      </c>
      <c r="L128" s="137">
        <f t="shared" si="33"/>
        <v>2.2000000000000002</v>
      </c>
      <c r="M128" s="137">
        <f t="shared" si="33"/>
        <v>2.2000000000000002</v>
      </c>
      <c r="N128" s="137">
        <f t="shared" si="33"/>
        <v>2.2000000000000002</v>
      </c>
      <c r="O128" s="137">
        <f t="shared" si="33"/>
        <v>2.2000000000000002</v>
      </c>
      <c r="P128" s="137">
        <f t="shared" si="33"/>
        <v>2.2000000000000002</v>
      </c>
      <c r="Q128" s="137">
        <f t="shared" si="33"/>
        <v>2.2000000000000002</v>
      </c>
      <c r="R128" s="137">
        <f t="shared" si="33"/>
        <v>2.2000000000000002</v>
      </c>
      <c r="S128" s="137">
        <f t="shared" ref="S128:AF135" si="34">R128</f>
        <v>2.2000000000000002</v>
      </c>
      <c r="T128" s="137">
        <f t="shared" si="34"/>
        <v>2.2000000000000002</v>
      </c>
      <c r="U128" s="137">
        <f t="shared" si="34"/>
        <v>2.2000000000000002</v>
      </c>
      <c r="V128" s="137">
        <f t="shared" si="34"/>
        <v>2.2000000000000002</v>
      </c>
      <c r="W128" s="137">
        <f t="shared" si="34"/>
        <v>2.2000000000000002</v>
      </c>
      <c r="X128" s="137">
        <f t="shared" si="34"/>
        <v>2.2000000000000002</v>
      </c>
      <c r="Y128" s="137">
        <f t="shared" si="34"/>
        <v>2.2000000000000002</v>
      </c>
      <c r="Z128" s="137">
        <f t="shared" si="34"/>
        <v>2.2000000000000002</v>
      </c>
      <c r="AA128" s="137">
        <f t="shared" si="34"/>
        <v>2.2000000000000002</v>
      </c>
      <c r="AB128" s="137">
        <f t="shared" si="34"/>
        <v>2.2000000000000002</v>
      </c>
      <c r="AC128" s="137">
        <f t="shared" si="34"/>
        <v>2.2000000000000002</v>
      </c>
      <c r="AD128" s="137">
        <f t="shared" si="34"/>
        <v>2.2000000000000002</v>
      </c>
      <c r="AE128" s="137">
        <f t="shared" si="34"/>
        <v>2.2000000000000002</v>
      </c>
      <c r="AF128" s="137">
        <f t="shared" si="34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3"/>
        <v>2</v>
      </c>
      <c r="D129" s="137">
        <f t="shared" si="33"/>
        <v>2</v>
      </c>
      <c r="E129" s="137">
        <f t="shared" si="33"/>
        <v>2</v>
      </c>
      <c r="F129" s="137">
        <f t="shared" si="33"/>
        <v>2</v>
      </c>
      <c r="G129" s="137">
        <f t="shared" si="33"/>
        <v>2</v>
      </c>
      <c r="H129" s="137">
        <f t="shared" si="33"/>
        <v>2</v>
      </c>
      <c r="I129" s="137">
        <f t="shared" si="33"/>
        <v>2</v>
      </c>
      <c r="J129" s="137">
        <f t="shared" si="33"/>
        <v>2</v>
      </c>
      <c r="K129" s="137">
        <f t="shared" si="33"/>
        <v>2</v>
      </c>
      <c r="L129" s="137">
        <f t="shared" si="33"/>
        <v>2</v>
      </c>
      <c r="M129" s="137">
        <f t="shared" si="33"/>
        <v>2</v>
      </c>
      <c r="N129" s="137">
        <f t="shared" si="33"/>
        <v>2</v>
      </c>
      <c r="O129" s="137">
        <f t="shared" si="33"/>
        <v>2</v>
      </c>
      <c r="P129" s="137">
        <f t="shared" si="33"/>
        <v>2</v>
      </c>
      <c r="Q129" s="137">
        <f t="shared" si="33"/>
        <v>2</v>
      </c>
      <c r="R129" s="137">
        <f t="shared" si="33"/>
        <v>2</v>
      </c>
      <c r="S129" s="137">
        <f t="shared" si="34"/>
        <v>2</v>
      </c>
      <c r="T129" s="137">
        <f t="shared" si="34"/>
        <v>2</v>
      </c>
      <c r="U129" s="137">
        <f t="shared" si="34"/>
        <v>2</v>
      </c>
      <c r="V129" s="137">
        <f t="shared" si="34"/>
        <v>2</v>
      </c>
      <c r="W129" s="137">
        <f t="shared" si="34"/>
        <v>2</v>
      </c>
      <c r="X129" s="137">
        <f t="shared" si="34"/>
        <v>2</v>
      </c>
      <c r="Y129" s="137">
        <f t="shared" si="34"/>
        <v>2</v>
      </c>
      <c r="Z129" s="137">
        <f t="shared" si="34"/>
        <v>2</v>
      </c>
      <c r="AA129" s="137">
        <f t="shared" si="34"/>
        <v>2</v>
      </c>
      <c r="AB129" s="137">
        <f t="shared" si="34"/>
        <v>2</v>
      </c>
      <c r="AC129" s="137">
        <f t="shared" si="34"/>
        <v>2</v>
      </c>
      <c r="AD129" s="137">
        <f t="shared" si="34"/>
        <v>2</v>
      </c>
      <c r="AE129" s="137">
        <f t="shared" si="34"/>
        <v>2</v>
      </c>
      <c r="AF129" s="137">
        <f t="shared" si="34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3"/>
        <v>1.25</v>
      </c>
      <c r="D130" s="137">
        <f t="shared" si="33"/>
        <v>1.25</v>
      </c>
      <c r="E130" s="137">
        <f t="shared" si="33"/>
        <v>1.25</v>
      </c>
      <c r="F130" s="137">
        <f t="shared" si="33"/>
        <v>1.25</v>
      </c>
      <c r="G130" s="137">
        <f t="shared" si="33"/>
        <v>1.25</v>
      </c>
      <c r="H130" s="137">
        <f t="shared" si="33"/>
        <v>1.25</v>
      </c>
      <c r="I130" s="137">
        <f t="shared" si="33"/>
        <v>1.25</v>
      </c>
      <c r="J130" s="137">
        <f t="shared" si="33"/>
        <v>1.25</v>
      </c>
      <c r="K130" s="137">
        <f t="shared" si="33"/>
        <v>1.25</v>
      </c>
      <c r="L130" s="137">
        <f t="shared" si="33"/>
        <v>1.25</v>
      </c>
      <c r="M130" s="137">
        <f t="shared" si="33"/>
        <v>1.25</v>
      </c>
      <c r="N130" s="137">
        <f t="shared" si="33"/>
        <v>1.25</v>
      </c>
      <c r="O130" s="137">
        <f t="shared" si="33"/>
        <v>1.25</v>
      </c>
      <c r="P130" s="137">
        <f t="shared" si="33"/>
        <v>1.25</v>
      </c>
      <c r="Q130" s="137">
        <f t="shared" si="33"/>
        <v>1.25</v>
      </c>
      <c r="R130" s="137">
        <f t="shared" si="33"/>
        <v>1.25</v>
      </c>
      <c r="S130" s="137">
        <f t="shared" si="34"/>
        <v>1.25</v>
      </c>
      <c r="T130" s="137">
        <f t="shared" si="34"/>
        <v>1.25</v>
      </c>
      <c r="U130" s="137">
        <f t="shared" si="34"/>
        <v>1.25</v>
      </c>
      <c r="V130" s="137">
        <f t="shared" si="34"/>
        <v>1.25</v>
      </c>
      <c r="W130" s="137">
        <f t="shared" si="34"/>
        <v>1.25</v>
      </c>
      <c r="X130" s="137">
        <f t="shared" si="34"/>
        <v>1.25</v>
      </c>
      <c r="Y130" s="137">
        <f t="shared" si="34"/>
        <v>1.25</v>
      </c>
      <c r="Z130" s="137">
        <f t="shared" si="34"/>
        <v>1.25</v>
      </c>
      <c r="AA130" s="137">
        <f t="shared" si="34"/>
        <v>1.25</v>
      </c>
      <c r="AB130" s="137">
        <f t="shared" si="34"/>
        <v>1.25</v>
      </c>
      <c r="AC130" s="137">
        <f t="shared" si="34"/>
        <v>1.25</v>
      </c>
      <c r="AD130" s="137">
        <f t="shared" si="34"/>
        <v>1.25</v>
      </c>
      <c r="AE130" s="137">
        <f t="shared" si="34"/>
        <v>1.25</v>
      </c>
      <c r="AF130" s="137">
        <f t="shared" si="34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3"/>
        <v>1.1499999999999999</v>
      </c>
      <c r="D131" s="137">
        <f t="shared" si="33"/>
        <v>1.1499999999999999</v>
      </c>
      <c r="E131" s="137">
        <f t="shared" si="33"/>
        <v>1.1499999999999999</v>
      </c>
      <c r="F131" s="137">
        <f t="shared" si="33"/>
        <v>1.1499999999999999</v>
      </c>
      <c r="G131" s="137">
        <f t="shared" si="33"/>
        <v>1.1499999999999999</v>
      </c>
      <c r="H131" s="137">
        <f t="shared" si="33"/>
        <v>1.1499999999999999</v>
      </c>
      <c r="I131" s="137">
        <f t="shared" si="33"/>
        <v>1.1499999999999999</v>
      </c>
      <c r="J131" s="137">
        <f t="shared" si="33"/>
        <v>1.1499999999999999</v>
      </c>
      <c r="K131" s="137">
        <f t="shared" si="33"/>
        <v>1.1499999999999999</v>
      </c>
      <c r="L131" s="137">
        <f t="shared" si="33"/>
        <v>1.1499999999999999</v>
      </c>
      <c r="M131" s="137">
        <f t="shared" si="33"/>
        <v>1.1499999999999999</v>
      </c>
      <c r="N131" s="137">
        <f t="shared" si="33"/>
        <v>1.1499999999999999</v>
      </c>
      <c r="O131" s="137">
        <f t="shared" si="33"/>
        <v>1.1499999999999999</v>
      </c>
      <c r="P131" s="137">
        <f t="shared" si="33"/>
        <v>1.1499999999999999</v>
      </c>
      <c r="Q131" s="137">
        <f t="shared" si="33"/>
        <v>1.1499999999999999</v>
      </c>
      <c r="R131" s="137">
        <f t="shared" si="33"/>
        <v>1.1499999999999999</v>
      </c>
      <c r="S131" s="137">
        <f t="shared" si="34"/>
        <v>1.1499999999999999</v>
      </c>
      <c r="T131" s="137">
        <f t="shared" si="34"/>
        <v>1.1499999999999999</v>
      </c>
      <c r="U131" s="137">
        <f t="shared" si="34"/>
        <v>1.1499999999999999</v>
      </c>
      <c r="V131" s="137">
        <f t="shared" si="34"/>
        <v>1.1499999999999999</v>
      </c>
      <c r="W131" s="137">
        <f t="shared" si="34"/>
        <v>1.1499999999999999</v>
      </c>
      <c r="X131" s="137">
        <f t="shared" si="34"/>
        <v>1.1499999999999999</v>
      </c>
      <c r="Y131" s="137">
        <f t="shared" si="34"/>
        <v>1.1499999999999999</v>
      </c>
      <c r="Z131" s="137">
        <f t="shared" si="34"/>
        <v>1.1499999999999999</v>
      </c>
      <c r="AA131" s="137">
        <f t="shared" si="34"/>
        <v>1.1499999999999999</v>
      </c>
      <c r="AB131" s="137">
        <f t="shared" si="34"/>
        <v>1.1499999999999999</v>
      </c>
      <c r="AC131" s="137">
        <f t="shared" si="34"/>
        <v>1.1499999999999999</v>
      </c>
      <c r="AD131" s="137">
        <f t="shared" si="34"/>
        <v>1.1499999999999999</v>
      </c>
      <c r="AE131" s="137">
        <f t="shared" si="34"/>
        <v>1.1499999999999999</v>
      </c>
      <c r="AF131" s="137">
        <f t="shared" si="34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3"/>
        <v>2.133</v>
      </c>
      <c r="D132" s="137">
        <f t="shared" si="33"/>
        <v>2.133</v>
      </c>
      <c r="E132" s="137">
        <f t="shared" si="33"/>
        <v>2.133</v>
      </c>
      <c r="F132" s="137">
        <f t="shared" si="33"/>
        <v>2.133</v>
      </c>
      <c r="G132" s="137">
        <f t="shared" si="33"/>
        <v>2.133</v>
      </c>
      <c r="H132" s="137">
        <f t="shared" si="33"/>
        <v>2.133</v>
      </c>
      <c r="I132" s="137">
        <f t="shared" si="33"/>
        <v>2.133</v>
      </c>
      <c r="J132" s="137">
        <f t="shared" si="33"/>
        <v>2.133</v>
      </c>
      <c r="K132" s="137">
        <f t="shared" si="33"/>
        <v>2.133</v>
      </c>
      <c r="L132" s="137">
        <f t="shared" si="33"/>
        <v>2.133</v>
      </c>
      <c r="M132" s="137">
        <f t="shared" si="33"/>
        <v>2.133</v>
      </c>
      <c r="N132" s="137">
        <f t="shared" si="33"/>
        <v>2.133</v>
      </c>
      <c r="O132" s="137">
        <f t="shared" si="33"/>
        <v>2.133</v>
      </c>
      <c r="P132" s="137">
        <f t="shared" si="33"/>
        <v>2.133</v>
      </c>
      <c r="Q132" s="137">
        <f t="shared" si="33"/>
        <v>2.133</v>
      </c>
      <c r="R132" s="137">
        <f t="shared" si="33"/>
        <v>2.133</v>
      </c>
      <c r="S132" s="137">
        <f t="shared" si="34"/>
        <v>2.133</v>
      </c>
      <c r="T132" s="137">
        <f t="shared" si="34"/>
        <v>2.133</v>
      </c>
      <c r="U132" s="137">
        <f t="shared" si="34"/>
        <v>2.133</v>
      </c>
      <c r="V132" s="137">
        <f t="shared" si="34"/>
        <v>2.133</v>
      </c>
      <c r="W132" s="137">
        <f t="shared" si="34"/>
        <v>2.133</v>
      </c>
      <c r="X132" s="137">
        <f t="shared" si="34"/>
        <v>2.133</v>
      </c>
      <c r="Y132" s="137">
        <f t="shared" si="34"/>
        <v>2.133</v>
      </c>
      <c r="Z132" s="137">
        <f t="shared" si="34"/>
        <v>2.133</v>
      </c>
      <c r="AA132" s="137">
        <f t="shared" si="34"/>
        <v>2.133</v>
      </c>
      <c r="AB132" s="137">
        <f t="shared" si="34"/>
        <v>2.133</v>
      </c>
      <c r="AC132" s="137">
        <f t="shared" si="34"/>
        <v>2.133</v>
      </c>
      <c r="AD132" s="137">
        <f t="shared" si="34"/>
        <v>2.133</v>
      </c>
      <c r="AE132" s="137">
        <f t="shared" si="34"/>
        <v>2.133</v>
      </c>
      <c r="AF132" s="137">
        <f t="shared" si="34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3"/>
        <v>2.09</v>
      </c>
      <c r="D133" s="137">
        <f t="shared" si="33"/>
        <v>2.09</v>
      </c>
      <c r="E133" s="137">
        <f t="shared" si="33"/>
        <v>2.09</v>
      </c>
      <c r="F133" s="137">
        <f t="shared" si="33"/>
        <v>2.09</v>
      </c>
      <c r="G133" s="137">
        <f t="shared" si="33"/>
        <v>2.09</v>
      </c>
      <c r="H133" s="137">
        <f t="shared" si="33"/>
        <v>2.09</v>
      </c>
      <c r="I133" s="137">
        <f t="shared" si="33"/>
        <v>2.09</v>
      </c>
      <c r="J133" s="137">
        <f t="shared" si="33"/>
        <v>2.09</v>
      </c>
      <c r="K133" s="137">
        <f t="shared" si="33"/>
        <v>2.09</v>
      </c>
      <c r="L133" s="137">
        <f t="shared" si="33"/>
        <v>2.09</v>
      </c>
      <c r="M133" s="137">
        <f t="shared" si="33"/>
        <v>2.09</v>
      </c>
      <c r="N133" s="137">
        <f t="shared" si="33"/>
        <v>2.09</v>
      </c>
      <c r="O133" s="137">
        <f t="shared" si="33"/>
        <v>2.09</v>
      </c>
      <c r="P133" s="137">
        <f t="shared" si="33"/>
        <v>2.09</v>
      </c>
      <c r="Q133" s="137">
        <f t="shared" si="33"/>
        <v>2.09</v>
      </c>
      <c r="R133" s="137">
        <f t="shared" si="33"/>
        <v>2.09</v>
      </c>
      <c r="S133" s="137">
        <f t="shared" si="34"/>
        <v>2.09</v>
      </c>
      <c r="T133" s="137">
        <f t="shared" si="34"/>
        <v>2.09</v>
      </c>
      <c r="U133" s="137">
        <f t="shared" si="34"/>
        <v>2.09</v>
      </c>
      <c r="V133" s="137">
        <f t="shared" si="34"/>
        <v>2.09</v>
      </c>
      <c r="W133" s="137">
        <f t="shared" si="34"/>
        <v>2.09</v>
      </c>
      <c r="X133" s="137">
        <f t="shared" si="34"/>
        <v>2.09</v>
      </c>
      <c r="Y133" s="137">
        <f t="shared" si="34"/>
        <v>2.09</v>
      </c>
      <c r="Z133" s="137">
        <f t="shared" si="34"/>
        <v>2.09</v>
      </c>
      <c r="AA133" s="137">
        <f t="shared" si="34"/>
        <v>2.09</v>
      </c>
      <c r="AB133" s="137">
        <f t="shared" si="34"/>
        <v>2.09</v>
      </c>
      <c r="AC133" s="137">
        <f t="shared" si="34"/>
        <v>2.09</v>
      </c>
      <c r="AD133" s="137">
        <f t="shared" si="34"/>
        <v>2.09</v>
      </c>
      <c r="AE133" s="137">
        <f t="shared" si="34"/>
        <v>2.09</v>
      </c>
      <c r="AF133" s="137">
        <f t="shared" si="34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3"/>
        <v>1.1399999999999999</v>
      </c>
      <c r="D134" s="137">
        <f t="shared" si="33"/>
        <v>1.1399999999999999</v>
      </c>
      <c r="E134" s="137">
        <f t="shared" si="33"/>
        <v>1.1399999999999999</v>
      </c>
      <c r="F134" s="137">
        <f t="shared" si="33"/>
        <v>1.1399999999999999</v>
      </c>
      <c r="G134" s="137">
        <f t="shared" si="33"/>
        <v>1.1399999999999999</v>
      </c>
      <c r="H134" s="137">
        <f t="shared" si="33"/>
        <v>1.1399999999999999</v>
      </c>
      <c r="I134" s="137">
        <f t="shared" si="33"/>
        <v>1.1399999999999999</v>
      </c>
      <c r="J134" s="137">
        <f t="shared" si="33"/>
        <v>1.1399999999999999</v>
      </c>
      <c r="K134" s="137">
        <f t="shared" si="33"/>
        <v>1.1399999999999999</v>
      </c>
      <c r="L134" s="137">
        <f t="shared" si="33"/>
        <v>1.1399999999999999</v>
      </c>
      <c r="M134" s="137">
        <f t="shared" si="33"/>
        <v>1.1399999999999999</v>
      </c>
      <c r="N134" s="137">
        <f t="shared" si="33"/>
        <v>1.1399999999999999</v>
      </c>
      <c r="O134" s="137">
        <f t="shared" si="33"/>
        <v>1.1399999999999999</v>
      </c>
      <c r="P134" s="137">
        <f t="shared" si="33"/>
        <v>1.1399999999999999</v>
      </c>
      <c r="Q134" s="137">
        <f t="shared" si="33"/>
        <v>1.1399999999999999</v>
      </c>
      <c r="R134" s="137">
        <f t="shared" si="33"/>
        <v>1.1399999999999999</v>
      </c>
      <c r="S134" s="137">
        <f t="shared" si="34"/>
        <v>1.1399999999999999</v>
      </c>
      <c r="T134" s="137">
        <f t="shared" si="34"/>
        <v>1.1399999999999999</v>
      </c>
      <c r="U134" s="137">
        <f t="shared" si="34"/>
        <v>1.1399999999999999</v>
      </c>
      <c r="V134" s="137">
        <f t="shared" si="34"/>
        <v>1.1399999999999999</v>
      </c>
      <c r="W134" s="137">
        <f t="shared" si="34"/>
        <v>1.1399999999999999</v>
      </c>
      <c r="X134" s="137">
        <f t="shared" si="34"/>
        <v>1.1399999999999999</v>
      </c>
      <c r="Y134" s="137">
        <f t="shared" si="34"/>
        <v>1.1399999999999999</v>
      </c>
      <c r="Z134" s="137">
        <f t="shared" si="34"/>
        <v>1.1399999999999999</v>
      </c>
      <c r="AA134" s="137">
        <f t="shared" si="34"/>
        <v>1.1399999999999999</v>
      </c>
      <c r="AB134" s="137">
        <f t="shared" si="34"/>
        <v>1.1399999999999999</v>
      </c>
      <c r="AC134" s="137">
        <f t="shared" si="34"/>
        <v>1.1399999999999999</v>
      </c>
      <c r="AD134" s="137">
        <f t="shared" si="34"/>
        <v>1.1399999999999999</v>
      </c>
      <c r="AE134" s="137">
        <f t="shared" si="34"/>
        <v>1.1399999999999999</v>
      </c>
      <c r="AF134" s="137">
        <f t="shared" si="34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3"/>
        <v>0.82</v>
      </c>
      <c r="D135" s="137">
        <f t="shared" si="33"/>
        <v>0.82</v>
      </c>
      <c r="E135" s="137">
        <f t="shared" si="33"/>
        <v>0.82</v>
      </c>
      <c r="F135" s="137">
        <f t="shared" si="33"/>
        <v>0.82</v>
      </c>
      <c r="G135" s="137">
        <f t="shared" si="33"/>
        <v>0.82</v>
      </c>
      <c r="H135" s="137">
        <f t="shared" si="33"/>
        <v>0.82</v>
      </c>
      <c r="I135" s="137">
        <f t="shared" si="33"/>
        <v>0.82</v>
      </c>
      <c r="J135" s="137">
        <f t="shared" si="33"/>
        <v>0.82</v>
      </c>
      <c r="K135" s="137">
        <f t="shared" si="33"/>
        <v>0.82</v>
      </c>
      <c r="L135" s="137">
        <f t="shared" si="33"/>
        <v>0.82</v>
      </c>
      <c r="M135" s="137">
        <f t="shared" si="33"/>
        <v>0.82</v>
      </c>
      <c r="N135" s="137">
        <f t="shared" si="33"/>
        <v>0.82</v>
      </c>
      <c r="O135" s="137">
        <f t="shared" si="33"/>
        <v>0.82</v>
      </c>
      <c r="P135" s="137">
        <f t="shared" si="33"/>
        <v>0.82</v>
      </c>
      <c r="Q135" s="137">
        <f t="shared" si="33"/>
        <v>0.82</v>
      </c>
      <c r="R135" s="137">
        <f t="shared" si="33"/>
        <v>0.82</v>
      </c>
      <c r="S135" s="137">
        <f t="shared" si="34"/>
        <v>0.82</v>
      </c>
      <c r="T135" s="137">
        <f t="shared" si="34"/>
        <v>0.82</v>
      </c>
      <c r="U135" s="137">
        <f t="shared" si="34"/>
        <v>0.82</v>
      </c>
      <c r="V135" s="137">
        <f t="shared" si="34"/>
        <v>0.82</v>
      </c>
      <c r="W135" s="137">
        <f t="shared" si="34"/>
        <v>0.82</v>
      </c>
      <c r="X135" s="137">
        <f t="shared" si="34"/>
        <v>0.82</v>
      </c>
      <c r="Y135" s="137">
        <f t="shared" si="34"/>
        <v>0.82</v>
      </c>
      <c r="Z135" s="137">
        <f t="shared" si="34"/>
        <v>0.82</v>
      </c>
      <c r="AA135" s="137">
        <f t="shared" si="34"/>
        <v>0.82</v>
      </c>
      <c r="AB135" s="137">
        <f t="shared" si="34"/>
        <v>0.82</v>
      </c>
      <c r="AC135" s="137">
        <f t="shared" si="34"/>
        <v>0.82</v>
      </c>
      <c r="AD135" s="137">
        <f t="shared" si="34"/>
        <v>0.82</v>
      </c>
      <c r="AE135" s="137">
        <f t="shared" si="34"/>
        <v>0.82</v>
      </c>
      <c r="AF135" s="137">
        <f t="shared" si="34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5">B137</f>
        <v>2</v>
      </c>
      <c r="D137" s="137">
        <f t="shared" si="35"/>
        <v>2</v>
      </c>
      <c r="E137" s="137">
        <f t="shared" si="35"/>
        <v>2</v>
      </c>
      <c r="F137" s="137">
        <f t="shared" si="35"/>
        <v>2</v>
      </c>
      <c r="G137" s="137">
        <f t="shared" si="35"/>
        <v>2</v>
      </c>
      <c r="H137" s="137">
        <f t="shared" si="35"/>
        <v>2</v>
      </c>
      <c r="I137" s="137">
        <f t="shared" si="35"/>
        <v>2</v>
      </c>
      <c r="J137" s="137">
        <f t="shared" si="35"/>
        <v>2</v>
      </c>
      <c r="K137" s="137">
        <f t="shared" si="35"/>
        <v>2</v>
      </c>
      <c r="L137" s="137">
        <f t="shared" si="35"/>
        <v>2</v>
      </c>
      <c r="M137" s="137">
        <f t="shared" si="35"/>
        <v>2</v>
      </c>
      <c r="N137" s="137">
        <f t="shared" si="35"/>
        <v>2</v>
      </c>
      <c r="O137" s="137">
        <f t="shared" si="35"/>
        <v>2</v>
      </c>
      <c r="P137" s="137">
        <f t="shared" si="35"/>
        <v>2</v>
      </c>
      <c r="Q137" s="137">
        <f t="shared" si="35"/>
        <v>2</v>
      </c>
      <c r="R137" s="137">
        <f t="shared" si="35"/>
        <v>2</v>
      </c>
      <c r="S137" s="137">
        <f t="shared" ref="S137:AF143" si="36">R137</f>
        <v>2</v>
      </c>
      <c r="T137" s="137">
        <f t="shared" si="36"/>
        <v>2</v>
      </c>
      <c r="U137" s="137">
        <f t="shared" si="36"/>
        <v>2</v>
      </c>
      <c r="V137" s="137">
        <f t="shared" si="36"/>
        <v>2</v>
      </c>
      <c r="W137" s="137">
        <f t="shared" si="36"/>
        <v>2</v>
      </c>
      <c r="X137" s="137">
        <f t="shared" si="36"/>
        <v>2</v>
      </c>
      <c r="Y137" s="137">
        <f t="shared" si="36"/>
        <v>2</v>
      </c>
      <c r="Z137" s="137">
        <f t="shared" si="36"/>
        <v>2</v>
      </c>
      <c r="AA137" s="137">
        <f t="shared" si="36"/>
        <v>2</v>
      </c>
      <c r="AB137" s="137">
        <f t="shared" si="36"/>
        <v>2</v>
      </c>
      <c r="AC137" s="137">
        <f t="shared" si="36"/>
        <v>2</v>
      </c>
      <c r="AD137" s="137">
        <f t="shared" si="36"/>
        <v>2</v>
      </c>
      <c r="AE137" s="137">
        <f t="shared" si="36"/>
        <v>2</v>
      </c>
      <c r="AF137" s="137">
        <f t="shared" si="36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5"/>
        <v>5.61</v>
      </c>
      <c r="D138" s="137">
        <f t="shared" si="35"/>
        <v>5.61</v>
      </c>
      <c r="E138" s="137">
        <f t="shared" si="35"/>
        <v>5.61</v>
      </c>
      <c r="F138" s="137">
        <f t="shared" si="35"/>
        <v>5.61</v>
      </c>
      <c r="G138" s="137">
        <f t="shared" si="35"/>
        <v>5.61</v>
      </c>
      <c r="H138" s="137">
        <f t="shared" si="35"/>
        <v>5.61</v>
      </c>
      <c r="I138" s="137">
        <f t="shared" si="35"/>
        <v>5.61</v>
      </c>
      <c r="J138" s="137">
        <f t="shared" si="35"/>
        <v>5.61</v>
      </c>
      <c r="K138" s="137">
        <f t="shared" si="35"/>
        <v>5.61</v>
      </c>
      <c r="L138" s="137">
        <f t="shared" si="35"/>
        <v>5.61</v>
      </c>
      <c r="M138" s="137">
        <f t="shared" si="35"/>
        <v>5.61</v>
      </c>
      <c r="N138" s="137">
        <f t="shared" si="35"/>
        <v>5.61</v>
      </c>
      <c r="O138" s="137">
        <f t="shared" si="35"/>
        <v>5.61</v>
      </c>
      <c r="P138" s="137">
        <f t="shared" si="35"/>
        <v>5.61</v>
      </c>
      <c r="Q138" s="137">
        <f t="shared" si="35"/>
        <v>5.61</v>
      </c>
      <c r="R138" s="137">
        <f t="shared" si="35"/>
        <v>5.61</v>
      </c>
      <c r="S138" s="137">
        <f t="shared" si="36"/>
        <v>5.61</v>
      </c>
      <c r="T138" s="137">
        <f t="shared" si="36"/>
        <v>5.61</v>
      </c>
      <c r="U138" s="137">
        <f t="shared" si="36"/>
        <v>5.61</v>
      </c>
      <c r="V138" s="137">
        <f t="shared" si="36"/>
        <v>5.61</v>
      </c>
      <c r="W138" s="137">
        <f t="shared" si="36"/>
        <v>5.61</v>
      </c>
      <c r="X138" s="137">
        <f t="shared" si="36"/>
        <v>5.61</v>
      </c>
      <c r="Y138" s="137">
        <f t="shared" si="36"/>
        <v>5.61</v>
      </c>
      <c r="Z138" s="137">
        <f t="shared" si="36"/>
        <v>5.61</v>
      </c>
      <c r="AA138" s="137">
        <f t="shared" si="36"/>
        <v>5.61</v>
      </c>
      <c r="AB138" s="137">
        <f t="shared" si="36"/>
        <v>5.61</v>
      </c>
      <c r="AC138" s="137">
        <f t="shared" si="36"/>
        <v>5.61</v>
      </c>
      <c r="AD138" s="137">
        <f t="shared" si="36"/>
        <v>5.61</v>
      </c>
      <c r="AE138" s="137">
        <f t="shared" si="36"/>
        <v>5.61</v>
      </c>
      <c r="AF138" s="137">
        <f t="shared" si="36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5"/>
        <v>1.25</v>
      </c>
      <c r="D139" s="137">
        <f t="shared" si="35"/>
        <v>1.25</v>
      </c>
      <c r="E139" s="137">
        <f t="shared" si="35"/>
        <v>1.25</v>
      </c>
      <c r="F139" s="137">
        <f t="shared" si="35"/>
        <v>1.25</v>
      </c>
      <c r="G139" s="137">
        <f t="shared" si="35"/>
        <v>1.25</v>
      </c>
      <c r="H139" s="137">
        <f t="shared" si="35"/>
        <v>1.25</v>
      </c>
      <c r="I139" s="137">
        <f t="shared" si="35"/>
        <v>1.25</v>
      </c>
      <c r="J139" s="137">
        <f t="shared" si="35"/>
        <v>1.25</v>
      </c>
      <c r="K139" s="137">
        <f t="shared" si="35"/>
        <v>1.25</v>
      </c>
      <c r="L139" s="137">
        <f t="shared" si="35"/>
        <v>1.25</v>
      </c>
      <c r="M139" s="137">
        <f t="shared" si="35"/>
        <v>1.25</v>
      </c>
      <c r="N139" s="137">
        <f t="shared" si="35"/>
        <v>1.25</v>
      </c>
      <c r="O139" s="137">
        <f t="shared" si="35"/>
        <v>1.25</v>
      </c>
      <c r="P139" s="137">
        <f t="shared" si="35"/>
        <v>1.25</v>
      </c>
      <c r="Q139" s="137">
        <f t="shared" si="35"/>
        <v>1.25</v>
      </c>
      <c r="R139" s="137">
        <f t="shared" si="35"/>
        <v>1.25</v>
      </c>
      <c r="S139" s="137">
        <f t="shared" si="36"/>
        <v>1.25</v>
      </c>
      <c r="T139" s="137">
        <f t="shared" si="36"/>
        <v>1.25</v>
      </c>
      <c r="U139" s="137">
        <f t="shared" si="36"/>
        <v>1.25</v>
      </c>
      <c r="V139" s="137">
        <f t="shared" si="36"/>
        <v>1.25</v>
      </c>
      <c r="W139" s="137">
        <f t="shared" si="36"/>
        <v>1.25</v>
      </c>
      <c r="X139" s="137">
        <f t="shared" si="36"/>
        <v>1.25</v>
      </c>
      <c r="Y139" s="137">
        <f t="shared" si="36"/>
        <v>1.25</v>
      </c>
      <c r="Z139" s="137">
        <f t="shared" si="36"/>
        <v>1.25</v>
      </c>
      <c r="AA139" s="137">
        <f t="shared" si="36"/>
        <v>1.25</v>
      </c>
      <c r="AB139" s="137">
        <f t="shared" si="36"/>
        <v>1.25</v>
      </c>
      <c r="AC139" s="137">
        <f t="shared" si="36"/>
        <v>1.25</v>
      </c>
      <c r="AD139" s="137">
        <f t="shared" si="36"/>
        <v>1.25</v>
      </c>
      <c r="AE139" s="137">
        <f t="shared" si="36"/>
        <v>1.25</v>
      </c>
      <c r="AF139" s="137">
        <f t="shared" si="36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5"/>
        <v>1.25</v>
      </c>
      <c r="D140" s="137">
        <f t="shared" si="35"/>
        <v>1.25</v>
      </c>
      <c r="E140" s="137">
        <f t="shared" si="35"/>
        <v>1.25</v>
      </c>
      <c r="F140" s="137">
        <f t="shared" si="35"/>
        <v>1.25</v>
      </c>
      <c r="G140" s="137">
        <f t="shared" si="35"/>
        <v>1.25</v>
      </c>
      <c r="H140" s="137">
        <f t="shared" si="35"/>
        <v>1.25</v>
      </c>
      <c r="I140" s="137">
        <f t="shared" si="35"/>
        <v>1.25</v>
      </c>
      <c r="J140" s="137">
        <f t="shared" si="35"/>
        <v>1.25</v>
      </c>
      <c r="K140" s="137">
        <f t="shared" si="35"/>
        <v>1.25</v>
      </c>
      <c r="L140" s="137">
        <f t="shared" si="35"/>
        <v>1.25</v>
      </c>
      <c r="M140" s="137">
        <f t="shared" si="35"/>
        <v>1.25</v>
      </c>
      <c r="N140" s="137">
        <f t="shared" si="35"/>
        <v>1.25</v>
      </c>
      <c r="O140" s="137">
        <f t="shared" si="35"/>
        <v>1.25</v>
      </c>
      <c r="P140" s="137">
        <f t="shared" si="35"/>
        <v>1.25</v>
      </c>
      <c r="Q140" s="137">
        <f t="shared" si="35"/>
        <v>1.25</v>
      </c>
      <c r="R140" s="137">
        <f t="shared" si="35"/>
        <v>1.25</v>
      </c>
      <c r="S140" s="137">
        <f t="shared" si="36"/>
        <v>1.25</v>
      </c>
      <c r="T140" s="137">
        <f t="shared" si="36"/>
        <v>1.25</v>
      </c>
      <c r="U140" s="137">
        <f t="shared" si="36"/>
        <v>1.25</v>
      </c>
      <c r="V140" s="137">
        <f t="shared" si="36"/>
        <v>1.25</v>
      </c>
      <c r="W140" s="137">
        <f t="shared" si="36"/>
        <v>1.25</v>
      </c>
      <c r="X140" s="137">
        <f t="shared" si="36"/>
        <v>1.25</v>
      </c>
      <c r="Y140" s="137">
        <f t="shared" si="36"/>
        <v>1.25</v>
      </c>
      <c r="Z140" s="137">
        <f t="shared" si="36"/>
        <v>1.25</v>
      </c>
      <c r="AA140" s="137">
        <f t="shared" si="36"/>
        <v>1.25</v>
      </c>
      <c r="AB140" s="137">
        <f t="shared" si="36"/>
        <v>1.25</v>
      </c>
      <c r="AC140" s="137">
        <f t="shared" si="36"/>
        <v>1.25</v>
      </c>
      <c r="AD140" s="137">
        <f t="shared" si="36"/>
        <v>1.25</v>
      </c>
      <c r="AE140" s="137">
        <f t="shared" si="36"/>
        <v>1.25</v>
      </c>
      <c r="AF140" s="137">
        <f t="shared" si="36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5"/>
        <v>1.46</v>
      </c>
      <c r="D141" s="137">
        <f t="shared" si="35"/>
        <v>1.46</v>
      </c>
      <c r="E141" s="137">
        <f t="shared" si="35"/>
        <v>1.46</v>
      </c>
      <c r="F141" s="137">
        <f t="shared" si="35"/>
        <v>1.46</v>
      </c>
      <c r="G141" s="137">
        <f t="shared" si="35"/>
        <v>1.46</v>
      </c>
      <c r="H141" s="137">
        <f t="shared" si="35"/>
        <v>1.46</v>
      </c>
      <c r="I141" s="137">
        <f t="shared" si="35"/>
        <v>1.46</v>
      </c>
      <c r="J141" s="137">
        <f t="shared" si="35"/>
        <v>1.46</v>
      </c>
      <c r="K141" s="137">
        <f t="shared" si="35"/>
        <v>1.46</v>
      </c>
      <c r="L141" s="137">
        <f t="shared" si="35"/>
        <v>1.46</v>
      </c>
      <c r="M141" s="137">
        <f t="shared" si="35"/>
        <v>1.46</v>
      </c>
      <c r="N141" s="137">
        <f t="shared" si="35"/>
        <v>1.46</v>
      </c>
      <c r="O141" s="137">
        <f t="shared" si="35"/>
        <v>1.46</v>
      </c>
      <c r="P141" s="137">
        <f t="shared" si="35"/>
        <v>1.46</v>
      </c>
      <c r="Q141" s="137">
        <f t="shared" si="35"/>
        <v>1.46</v>
      </c>
      <c r="R141" s="137">
        <f t="shared" si="35"/>
        <v>1.46</v>
      </c>
      <c r="S141" s="137">
        <f t="shared" si="36"/>
        <v>1.46</v>
      </c>
      <c r="T141" s="137">
        <f t="shared" si="36"/>
        <v>1.46</v>
      </c>
      <c r="U141" s="137">
        <f t="shared" si="36"/>
        <v>1.46</v>
      </c>
      <c r="V141" s="137">
        <f t="shared" si="36"/>
        <v>1.46</v>
      </c>
      <c r="W141" s="137">
        <f t="shared" si="36"/>
        <v>1.46</v>
      </c>
      <c r="X141" s="137">
        <f t="shared" si="36"/>
        <v>1.46</v>
      </c>
      <c r="Y141" s="137">
        <f t="shared" si="36"/>
        <v>1.46</v>
      </c>
      <c r="Z141" s="137">
        <f t="shared" si="36"/>
        <v>1.46</v>
      </c>
      <c r="AA141" s="137">
        <f t="shared" si="36"/>
        <v>1.46</v>
      </c>
      <c r="AB141" s="137">
        <f t="shared" si="36"/>
        <v>1.46</v>
      </c>
      <c r="AC141" s="137">
        <f t="shared" si="36"/>
        <v>1.46</v>
      </c>
      <c r="AD141" s="137">
        <f t="shared" si="36"/>
        <v>1.46</v>
      </c>
      <c r="AE141" s="137">
        <f t="shared" si="36"/>
        <v>1.46</v>
      </c>
      <c r="AF141" s="137">
        <f t="shared" si="36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5"/>
        <v>3</v>
      </c>
      <c r="D142" s="137">
        <f t="shared" si="35"/>
        <v>3</v>
      </c>
      <c r="E142" s="137">
        <f t="shared" si="35"/>
        <v>3</v>
      </c>
      <c r="F142" s="137">
        <f t="shared" si="35"/>
        <v>3</v>
      </c>
      <c r="G142" s="137">
        <f t="shared" si="35"/>
        <v>3</v>
      </c>
      <c r="H142" s="137">
        <f t="shared" si="35"/>
        <v>3</v>
      </c>
      <c r="I142" s="137">
        <f t="shared" si="35"/>
        <v>3</v>
      </c>
      <c r="J142" s="137">
        <f t="shared" si="35"/>
        <v>3</v>
      </c>
      <c r="K142" s="137">
        <f t="shared" si="35"/>
        <v>3</v>
      </c>
      <c r="L142" s="137">
        <f t="shared" si="35"/>
        <v>3</v>
      </c>
      <c r="M142" s="137">
        <f t="shared" si="35"/>
        <v>3</v>
      </c>
      <c r="N142" s="137">
        <f t="shared" si="35"/>
        <v>3</v>
      </c>
      <c r="O142" s="137">
        <f t="shared" si="35"/>
        <v>3</v>
      </c>
      <c r="P142" s="137">
        <f t="shared" si="35"/>
        <v>3</v>
      </c>
      <c r="Q142" s="137">
        <f t="shared" si="35"/>
        <v>3</v>
      </c>
      <c r="R142" s="137">
        <f t="shared" si="35"/>
        <v>3</v>
      </c>
      <c r="S142" s="137">
        <f t="shared" si="36"/>
        <v>3</v>
      </c>
      <c r="T142" s="137">
        <f t="shared" si="36"/>
        <v>3</v>
      </c>
      <c r="U142" s="137">
        <f t="shared" si="36"/>
        <v>3</v>
      </c>
      <c r="V142" s="137">
        <f t="shared" si="36"/>
        <v>3</v>
      </c>
      <c r="W142" s="137">
        <f t="shared" si="36"/>
        <v>3</v>
      </c>
      <c r="X142" s="137">
        <f t="shared" si="36"/>
        <v>3</v>
      </c>
      <c r="Y142" s="137">
        <f t="shared" si="36"/>
        <v>3</v>
      </c>
      <c r="Z142" s="137">
        <f t="shared" si="36"/>
        <v>3</v>
      </c>
      <c r="AA142" s="137">
        <f t="shared" si="36"/>
        <v>3</v>
      </c>
      <c r="AB142" s="137">
        <f t="shared" si="36"/>
        <v>3</v>
      </c>
      <c r="AC142" s="137">
        <f t="shared" si="36"/>
        <v>3</v>
      </c>
      <c r="AD142" s="137">
        <f t="shared" si="36"/>
        <v>3</v>
      </c>
      <c r="AE142" s="137">
        <f t="shared" si="36"/>
        <v>3</v>
      </c>
      <c r="AF142" s="137">
        <f t="shared" si="36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5"/>
        <v>3.3</v>
      </c>
      <c r="D143" s="137">
        <f t="shared" si="35"/>
        <v>3.3</v>
      </c>
      <c r="E143" s="137">
        <f t="shared" si="35"/>
        <v>3.3</v>
      </c>
      <c r="F143" s="137">
        <f t="shared" si="35"/>
        <v>3.3</v>
      </c>
      <c r="G143" s="137">
        <f t="shared" si="35"/>
        <v>3.3</v>
      </c>
      <c r="H143" s="137">
        <f t="shared" si="35"/>
        <v>3.3</v>
      </c>
      <c r="I143" s="137">
        <f t="shared" si="35"/>
        <v>3.3</v>
      </c>
      <c r="J143" s="137">
        <f t="shared" si="35"/>
        <v>3.3</v>
      </c>
      <c r="K143" s="137">
        <f t="shared" si="35"/>
        <v>3.3</v>
      </c>
      <c r="L143" s="137">
        <f t="shared" si="35"/>
        <v>3.3</v>
      </c>
      <c r="M143" s="137">
        <f t="shared" si="35"/>
        <v>3.3</v>
      </c>
      <c r="N143" s="137">
        <f t="shared" si="35"/>
        <v>3.3</v>
      </c>
      <c r="O143" s="137">
        <f t="shared" si="35"/>
        <v>3.3</v>
      </c>
      <c r="P143" s="137">
        <f t="shared" si="35"/>
        <v>3.3</v>
      </c>
      <c r="Q143" s="137">
        <f t="shared" si="35"/>
        <v>3.3</v>
      </c>
      <c r="R143" s="137">
        <f t="shared" si="35"/>
        <v>3.3</v>
      </c>
      <c r="S143" s="137">
        <f t="shared" si="36"/>
        <v>3.3</v>
      </c>
      <c r="T143" s="137">
        <f t="shared" si="36"/>
        <v>3.3</v>
      </c>
      <c r="U143" s="137">
        <f t="shared" si="36"/>
        <v>3.3</v>
      </c>
      <c r="V143" s="137">
        <f t="shared" si="36"/>
        <v>3.3</v>
      </c>
      <c r="W143" s="137">
        <f t="shared" si="36"/>
        <v>3.3</v>
      </c>
      <c r="X143" s="137">
        <f t="shared" si="36"/>
        <v>3.3</v>
      </c>
      <c r="Y143" s="137">
        <f t="shared" si="36"/>
        <v>3.3</v>
      </c>
      <c r="Z143" s="137">
        <f t="shared" si="36"/>
        <v>3.3</v>
      </c>
      <c r="AA143" s="137">
        <f t="shared" si="36"/>
        <v>3.3</v>
      </c>
      <c r="AB143" s="137">
        <f t="shared" si="36"/>
        <v>3.3</v>
      </c>
      <c r="AC143" s="137">
        <f t="shared" si="36"/>
        <v>3.3</v>
      </c>
      <c r="AD143" s="137">
        <f t="shared" si="36"/>
        <v>3.3</v>
      </c>
      <c r="AE143" s="137">
        <f t="shared" si="36"/>
        <v>3.3</v>
      </c>
      <c r="AF143" s="137">
        <f t="shared" si="36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7">B145</f>
        <v>1.76</v>
      </c>
      <c r="D145" s="137">
        <f t="shared" si="37"/>
        <v>1.76</v>
      </c>
      <c r="E145" s="137">
        <f t="shared" si="37"/>
        <v>1.76</v>
      </c>
      <c r="F145" s="137">
        <f t="shared" si="37"/>
        <v>1.76</v>
      </c>
      <c r="G145" s="137">
        <f t="shared" si="37"/>
        <v>1.76</v>
      </c>
      <c r="H145" s="137">
        <f t="shared" si="37"/>
        <v>1.76</v>
      </c>
      <c r="I145" s="137">
        <f t="shared" si="37"/>
        <v>1.76</v>
      </c>
      <c r="J145" s="137">
        <f t="shared" si="37"/>
        <v>1.76</v>
      </c>
      <c r="K145" s="137">
        <f t="shared" si="37"/>
        <v>1.76</v>
      </c>
      <c r="L145" s="137">
        <f t="shared" si="37"/>
        <v>1.76</v>
      </c>
      <c r="M145" s="137">
        <f t="shared" si="37"/>
        <v>1.76</v>
      </c>
      <c r="N145" s="137">
        <f t="shared" si="37"/>
        <v>1.76</v>
      </c>
      <c r="O145" s="137">
        <f t="shared" si="37"/>
        <v>1.76</v>
      </c>
      <c r="P145" s="137">
        <f t="shared" si="37"/>
        <v>1.76</v>
      </c>
      <c r="Q145" s="137">
        <f t="shared" si="37"/>
        <v>1.76</v>
      </c>
      <c r="R145" s="137">
        <f t="shared" si="37"/>
        <v>1.76</v>
      </c>
      <c r="S145" s="137">
        <f t="shared" ref="S145:AF146" si="38">R145</f>
        <v>1.76</v>
      </c>
      <c r="T145" s="137">
        <f t="shared" si="38"/>
        <v>1.76</v>
      </c>
      <c r="U145" s="137">
        <f t="shared" si="38"/>
        <v>1.76</v>
      </c>
      <c r="V145" s="137">
        <f t="shared" si="38"/>
        <v>1.76</v>
      </c>
      <c r="W145" s="137">
        <f t="shared" si="38"/>
        <v>1.76</v>
      </c>
      <c r="X145" s="137">
        <f t="shared" si="38"/>
        <v>1.76</v>
      </c>
      <c r="Y145" s="137">
        <f t="shared" si="38"/>
        <v>1.76</v>
      </c>
      <c r="Z145" s="137">
        <f t="shared" si="38"/>
        <v>1.76</v>
      </c>
      <c r="AA145" s="137">
        <f t="shared" si="38"/>
        <v>1.76</v>
      </c>
      <c r="AB145" s="137">
        <f t="shared" si="38"/>
        <v>1.76</v>
      </c>
      <c r="AC145" s="137">
        <f t="shared" si="38"/>
        <v>1.76</v>
      </c>
      <c r="AD145" s="137">
        <f t="shared" si="38"/>
        <v>1.76</v>
      </c>
      <c r="AE145" s="137">
        <f t="shared" si="38"/>
        <v>1.76</v>
      </c>
      <c r="AF145" s="137">
        <f t="shared" si="38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7"/>
        <v>0</v>
      </c>
      <c r="D146" s="137">
        <f t="shared" si="37"/>
        <v>0</v>
      </c>
      <c r="E146" s="137">
        <f t="shared" si="37"/>
        <v>0</v>
      </c>
      <c r="F146" s="137">
        <f t="shared" si="37"/>
        <v>0</v>
      </c>
      <c r="G146" s="137">
        <f t="shared" si="37"/>
        <v>0</v>
      </c>
      <c r="H146" s="137">
        <f t="shared" si="37"/>
        <v>0</v>
      </c>
      <c r="I146" s="137">
        <f t="shared" si="37"/>
        <v>0</v>
      </c>
      <c r="J146" s="137">
        <f t="shared" si="37"/>
        <v>0</v>
      </c>
      <c r="K146" s="137">
        <f t="shared" si="37"/>
        <v>0</v>
      </c>
      <c r="L146" s="137">
        <f t="shared" si="37"/>
        <v>0</v>
      </c>
      <c r="M146" s="137">
        <f t="shared" si="37"/>
        <v>0</v>
      </c>
      <c r="N146" s="137">
        <f t="shared" si="37"/>
        <v>0</v>
      </c>
      <c r="O146" s="137">
        <f t="shared" si="37"/>
        <v>0</v>
      </c>
      <c r="P146" s="137">
        <f t="shared" si="37"/>
        <v>0</v>
      </c>
      <c r="Q146" s="137">
        <f t="shared" si="37"/>
        <v>0</v>
      </c>
      <c r="R146" s="137">
        <f t="shared" si="37"/>
        <v>0</v>
      </c>
      <c r="S146" s="137">
        <f t="shared" si="38"/>
        <v>0</v>
      </c>
      <c r="T146" s="137">
        <f t="shared" si="38"/>
        <v>0</v>
      </c>
      <c r="U146" s="137">
        <f t="shared" si="38"/>
        <v>0</v>
      </c>
      <c r="V146" s="137">
        <f t="shared" si="38"/>
        <v>0</v>
      </c>
      <c r="W146" s="137">
        <f t="shared" si="38"/>
        <v>0</v>
      </c>
      <c r="X146" s="137">
        <f t="shared" si="38"/>
        <v>0</v>
      </c>
      <c r="Y146" s="137">
        <f t="shared" si="38"/>
        <v>0</v>
      </c>
      <c r="Z146" s="137">
        <f t="shared" si="38"/>
        <v>0</v>
      </c>
      <c r="AA146" s="137">
        <f t="shared" si="38"/>
        <v>0</v>
      </c>
      <c r="AB146" s="137">
        <f t="shared" si="38"/>
        <v>0</v>
      </c>
      <c r="AC146" s="137">
        <f t="shared" si="38"/>
        <v>0</v>
      </c>
      <c r="AD146" s="137">
        <f t="shared" si="38"/>
        <v>0</v>
      </c>
      <c r="AE146" s="137">
        <f t="shared" si="38"/>
        <v>0</v>
      </c>
      <c r="AF146" s="137">
        <f t="shared" si="38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9">B148</f>
        <v>0.1</v>
      </c>
      <c r="D148" s="137">
        <f t="shared" si="39"/>
        <v>0.1</v>
      </c>
      <c r="E148" s="137">
        <f t="shared" si="39"/>
        <v>0.1</v>
      </c>
      <c r="F148" s="137">
        <f t="shared" si="39"/>
        <v>0.1</v>
      </c>
      <c r="G148" s="137">
        <f t="shared" si="39"/>
        <v>0.1</v>
      </c>
      <c r="H148" s="137">
        <f t="shared" si="39"/>
        <v>0.1</v>
      </c>
      <c r="I148" s="137">
        <f t="shared" si="39"/>
        <v>0.1</v>
      </c>
      <c r="J148" s="137">
        <f t="shared" si="39"/>
        <v>0.1</v>
      </c>
      <c r="K148" s="137">
        <f t="shared" si="39"/>
        <v>0.1</v>
      </c>
      <c r="L148" s="137">
        <f t="shared" si="39"/>
        <v>0.1</v>
      </c>
      <c r="M148" s="137">
        <f t="shared" si="39"/>
        <v>0.1</v>
      </c>
      <c r="N148" s="137">
        <f t="shared" si="39"/>
        <v>0.1</v>
      </c>
      <c r="O148" s="137">
        <f t="shared" si="39"/>
        <v>0.1</v>
      </c>
      <c r="P148" s="137">
        <f t="shared" si="39"/>
        <v>0.1</v>
      </c>
      <c r="Q148" s="137">
        <f t="shared" si="39"/>
        <v>0.1</v>
      </c>
      <c r="R148" s="137">
        <f t="shared" si="39"/>
        <v>0.1</v>
      </c>
      <c r="S148" s="137">
        <f t="shared" ref="S148:AF151" si="40">R148</f>
        <v>0.1</v>
      </c>
      <c r="T148" s="137">
        <f t="shared" si="40"/>
        <v>0.1</v>
      </c>
      <c r="U148" s="137">
        <f t="shared" si="40"/>
        <v>0.1</v>
      </c>
      <c r="V148" s="137">
        <f t="shared" si="40"/>
        <v>0.1</v>
      </c>
      <c r="W148" s="137">
        <f t="shared" si="40"/>
        <v>0.1</v>
      </c>
      <c r="X148" s="137">
        <f t="shared" si="40"/>
        <v>0.1</v>
      </c>
      <c r="Y148" s="137">
        <f t="shared" si="40"/>
        <v>0.1</v>
      </c>
      <c r="Z148" s="137">
        <f t="shared" si="40"/>
        <v>0.1</v>
      </c>
      <c r="AA148" s="137">
        <f t="shared" si="40"/>
        <v>0.1</v>
      </c>
      <c r="AB148" s="137">
        <f t="shared" si="40"/>
        <v>0.1</v>
      </c>
      <c r="AC148" s="137">
        <f t="shared" si="40"/>
        <v>0.1</v>
      </c>
      <c r="AD148" s="137">
        <f t="shared" si="40"/>
        <v>0.1</v>
      </c>
      <c r="AE148" s="137">
        <f t="shared" si="40"/>
        <v>0.1</v>
      </c>
      <c r="AF148" s="137">
        <f t="shared" si="40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9"/>
        <v>2.0499999999999998</v>
      </c>
      <c r="D149" s="137">
        <f t="shared" si="39"/>
        <v>2.0499999999999998</v>
      </c>
      <c r="E149" s="137">
        <f t="shared" si="39"/>
        <v>2.0499999999999998</v>
      </c>
      <c r="F149" s="137">
        <f t="shared" si="39"/>
        <v>2.0499999999999998</v>
      </c>
      <c r="G149" s="137">
        <f t="shared" si="39"/>
        <v>2.0499999999999998</v>
      </c>
      <c r="H149" s="137">
        <f t="shared" si="39"/>
        <v>2.0499999999999998</v>
      </c>
      <c r="I149" s="137">
        <f t="shared" si="39"/>
        <v>2.0499999999999998</v>
      </c>
      <c r="J149" s="137">
        <f t="shared" si="39"/>
        <v>2.0499999999999998</v>
      </c>
      <c r="K149" s="137">
        <f t="shared" si="39"/>
        <v>2.0499999999999998</v>
      </c>
      <c r="L149" s="137">
        <f t="shared" si="39"/>
        <v>2.0499999999999998</v>
      </c>
      <c r="M149" s="137">
        <f t="shared" si="39"/>
        <v>2.0499999999999998</v>
      </c>
      <c r="N149" s="137">
        <f t="shared" si="39"/>
        <v>2.0499999999999998</v>
      </c>
      <c r="O149" s="137">
        <f t="shared" si="39"/>
        <v>2.0499999999999998</v>
      </c>
      <c r="P149" s="137">
        <f t="shared" si="39"/>
        <v>2.0499999999999998</v>
      </c>
      <c r="Q149" s="137">
        <f t="shared" si="39"/>
        <v>2.0499999999999998</v>
      </c>
      <c r="R149" s="137">
        <f t="shared" si="39"/>
        <v>2.0499999999999998</v>
      </c>
      <c r="S149" s="137">
        <f t="shared" si="40"/>
        <v>2.0499999999999998</v>
      </c>
      <c r="T149" s="137">
        <f t="shared" si="40"/>
        <v>2.0499999999999998</v>
      </c>
      <c r="U149" s="137">
        <f t="shared" si="40"/>
        <v>2.0499999999999998</v>
      </c>
      <c r="V149" s="137">
        <f t="shared" si="40"/>
        <v>2.0499999999999998</v>
      </c>
      <c r="W149" s="137">
        <f t="shared" si="40"/>
        <v>2.0499999999999998</v>
      </c>
      <c r="X149" s="137">
        <f t="shared" si="40"/>
        <v>2.0499999999999998</v>
      </c>
      <c r="Y149" s="137">
        <f t="shared" si="40"/>
        <v>2.0499999999999998</v>
      </c>
      <c r="Z149" s="137">
        <f t="shared" si="40"/>
        <v>2.0499999999999998</v>
      </c>
      <c r="AA149" s="137">
        <f t="shared" si="40"/>
        <v>2.0499999999999998</v>
      </c>
      <c r="AB149" s="137">
        <f t="shared" si="40"/>
        <v>2.0499999999999998</v>
      </c>
      <c r="AC149" s="137">
        <f t="shared" si="40"/>
        <v>2.0499999999999998</v>
      </c>
      <c r="AD149" s="137">
        <f t="shared" si="40"/>
        <v>2.0499999999999998</v>
      </c>
      <c r="AE149" s="137">
        <f t="shared" si="40"/>
        <v>2.0499999999999998</v>
      </c>
      <c r="AF149" s="137">
        <f t="shared" si="40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9"/>
        <v>2.7</v>
      </c>
      <c r="D150" s="137">
        <f t="shared" si="39"/>
        <v>2.7</v>
      </c>
      <c r="E150" s="137">
        <f t="shared" si="39"/>
        <v>2.7</v>
      </c>
      <c r="F150" s="137">
        <f t="shared" si="39"/>
        <v>2.7</v>
      </c>
      <c r="G150" s="137">
        <f t="shared" si="39"/>
        <v>2.7</v>
      </c>
      <c r="H150" s="137">
        <f t="shared" si="39"/>
        <v>2.7</v>
      </c>
      <c r="I150" s="137">
        <f t="shared" si="39"/>
        <v>2.7</v>
      </c>
      <c r="J150" s="137">
        <f t="shared" si="39"/>
        <v>2.7</v>
      </c>
      <c r="K150" s="137">
        <f t="shared" si="39"/>
        <v>2.7</v>
      </c>
      <c r="L150" s="137">
        <f t="shared" si="39"/>
        <v>2.7</v>
      </c>
      <c r="M150" s="137">
        <f t="shared" si="39"/>
        <v>2.7</v>
      </c>
      <c r="N150" s="137">
        <f t="shared" si="39"/>
        <v>2.7</v>
      </c>
      <c r="O150" s="137">
        <f t="shared" si="39"/>
        <v>2.7</v>
      </c>
      <c r="P150" s="137">
        <f t="shared" si="39"/>
        <v>2.7</v>
      </c>
      <c r="Q150" s="137">
        <f t="shared" si="39"/>
        <v>2.7</v>
      </c>
      <c r="R150" s="137">
        <f t="shared" si="39"/>
        <v>2.7</v>
      </c>
      <c r="S150" s="137">
        <f t="shared" si="40"/>
        <v>2.7</v>
      </c>
      <c r="T150" s="137">
        <f t="shared" si="40"/>
        <v>2.7</v>
      </c>
      <c r="U150" s="137">
        <f t="shared" si="40"/>
        <v>2.7</v>
      </c>
      <c r="V150" s="137">
        <f t="shared" si="40"/>
        <v>2.7</v>
      </c>
      <c r="W150" s="137">
        <f t="shared" si="40"/>
        <v>2.7</v>
      </c>
      <c r="X150" s="137">
        <f t="shared" si="40"/>
        <v>2.7</v>
      </c>
      <c r="Y150" s="137">
        <f t="shared" si="40"/>
        <v>2.7</v>
      </c>
      <c r="Z150" s="137">
        <f t="shared" si="40"/>
        <v>2.7</v>
      </c>
      <c r="AA150" s="137">
        <f t="shared" si="40"/>
        <v>2.7</v>
      </c>
      <c r="AB150" s="137">
        <f t="shared" si="40"/>
        <v>2.7</v>
      </c>
      <c r="AC150" s="137">
        <f t="shared" si="40"/>
        <v>2.7</v>
      </c>
      <c r="AD150" s="137">
        <f t="shared" si="40"/>
        <v>2.7</v>
      </c>
      <c r="AE150" s="137">
        <f t="shared" si="40"/>
        <v>2.7</v>
      </c>
      <c r="AF150" s="137">
        <f t="shared" si="40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9"/>
        <v>2.15</v>
      </c>
      <c r="D151" s="137">
        <f t="shared" si="39"/>
        <v>2.15</v>
      </c>
      <c r="E151" s="137">
        <f t="shared" si="39"/>
        <v>2.15</v>
      </c>
      <c r="F151" s="137">
        <f t="shared" si="39"/>
        <v>2.15</v>
      </c>
      <c r="G151" s="137">
        <f t="shared" si="39"/>
        <v>2.15</v>
      </c>
      <c r="H151" s="137">
        <f t="shared" si="39"/>
        <v>2.15</v>
      </c>
      <c r="I151" s="137">
        <f t="shared" si="39"/>
        <v>2.15</v>
      </c>
      <c r="J151" s="137">
        <f t="shared" si="39"/>
        <v>2.15</v>
      </c>
      <c r="K151" s="137">
        <f t="shared" si="39"/>
        <v>2.15</v>
      </c>
      <c r="L151" s="137">
        <f t="shared" si="39"/>
        <v>2.15</v>
      </c>
      <c r="M151" s="137">
        <f t="shared" si="39"/>
        <v>2.15</v>
      </c>
      <c r="N151" s="137">
        <f t="shared" si="39"/>
        <v>2.15</v>
      </c>
      <c r="O151" s="137">
        <f t="shared" si="39"/>
        <v>2.15</v>
      </c>
      <c r="P151" s="137">
        <f t="shared" si="39"/>
        <v>2.15</v>
      </c>
      <c r="Q151" s="137">
        <f t="shared" si="39"/>
        <v>2.15</v>
      </c>
      <c r="R151" s="137">
        <f t="shared" si="39"/>
        <v>2.15</v>
      </c>
      <c r="S151" s="137">
        <f t="shared" si="40"/>
        <v>2.15</v>
      </c>
      <c r="T151" s="137">
        <f t="shared" si="40"/>
        <v>2.15</v>
      </c>
      <c r="U151" s="137">
        <f t="shared" si="40"/>
        <v>2.15</v>
      </c>
      <c r="V151" s="137">
        <f t="shared" si="40"/>
        <v>2.15</v>
      </c>
      <c r="W151" s="137">
        <f t="shared" si="40"/>
        <v>2.15</v>
      </c>
      <c r="X151" s="137">
        <f t="shared" si="40"/>
        <v>2.15</v>
      </c>
      <c r="Y151" s="137">
        <f t="shared" si="40"/>
        <v>2.15</v>
      </c>
      <c r="Z151" s="137">
        <f t="shared" si="40"/>
        <v>2.15</v>
      </c>
      <c r="AA151" s="137">
        <f t="shared" si="40"/>
        <v>2.15</v>
      </c>
      <c r="AB151" s="137">
        <f t="shared" si="40"/>
        <v>2.15</v>
      </c>
      <c r="AC151" s="137">
        <f t="shared" si="40"/>
        <v>2.15</v>
      </c>
      <c r="AD151" s="137">
        <f t="shared" si="40"/>
        <v>2.15</v>
      </c>
      <c r="AE151" s="137">
        <f t="shared" si="40"/>
        <v>2.15</v>
      </c>
      <c r="AF151" s="137">
        <f t="shared" si="40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1">B153</f>
        <v>0.9</v>
      </c>
      <c r="D153" s="137">
        <f t="shared" si="41"/>
        <v>0.9</v>
      </c>
      <c r="E153" s="137">
        <f t="shared" si="41"/>
        <v>0.9</v>
      </c>
      <c r="F153" s="137">
        <f t="shared" si="41"/>
        <v>0.9</v>
      </c>
      <c r="G153" s="137">
        <f t="shared" si="41"/>
        <v>0.9</v>
      </c>
      <c r="H153" s="137">
        <f t="shared" si="41"/>
        <v>0.9</v>
      </c>
      <c r="I153" s="137">
        <f t="shared" si="41"/>
        <v>0.9</v>
      </c>
      <c r="J153" s="137">
        <f t="shared" si="41"/>
        <v>0.9</v>
      </c>
      <c r="K153" s="137">
        <f t="shared" si="41"/>
        <v>0.9</v>
      </c>
      <c r="L153" s="137">
        <f t="shared" si="41"/>
        <v>0.9</v>
      </c>
      <c r="M153" s="137">
        <f t="shared" si="41"/>
        <v>0.9</v>
      </c>
      <c r="N153" s="137">
        <f t="shared" si="41"/>
        <v>0.9</v>
      </c>
      <c r="O153" s="137">
        <f t="shared" si="41"/>
        <v>0.9</v>
      </c>
      <c r="P153" s="137">
        <f t="shared" si="41"/>
        <v>0.9</v>
      </c>
      <c r="Q153" s="137">
        <f t="shared" si="41"/>
        <v>0.9</v>
      </c>
      <c r="R153" s="137">
        <f t="shared" si="41"/>
        <v>0.9</v>
      </c>
      <c r="S153" s="137">
        <f t="shared" ref="R153:AF165" si="42">R153</f>
        <v>0.9</v>
      </c>
      <c r="T153" s="137">
        <f t="shared" si="42"/>
        <v>0.9</v>
      </c>
      <c r="U153" s="137">
        <f t="shared" si="42"/>
        <v>0.9</v>
      </c>
      <c r="V153" s="137">
        <f t="shared" si="42"/>
        <v>0.9</v>
      </c>
      <c r="W153" s="137">
        <f t="shared" si="42"/>
        <v>0.9</v>
      </c>
      <c r="X153" s="137">
        <f t="shared" si="42"/>
        <v>0.9</v>
      </c>
      <c r="Y153" s="137">
        <f t="shared" si="42"/>
        <v>0.9</v>
      </c>
      <c r="Z153" s="137">
        <f t="shared" si="42"/>
        <v>0.9</v>
      </c>
      <c r="AA153" s="137">
        <f t="shared" si="42"/>
        <v>0.9</v>
      </c>
      <c r="AB153" s="137">
        <f t="shared" si="42"/>
        <v>0.9</v>
      </c>
      <c r="AC153" s="137">
        <f t="shared" si="42"/>
        <v>0.9</v>
      </c>
      <c r="AD153" s="137">
        <f t="shared" si="42"/>
        <v>0.9</v>
      </c>
      <c r="AE153" s="137">
        <f t="shared" si="42"/>
        <v>0.9</v>
      </c>
      <c r="AF153" s="137">
        <f t="shared" si="42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1"/>
        <v>1.08</v>
      </c>
      <c r="D154" s="137">
        <f t="shared" si="41"/>
        <v>1.08</v>
      </c>
      <c r="E154" s="137">
        <f t="shared" si="41"/>
        <v>1.08</v>
      </c>
      <c r="F154" s="137">
        <f t="shared" si="41"/>
        <v>1.08</v>
      </c>
      <c r="G154" s="137">
        <f t="shared" si="41"/>
        <v>1.08</v>
      </c>
      <c r="H154" s="137">
        <f t="shared" si="41"/>
        <v>1.08</v>
      </c>
      <c r="I154" s="137">
        <f t="shared" si="41"/>
        <v>1.08</v>
      </c>
      <c r="J154" s="137">
        <f t="shared" si="41"/>
        <v>1.08</v>
      </c>
      <c r="K154" s="137">
        <f t="shared" si="41"/>
        <v>1.08</v>
      </c>
      <c r="L154" s="137">
        <f t="shared" si="41"/>
        <v>1.08</v>
      </c>
      <c r="M154" s="137">
        <f t="shared" si="41"/>
        <v>1.08</v>
      </c>
      <c r="N154" s="137">
        <f t="shared" si="41"/>
        <v>1.08</v>
      </c>
      <c r="O154" s="137">
        <f t="shared" si="41"/>
        <v>1.08</v>
      </c>
      <c r="P154" s="137">
        <f t="shared" si="41"/>
        <v>1.08</v>
      </c>
      <c r="Q154" s="137">
        <f t="shared" si="41"/>
        <v>1.08</v>
      </c>
      <c r="R154" s="137">
        <f t="shared" si="41"/>
        <v>1.08</v>
      </c>
      <c r="S154" s="137">
        <f t="shared" si="42"/>
        <v>1.08</v>
      </c>
      <c r="T154" s="137">
        <f t="shared" si="42"/>
        <v>1.08</v>
      </c>
      <c r="U154" s="137">
        <f t="shared" si="42"/>
        <v>1.08</v>
      </c>
      <c r="V154" s="137">
        <f t="shared" si="42"/>
        <v>1.08</v>
      </c>
      <c r="W154" s="137">
        <f t="shared" si="42"/>
        <v>1.08</v>
      </c>
      <c r="X154" s="137">
        <f t="shared" si="42"/>
        <v>1.08</v>
      </c>
      <c r="Y154" s="137">
        <f t="shared" si="42"/>
        <v>1.08</v>
      </c>
      <c r="Z154" s="137">
        <f t="shared" si="42"/>
        <v>1.08</v>
      </c>
      <c r="AA154" s="137">
        <f t="shared" si="42"/>
        <v>1.08</v>
      </c>
      <c r="AB154" s="137">
        <f t="shared" si="42"/>
        <v>1.08</v>
      </c>
      <c r="AC154" s="137">
        <f t="shared" si="42"/>
        <v>1.08</v>
      </c>
      <c r="AD154" s="137">
        <f t="shared" si="42"/>
        <v>1.08</v>
      </c>
      <c r="AE154" s="137">
        <f t="shared" si="42"/>
        <v>1.08</v>
      </c>
      <c r="AF154" s="137">
        <f t="shared" si="42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1"/>
        <v>2.37</v>
      </c>
      <c r="D155" s="137">
        <f t="shared" si="41"/>
        <v>2.37</v>
      </c>
      <c r="E155" s="137">
        <f t="shared" si="41"/>
        <v>2.37</v>
      </c>
      <c r="F155" s="137">
        <f t="shared" si="41"/>
        <v>2.37</v>
      </c>
      <c r="G155" s="137">
        <f t="shared" si="41"/>
        <v>2.37</v>
      </c>
      <c r="H155" s="137">
        <f t="shared" si="41"/>
        <v>2.37</v>
      </c>
      <c r="I155" s="137">
        <f t="shared" si="41"/>
        <v>2.37</v>
      </c>
      <c r="J155" s="137">
        <f t="shared" si="41"/>
        <v>2.37</v>
      </c>
      <c r="K155" s="137">
        <f t="shared" si="41"/>
        <v>2.37</v>
      </c>
      <c r="L155" s="137">
        <f t="shared" si="41"/>
        <v>2.37</v>
      </c>
      <c r="M155" s="137">
        <f t="shared" si="41"/>
        <v>2.37</v>
      </c>
      <c r="N155" s="137">
        <f t="shared" si="41"/>
        <v>2.37</v>
      </c>
      <c r="O155" s="137">
        <f t="shared" si="41"/>
        <v>2.37</v>
      </c>
      <c r="P155" s="137">
        <f t="shared" si="41"/>
        <v>2.37</v>
      </c>
      <c r="Q155" s="137">
        <f t="shared" si="41"/>
        <v>2.37</v>
      </c>
      <c r="R155" s="137">
        <f t="shared" si="41"/>
        <v>2.37</v>
      </c>
      <c r="S155" s="137">
        <f t="shared" si="42"/>
        <v>2.37</v>
      </c>
      <c r="T155" s="137">
        <f t="shared" si="42"/>
        <v>2.37</v>
      </c>
      <c r="U155" s="137">
        <f t="shared" si="42"/>
        <v>2.37</v>
      </c>
      <c r="V155" s="137">
        <f t="shared" si="42"/>
        <v>2.37</v>
      </c>
      <c r="W155" s="137">
        <f t="shared" si="42"/>
        <v>2.37</v>
      </c>
      <c r="X155" s="137">
        <f t="shared" si="42"/>
        <v>2.37</v>
      </c>
      <c r="Y155" s="137">
        <f t="shared" si="42"/>
        <v>2.37</v>
      </c>
      <c r="Z155" s="137">
        <f t="shared" si="42"/>
        <v>2.37</v>
      </c>
      <c r="AA155" s="137">
        <f t="shared" si="42"/>
        <v>2.37</v>
      </c>
      <c r="AB155" s="137">
        <f t="shared" si="42"/>
        <v>2.37</v>
      </c>
      <c r="AC155" s="137">
        <f t="shared" si="42"/>
        <v>2.37</v>
      </c>
      <c r="AD155" s="137">
        <f t="shared" si="42"/>
        <v>2.37</v>
      </c>
      <c r="AE155" s="137">
        <f t="shared" si="42"/>
        <v>2.37</v>
      </c>
      <c r="AF155" s="137">
        <f t="shared" si="42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1"/>
        <v>1.81</v>
      </c>
      <c r="D156" s="137">
        <f t="shared" si="41"/>
        <v>1.81</v>
      </c>
      <c r="E156" s="137">
        <f t="shared" si="41"/>
        <v>1.81</v>
      </c>
      <c r="F156" s="137">
        <f t="shared" si="41"/>
        <v>1.81</v>
      </c>
      <c r="G156" s="137">
        <f t="shared" si="41"/>
        <v>1.81</v>
      </c>
      <c r="H156" s="137">
        <f t="shared" si="41"/>
        <v>1.81</v>
      </c>
      <c r="I156" s="137">
        <f t="shared" si="41"/>
        <v>1.81</v>
      </c>
      <c r="J156" s="137">
        <f t="shared" si="41"/>
        <v>1.81</v>
      </c>
      <c r="K156" s="137">
        <f t="shared" si="41"/>
        <v>1.81</v>
      </c>
      <c r="L156" s="137">
        <f t="shared" si="41"/>
        <v>1.81</v>
      </c>
      <c r="M156" s="137">
        <f t="shared" si="41"/>
        <v>1.81</v>
      </c>
      <c r="N156" s="137">
        <f t="shared" si="41"/>
        <v>1.81</v>
      </c>
      <c r="O156" s="137">
        <f t="shared" si="41"/>
        <v>1.81</v>
      </c>
      <c r="P156" s="137">
        <f t="shared" si="41"/>
        <v>1.81</v>
      </c>
      <c r="Q156" s="137">
        <f t="shared" si="41"/>
        <v>1.81</v>
      </c>
      <c r="R156" s="137">
        <f t="shared" si="41"/>
        <v>1.81</v>
      </c>
      <c r="S156" s="137">
        <f t="shared" si="42"/>
        <v>1.81</v>
      </c>
      <c r="T156" s="137">
        <f t="shared" si="42"/>
        <v>1.81</v>
      </c>
      <c r="U156" s="137">
        <f t="shared" si="42"/>
        <v>1.81</v>
      </c>
      <c r="V156" s="137">
        <f t="shared" si="42"/>
        <v>1.81</v>
      </c>
      <c r="W156" s="137">
        <f t="shared" si="42"/>
        <v>1.81</v>
      </c>
      <c r="X156" s="137">
        <f t="shared" si="42"/>
        <v>1.81</v>
      </c>
      <c r="Y156" s="137">
        <f t="shared" si="42"/>
        <v>1.81</v>
      </c>
      <c r="Z156" s="137">
        <f t="shared" si="42"/>
        <v>1.81</v>
      </c>
      <c r="AA156" s="137">
        <f t="shared" si="42"/>
        <v>1.81</v>
      </c>
      <c r="AB156" s="137">
        <f t="shared" si="42"/>
        <v>1.81</v>
      </c>
      <c r="AC156" s="137">
        <f t="shared" si="42"/>
        <v>1.81</v>
      </c>
      <c r="AD156" s="137">
        <f t="shared" si="42"/>
        <v>1.81</v>
      </c>
      <c r="AE156" s="137">
        <f t="shared" si="42"/>
        <v>1.81</v>
      </c>
      <c r="AF156" s="137">
        <f t="shared" si="42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1"/>
        <v>1.0900000000000001</v>
      </c>
      <c r="D157" s="137">
        <f t="shared" si="41"/>
        <v>1.0900000000000001</v>
      </c>
      <c r="E157" s="137">
        <f t="shared" si="41"/>
        <v>1.0900000000000001</v>
      </c>
      <c r="F157" s="137">
        <f t="shared" si="41"/>
        <v>1.0900000000000001</v>
      </c>
      <c r="G157" s="137">
        <f t="shared" si="41"/>
        <v>1.0900000000000001</v>
      </c>
      <c r="H157" s="137">
        <f t="shared" si="41"/>
        <v>1.0900000000000001</v>
      </c>
      <c r="I157" s="137">
        <f t="shared" si="41"/>
        <v>1.0900000000000001</v>
      </c>
      <c r="J157" s="137">
        <f t="shared" si="41"/>
        <v>1.0900000000000001</v>
      </c>
      <c r="K157" s="137">
        <f t="shared" si="41"/>
        <v>1.0900000000000001</v>
      </c>
      <c r="L157" s="137">
        <f t="shared" si="41"/>
        <v>1.0900000000000001</v>
      </c>
      <c r="M157" s="137">
        <f t="shared" si="41"/>
        <v>1.0900000000000001</v>
      </c>
      <c r="N157" s="137">
        <f t="shared" si="41"/>
        <v>1.0900000000000001</v>
      </c>
      <c r="O157" s="137">
        <f t="shared" si="41"/>
        <v>1.0900000000000001</v>
      </c>
      <c r="P157" s="137">
        <f t="shared" si="41"/>
        <v>1.0900000000000001</v>
      </c>
      <c r="Q157" s="137">
        <f t="shared" si="41"/>
        <v>1.0900000000000001</v>
      </c>
      <c r="R157" s="137">
        <f t="shared" si="41"/>
        <v>1.0900000000000001</v>
      </c>
      <c r="S157" s="137">
        <f t="shared" si="42"/>
        <v>1.0900000000000001</v>
      </c>
      <c r="T157" s="137">
        <f t="shared" si="42"/>
        <v>1.0900000000000001</v>
      </c>
      <c r="U157" s="137">
        <f t="shared" si="42"/>
        <v>1.0900000000000001</v>
      </c>
      <c r="V157" s="137">
        <f t="shared" si="42"/>
        <v>1.0900000000000001</v>
      </c>
      <c r="W157" s="137">
        <f t="shared" si="42"/>
        <v>1.0900000000000001</v>
      </c>
      <c r="X157" s="137">
        <f t="shared" si="42"/>
        <v>1.0900000000000001</v>
      </c>
      <c r="Y157" s="137">
        <f t="shared" si="42"/>
        <v>1.0900000000000001</v>
      </c>
      <c r="Z157" s="137">
        <f t="shared" si="42"/>
        <v>1.0900000000000001</v>
      </c>
      <c r="AA157" s="137">
        <f t="shared" si="42"/>
        <v>1.0900000000000001</v>
      </c>
      <c r="AB157" s="137">
        <f t="shared" si="42"/>
        <v>1.0900000000000001</v>
      </c>
      <c r="AC157" s="137">
        <f t="shared" si="42"/>
        <v>1.0900000000000001</v>
      </c>
      <c r="AD157" s="137">
        <f t="shared" si="42"/>
        <v>1.0900000000000001</v>
      </c>
      <c r="AE157" s="137">
        <f t="shared" si="42"/>
        <v>1.0900000000000001</v>
      </c>
      <c r="AF157" s="137">
        <f t="shared" si="42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1"/>
        <v>1.58</v>
      </c>
      <c r="D158" s="137">
        <f t="shared" si="41"/>
        <v>1.58</v>
      </c>
      <c r="E158" s="137">
        <f t="shared" si="41"/>
        <v>1.58</v>
      </c>
      <c r="F158" s="137">
        <f t="shared" si="41"/>
        <v>1.58</v>
      </c>
      <c r="G158" s="137">
        <f t="shared" si="41"/>
        <v>1.58</v>
      </c>
      <c r="H158" s="137">
        <f t="shared" si="41"/>
        <v>1.58</v>
      </c>
      <c r="I158" s="137">
        <f t="shared" si="41"/>
        <v>1.58</v>
      </c>
      <c r="J158" s="137">
        <f t="shared" si="41"/>
        <v>1.58</v>
      </c>
      <c r="K158" s="137">
        <f t="shared" si="41"/>
        <v>1.58</v>
      </c>
      <c r="L158" s="137">
        <f t="shared" si="41"/>
        <v>1.58</v>
      </c>
      <c r="M158" s="137">
        <f t="shared" si="41"/>
        <v>1.58</v>
      </c>
      <c r="N158" s="137">
        <f t="shared" si="41"/>
        <v>1.58</v>
      </c>
      <c r="O158" s="137">
        <f t="shared" si="41"/>
        <v>1.58</v>
      </c>
      <c r="P158" s="137">
        <f t="shared" si="41"/>
        <v>1.58</v>
      </c>
      <c r="Q158" s="137">
        <f t="shared" si="41"/>
        <v>1.58</v>
      </c>
      <c r="R158" s="137">
        <f t="shared" si="41"/>
        <v>1.58</v>
      </c>
      <c r="S158" s="137">
        <f t="shared" si="42"/>
        <v>1.58</v>
      </c>
      <c r="T158" s="137">
        <f t="shared" si="42"/>
        <v>1.58</v>
      </c>
      <c r="U158" s="137">
        <f t="shared" si="42"/>
        <v>1.58</v>
      </c>
      <c r="V158" s="137">
        <f t="shared" si="42"/>
        <v>1.58</v>
      </c>
      <c r="W158" s="137">
        <f t="shared" si="42"/>
        <v>1.58</v>
      </c>
      <c r="X158" s="137">
        <f t="shared" si="42"/>
        <v>1.58</v>
      </c>
      <c r="Y158" s="137">
        <f t="shared" si="42"/>
        <v>1.58</v>
      </c>
      <c r="Z158" s="137">
        <f t="shared" si="42"/>
        <v>1.58</v>
      </c>
      <c r="AA158" s="137">
        <f t="shared" si="42"/>
        <v>1.58</v>
      </c>
      <c r="AB158" s="137">
        <f t="shared" si="42"/>
        <v>1.58</v>
      </c>
      <c r="AC158" s="137">
        <f t="shared" si="42"/>
        <v>1.58</v>
      </c>
      <c r="AD158" s="137">
        <f t="shared" si="42"/>
        <v>1.58</v>
      </c>
      <c r="AE158" s="137">
        <f t="shared" si="42"/>
        <v>1.58</v>
      </c>
      <c r="AF158" s="137">
        <f t="shared" si="42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1"/>
        <v>2</v>
      </c>
      <c r="D159" s="137">
        <f t="shared" si="41"/>
        <v>2</v>
      </c>
      <c r="E159" s="137">
        <f t="shared" si="41"/>
        <v>2</v>
      </c>
      <c r="F159" s="137">
        <f t="shared" si="41"/>
        <v>2</v>
      </c>
      <c r="G159" s="137">
        <f t="shared" si="41"/>
        <v>2</v>
      </c>
      <c r="H159" s="137">
        <f t="shared" si="41"/>
        <v>2</v>
      </c>
      <c r="I159" s="137">
        <f t="shared" si="41"/>
        <v>2</v>
      </c>
      <c r="J159" s="137">
        <f t="shared" si="41"/>
        <v>2</v>
      </c>
      <c r="K159" s="137">
        <f t="shared" si="41"/>
        <v>2</v>
      </c>
      <c r="L159" s="137">
        <f t="shared" si="41"/>
        <v>2</v>
      </c>
      <c r="M159" s="137">
        <f t="shared" si="41"/>
        <v>2</v>
      </c>
      <c r="N159" s="137">
        <f t="shared" si="41"/>
        <v>2</v>
      </c>
      <c r="O159" s="137">
        <f t="shared" si="41"/>
        <v>2</v>
      </c>
      <c r="P159" s="137">
        <f t="shared" si="41"/>
        <v>2</v>
      </c>
      <c r="Q159" s="137">
        <f t="shared" si="41"/>
        <v>2</v>
      </c>
      <c r="R159" s="137">
        <f t="shared" si="41"/>
        <v>2</v>
      </c>
      <c r="S159" s="137">
        <f t="shared" si="42"/>
        <v>2</v>
      </c>
      <c r="T159" s="137">
        <f t="shared" si="42"/>
        <v>2</v>
      </c>
      <c r="U159" s="137">
        <f t="shared" si="42"/>
        <v>2</v>
      </c>
      <c r="V159" s="137">
        <f t="shared" si="42"/>
        <v>2</v>
      </c>
      <c r="W159" s="137">
        <f t="shared" si="42"/>
        <v>2</v>
      </c>
      <c r="X159" s="137">
        <f t="shared" si="42"/>
        <v>2</v>
      </c>
      <c r="Y159" s="137">
        <f t="shared" si="42"/>
        <v>2</v>
      </c>
      <c r="Z159" s="137">
        <f t="shared" si="42"/>
        <v>2</v>
      </c>
      <c r="AA159" s="137">
        <f t="shared" si="42"/>
        <v>2</v>
      </c>
      <c r="AB159" s="137">
        <f t="shared" si="42"/>
        <v>2</v>
      </c>
      <c r="AC159" s="137">
        <f t="shared" si="42"/>
        <v>2</v>
      </c>
      <c r="AD159" s="137">
        <f t="shared" si="42"/>
        <v>2</v>
      </c>
      <c r="AE159" s="137">
        <f t="shared" si="42"/>
        <v>2</v>
      </c>
      <c r="AF159" s="137">
        <f t="shared" si="42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1"/>
        <v>0.47</v>
      </c>
      <c r="D160" s="137">
        <f t="shared" si="41"/>
        <v>0.47</v>
      </c>
      <c r="E160" s="137">
        <f t="shared" si="41"/>
        <v>0.47</v>
      </c>
      <c r="F160" s="137">
        <f t="shared" si="41"/>
        <v>0.47</v>
      </c>
      <c r="G160" s="137">
        <f t="shared" si="41"/>
        <v>0.47</v>
      </c>
      <c r="H160" s="137">
        <f t="shared" si="41"/>
        <v>0.47</v>
      </c>
      <c r="I160" s="137">
        <f t="shared" si="41"/>
        <v>0.47</v>
      </c>
      <c r="J160" s="137">
        <f t="shared" si="41"/>
        <v>0.47</v>
      </c>
      <c r="K160" s="137">
        <f t="shared" si="41"/>
        <v>0.47</v>
      </c>
      <c r="L160" s="137">
        <f t="shared" si="41"/>
        <v>0.47</v>
      </c>
      <c r="M160" s="137">
        <f t="shared" si="41"/>
        <v>0.47</v>
      </c>
      <c r="N160" s="137">
        <f t="shared" si="41"/>
        <v>0.47</v>
      </c>
      <c r="O160" s="137">
        <f t="shared" si="41"/>
        <v>0.47</v>
      </c>
      <c r="P160" s="137">
        <f t="shared" si="41"/>
        <v>0.47</v>
      </c>
      <c r="Q160" s="137">
        <f t="shared" si="41"/>
        <v>0.47</v>
      </c>
      <c r="R160" s="137">
        <f t="shared" si="41"/>
        <v>0.47</v>
      </c>
      <c r="S160" s="137">
        <f t="shared" si="42"/>
        <v>0.47</v>
      </c>
      <c r="T160" s="137">
        <f t="shared" si="42"/>
        <v>0.47</v>
      </c>
      <c r="U160" s="137">
        <f t="shared" si="42"/>
        <v>0.47</v>
      </c>
      <c r="V160" s="137">
        <f t="shared" si="42"/>
        <v>0.47</v>
      </c>
      <c r="W160" s="137">
        <f t="shared" si="42"/>
        <v>0.47</v>
      </c>
      <c r="X160" s="137">
        <f t="shared" si="42"/>
        <v>0.47</v>
      </c>
      <c r="Y160" s="137">
        <f t="shared" si="42"/>
        <v>0.47</v>
      </c>
      <c r="Z160" s="137">
        <f t="shared" si="42"/>
        <v>0.47</v>
      </c>
      <c r="AA160" s="137">
        <f t="shared" si="42"/>
        <v>0.47</v>
      </c>
      <c r="AB160" s="137">
        <f t="shared" si="42"/>
        <v>0.47</v>
      </c>
      <c r="AC160" s="137">
        <f t="shared" si="42"/>
        <v>0.47</v>
      </c>
      <c r="AD160" s="137">
        <f t="shared" si="42"/>
        <v>0.47</v>
      </c>
      <c r="AE160" s="137">
        <f t="shared" si="42"/>
        <v>0.47</v>
      </c>
      <c r="AF160" s="137">
        <f t="shared" si="42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1"/>
        <v>0</v>
      </c>
      <c r="D161" s="137">
        <f t="shared" si="41"/>
        <v>0</v>
      </c>
      <c r="E161" s="137">
        <f t="shared" si="41"/>
        <v>0</v>
      </c>
      <c r="F161" s="137">
        <f t="shared" si="41"/>
        <v>0</v>
      </c>
      <c r="G161" s="137">
        <f t="shared" si="41"/>
        <v>0</v>
      </c>
      <c r="H161" s="137">
        <f t="shared" si="41"/>
        <v>0</v>
      </c>
      <c r="I161" s="137">
        <f t="shared" si="41"/>
        <v>0</v>
      </c>
      <c r="J161" s="137">
        <f t="shared" si="41"/>
        <v>0</v>
      </c>
      <c r="K161" s="137">
        <f t="shared" si="41"/>
        <v>0</v>
      </c>
      <c r="L161" s="137">
        <f t="shared" si="41"/>
        <v>0</v>
      </c>
      <c r="M161" s="137">
        <f t="shared" si="41"/>
        <v>0</v>
      </c>
      <c r="N161" s="137">
        <f t="shared" si="41"/>
        <v>0</v>
      </c>
      <c r="O161" s="137">
        <f t="shared" si="41"/>
        <v>0</v>
      </c>
      <c r="P161" s="137">
        <f t="shared" si="41"/>
        <v>0</v>
      </c>
      <c r="Q161" s="137">
        <f t="shared" si="41"/>
        <v>0</v>
      </c>
      <c r="R161" s="137">
        <f t="shared" si="41"/>
        <v>0</v>
      </c>
      <c r="S161" s="137">
        <f t="shared" si="42"/>
        <v>0</v>
      </c>
      <c r="T161" s="137">
        <f t="shared" si="42"/>
        <v>0</v>
      </c>
      <c r="U161" s="137">
        <f t="shared" si="42"/>
        <v>0</v>
      </c>
      <c r="V161" s="137">
        <f t="shared" si="42"/>
        <v>0</v>
      </c>
      <c r="W161" s="137">
        <f t="shared" si="42"/>
        <v>0</v>
      </c>
      <c r="X161" s="137">
        <f t="shared" si="42"/>
        <v>0</v>
      </c>
      <c r="Y161" s="137">
        <f t="shared" si="42"/>
        <v>0</v>
      </c>
      <c r="Z161" s="137">
        <f t="shared" si="42"/>
        <v>0</v>
      </c>
      <c r="AA161" s="137">
        <f t="shared" si="42"/>
        <v>0</v>
      </c>
      <c r="AB161" s="137">
        <f t="shared" si="42"/>
        <v>0</v>
      </c>
      <c r="AC161" s="137">
        <f t="shared" si="42"/>
        <v>0</v>
      </c>
      <c r="AD161" s="137">
        <f t="shared" si="42"/>
        <v>0</v>
      </c>
      <c r="AE161" s="137">
        <f t="shared" si="42"/>
        <v>0</v>
      </c>
      <c r="AF161" s="137">
        <f t="shared" si="42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1"/>
        <v>0</v>
      </c>
      <c r="D162" s="137">
        <f t="shared" si="41"/>
        <v>0</v>
      </c>
      <c r="E162" s="137">
        <f t="shared" si="41"/>
        <v>0</v>
      </c>
      <c r="F162" s="137">
        <f t="shared" si="41"/>
        <v>0</v>
      </c>
      <c r="G162" s="137">
        <f t="shared" si="41"/>
        <v>0</v>
      </c>
      <c r="H162" s="137">
        <f t="shared" si="41"/>
        <v>0</v>
      </c>
      <c r="I162" s="137">
        <f t="shared" si="41"/>
        <v>0</v>
      </c>
      <c r="J162" s="137">
        <f t="shared" si="41"/>
        <v>0</v>
      </c>
      <c r="K162" s="137">
        <f t="shared" si="41"/>
        <v>0</v>
      </c>
      <c r="L162" s="137">
        <f t="shared" si="41"/>
        <v>0</v>
      </c>
      <c r="M162" s="137">
        <f t="shared" si="41"/>
        <v>0</v>
      </c>
      <c r="N162" s="137">
        <f t="shared" si="41"/>
        <v>0</v>
      </c>
      <c r="O162" s="137">
        <f t="shared" si="41"/>
        <v>0</v>
      </c>
      <c r="P162" s="137">
        <f t="shared" si="41"/>
        <v>0</v>
      </c>
      <c r="Q162" s="137">
        <f t="shared" si="41"/>
        <v>0</v>
      </c>
      <c r="R162" s="137">
        <f t="shared" si="42"/>
        <v>0</v>
      </c>
      <c r="S162" s="137">
        <f t="shared" si="42"/>
        <v>0</v>
      </c>
      <c r="T162" s="137">
        <f t="shared" si="42"/>
        <v>0</v>
      </c>
      <c r="U162" s="137">
        <f t="shared" si="42"/>
        <v>0</v>
      </c>
      <c r="V162" s="137">
        <f t="shared" si="42"/>
        <v>0</v>
      </c>
      <c r="W162" s="137">
        <f t="shared" si="42"/>
        <v>0</v>
      </c>
      <c r="X162" s="137">
        <f t="shared" si="42"/>
        <v>0</v>
      </c>
      <c r="Y162" s="137">
        <f t="shared" si="42"/>
        <v>0</v>
      </c>
      <c r="Z162" s="137">
        <f t="shared" si="42"/>
        <v>0</v>
      </c>
      <c r="AA162" s="137">
        <f t="shared" si="42"/>
        <v>0</v>
      </c>
      <c r="AB162" s="137">
        <f t="shared" si="42"/>
        <v>0</v>
      </c>
      <c r="AC162" s="137">
        <f t="shared" si="42"/>
        <v>0</v>
      </c>
      <c r="AD162" s="137">
        <f t="shared" si="42"/>
        <v>0</v>
      </c>
      <c r="AE162" s="137">
        <f t="shared" si="42"/>
        <v>0</v>
      </c>
      <c r="AF162" s="137">
        <f t="shared" si="42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1"/>
        <v>0.8</v>
      </c>
      <c r="D163" s="137">
        <f t="shared" si="41"/>
        <v>0.8</v>
      </c>
      <c r="E163" s="137">
        <f t="shared" si="41"/>
        <v>0.8</v>
      </c>
      <c r="F163" s="137">
        <f t="shared" si="41"/>
        <v>0.8</v>
      </c>
      <c r="G163" s="137">
        <f t="shared" si="41"/>
        <v>0.8</v>
      </c>
      <c r="H163" s="137">
        <f t="shared" si="41"/>
        <v>0.8</v>
      </c>
      <c r="I163" s="137">
        <f t="shared" si="41"/>
        <v>0.8</v>
      </c>
      <c r="J163" s="137">
        <f t="shared" si="41"/>
        <v>0.8</v>
      </c>
      <c r="K163" s="137">
        <f t="shared" si="41"/>
        <v>0.8</v>
      </c>
      <c r="L163" s="137">
        <f t="shared" si="41"/>
        <v>0.8</v>
      </c>
      <c r="M163" s="137">
        <f t="shared" si="41"/>
        <v>0.8</v>
      </c>
      <c r="N163" s="137">
        <f t="shared" si="41"/>
        <v>0.8</v>
      </c>
      <c r="O163" s="137">
        <f t="shared" si="41"/>
        <v>0.8</v>
      </c>
      <c r="P163" s="137">
        <f t="shared" si="41"/>
        <v>0.8</v>
      </c>
      <c r="Q163" s="137">
        <f t="shared" si="41"/>
        <v>0.8</v>
      </c>
      <c r="R163" s="137">
        <f t="shared" si="42"/>
        <v>0.8</v>
      </c>
      <c r="S163" s="137">
        <f t="shared" si="42"/>
        <v>0.8</v>
      </c>
      <c r="T163" s="137">
        <f t="shared" si="42"/>
        <v>0.8</v>
      </c>
      <c r="U163" s="137">
        <f t="shared" si="42"/>
        <v>0.8</v>
      </c>
      <c r="V163" s="137">
        <f t="shared" si="42"/>
        <v>0.8</v>
      </c>
      <c r="W163" s="137">
        <f t="shared" si="42"/>
        <v>0.8</v>
      </c>
      <c r="X163" s="137">
        <f t="shared" si="42"/>
        <v>0.8</v>
      </c>
      <c r="Y163" s="137">
        <f t="shared" si="42"/>
        <v>0.8</v>
      </c>
      <c r="Z163" s="137">
        <f t="shared" si="42"/>
        <v>0.8</v>
      </c>
      <c r="AA163" s="137">
        <f t="shared" si="42"/>
        <v>0.8</v>
      </c>
      <c r="AB163" s="137">
        <f t="shared" si="42"/>
        <v>0.8</v>
      </c>
      <c r="AC163" s="137">
        <f t="shared" si="42"/>
        <v>0.8</v>
      </c>
      <c r="AD163" s="137">
        <f t="shared" si="42"/>
        <v>0.8</v>
      </c>
      <c r="AE163" s="137">
        <f t="shared" si="42"/>
        <v>0.8</v>
      </c>
      <c r="AF163" s="137">
        <f t="shared" si="42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1"/>
        <v>1.5</v>
      </c>
      <c r="D164" s="137">
        <f t="shared" si="41"/>
        <v>1.5</v>
      </c>
      <c r="E164" s="137">
        <f t="shared" si="41"/>
        <v>1.5</v>
      </c>
      <c r="F164" s="137">
        <f t="shared" si="41"/>
        <v>1.5</v>
      </c>
      <c r="G164" s="137">
        <f t="shared" si="41"/>
        <v>1.5</v>
      </c>
      <c r="H164" s="137">
        <f t="shared" si="41"/>
        <v>1.5</v>
      </c>
      <c r="I164" s="137">
        <f t="shared" si="41"/>
        <v>1.5</v>
      </c>
      <c r="J164" s="137">
        <f t="shared" si="41"/>
        <v>1.5</v>
      </c>
      <c r="K164" s="137">
        <f t="shared" si="41"/>
        <v>1.5</v>
      </c>
      <c r="L164" s="137">
        <f t="shared" si="41"/>
        <v>1.5</v>
      </c>
      <c r="M164" s="137">
        <f t="shared" si="41"/>
        <v>1.5</v>
      </c>
      <c r="N164" s="137">
        <f t="shared" si="41"/>
        <v>1.5</v>
      </c>
      <c r="O164" s="137">
        <f t="shared" si="41"/>
        <v>1.5</v>
      </c>
      <c r="P164" s="137">
        <f t="shared" si="41"/>
        <v>1.5</v>
      </c>
      <c r="Q164" s="137">
        <f t="shared" si="41"/>
        <v>1.5</v>
      </c>
      <c r="R164" s="137">
        <f t="shared" si="42"/>
        <v>1.5</v>
      </c>
      <c r="S164" s="137">
        <f t="shared" si="42"/>
        <v>1.5</v>
      </c>
      <c r="T164" s="137">
        <f t="shared" si="42"/>
        <v>1.5</v>
      </c>
      <c r="U164" s="137">
        <f t="shared" si="42"/>
        <v>1.5</v>
      </c>
      <c r="V164" s="137">
        <f t="shared" si="42"/>
        <v>1.5</v>
      </c>
      <c r="W164" s="137">
        <f t="shared" si="42"/>
        <v>1.5</v>
      </c>
      <c r="X164" s="137">
        <f t="shared" si="42"/>
        <v>1.5</v>
      </c>
      <c r="Y164" s="137">
        <f t="shared" si="42"/>
        <v>1.5</v>
      </c>
      <c r="Z164" s="137">
        <f t="shared" si="42"/>
        <v>1.5</v>
      </c>
      <c r="AA164" s="137">
        <f t="shared" si="42"/>
        <v>1.5</v>
      </c>
      <c r="AB164" s="137">
        <f t="shared" si="42"/>
        <v>1.5</v>
      </c>
      <c r="AC164" s="137">
        <f t="shared" si="42"/>
        <v>1.5</v>
      </c>
      <c r="AD164" s="137">
        <f t="shared" si="42"/>
        <v>1.5</v>
      </c>
      <c r="AE164" s="137">
        <f t="shared" si="42"/>
        <v>1.5</v>
      </c>
      <c r="AF164" s="137">
        <f t="shared" si="42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1"/>
        <v>1</v>
      </c>
      <c r="D165" s="137">
        <f t="shared" si="41"/>
        <v>1</v>
      </c>
      <c r="E165" s="137">
        <f t="shared" si="41"/>
        <v>1</v>
      </c>
      <c r="F165" s="137">
        <f t="shared" si="41"/>
        <v>1</v>
      </c>
      <c r="G165" s="137">
        <f t="shared" si="41"/>
        <v>1</v>
      </c>
      <c r="H165" s="137">
        <f t="shared" si="41"/>
        <v>1</v>
      </c>
      <c r="I165" s="137">
        <f t="shared" si="41"/>
        <v>1</v>
      </c>
      <c r="J165" s="137">
        <f t="shared" si="41"/>
        <v>1</v>
      </c>
      <c r="K165" s="137">
        <f t="shared" si="41"/>
        <v>1</v>
      </c>
      <c r="L165" s="137">
        <f t="shared" si="41"/>
        <v>1</v>
      </c>
      <c r="M165" s="137">
        <f t="shared" si="41"/>
        <v>1</v>
      </c>
      <c r="N165" s="137">
        <f t="shared" si="41"/>
        <v>1</v>
      </c>
      <c r="O165" s="137">
        <f t="shared" si="41"/>
        <v>1</v>
      </c>
      <c r="P165" s="137">
        <f t="shared" si="41"/>
        <v>1</v>
      </c>
      <c r="Q165" s="137">
        <f t="shared" si="41"/>
        <v>1</v>
      </c>
      <c r="R165" s="137">
        <f t="shared" si="42"/>
        <v>1</v>
      </c>
      <c r="S165" s="137">
        <f t="shared" si="42"/>
        <v>1</v>
      </c>
      <c r="T165" s="137">
        <f t="shared" si="42"/>
        <v>1</v>
      </c>
      <c r="U165" s="137">
        <f t="shared" si="42"/>
        <v>1</v>
      </c>
      <c r="V165" s="137">
        <f t="shared" si="42"/>
        <v>1</v>
      </c>
      <c r="W165" s="137">
        <f t="shared" si="42"/>
        <v>1</v>
      </c>
      <c r="X165" s="137">
        <f t="shared" si="42"/>
        <v>1</v>
      </c>
      <c r="Y165" s="137">
        <f t="shared" si="42"/>
        <v>1</v>
      </c>
      <c r="Z165" s="137">
        <f t="shared" si="42"/>
        <v>1</v>
      </c>
      <c r="AA165" s="137">
        <f t="shared" si="42"/>
        <v>1</v>
      </c>
      <c r="AB165" s="137">
        <f t="shared" si="42"/>
        <v>1</v>
      </c>
      <c r="AC165" s="137">
        <f t="shared" si="42"/>
        <v>1</v>
      </c>
      <c r="AD165" s="137">
        <f t="shared" si="42"/>
        <v>1</v>
      </c>
      <c r="AE165" s="137">
        <f t="shared" si="42"/>
        <v>1</v>
      </c>
      <c r="AF165" s="137">
        <f t="shared" si="42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3">B167</f>
        <v>1</v>
      </c>
      <c r="D167" s="137">
        <f t="shared" si="43"/>
        <v>1</v>
      </c>
      <c r="E167" s="137">
        <f t="shared" si="43"/>
        <v>1</v>
      </c>
      <c r="F167" s="137">
        <f t="shared" si="43"/>
        <v>1</v>
      </c>
      <c r="G167" s="137">
        <f t="shared" si="43"/>
        <v>1</v>
      </c>
      <c r="H167" s="137">
        <f t="shared" si="43"/>
        <v>1</v>
      </c>
      <c r="I167" s="137">
        <f t="shared" si="43"/>
        <v>1</v>
      </c>
      <c r="J167" s="137">
        <f t="shared" si="43"/>
        <v>1</v>
      </c>
      <c r="K167" s="137">
        <f t="shared" si="43"/>
        <v>1</v>
      </c>
      <c r="L167" s="137">
        <f t="shared" si="43"/>
        <v>1</v>
      </c>
      <c r="M167" s="137">
        <f t="shared" si="43"/>
        <v>1</v>
      </c>
      <c r="N167" s="137">
        <f t="shared" si="43"/>
        <v>1</v>
      </c>
      <c r="O167" s="137">
        <f t="shared" si="43"/>
        <v>1</v>
      </c>
      <c r="P167" s="137">
        <f t="shared" si="43"/>
        <v>1</v>
      </c>
      <c r="Q167" s="137">
        <f t="shared" si="43"/>
        <v>1</v>
      </c>
      <c r="R167" s="137">
        <f t="shared" si="43"/>
        <v>1</v>
      </c>
      <c r="S167" s="137">
        <f t="shared" ref="R167:AF174" si="44">R167</f>
        <v>1</v>
      </c>
      <c r="T167" s="137">
        <f t="shared" si="44"/>
        <v>1</v>
      </c>
      <c r="U167" s="137">
        <f t="shared" si="44"/>
        <v>1</v>
      </c>
      <c r="V167" s="137">
        <f t="shared" si="44"/>
        <v>1</v>
      </c>
      <c r="W167" s="137">
        <f t="shared" si="44"/>
        <v>1</v>
      </c>
      <c r="X167" s="137">
        <f t="shared" si="44"/>
        <v>1</v>
      </c>
      <c r="Y167" s="137">
        <f t="shared" si="44"/>
        <v>1</v>
      </c>
      <c r="Z167" s="137">
        <f t="shared" si="44"/>
        <v>1</v>
      </c>
      <c r="AA167" s="137">
        <f t="shared" si="44"/>
        <v>1</v>
      </c>
      <c r="AB167" s="137">
        <f t="shared" si="44"/>
        <v>1</v>
      </c>
      <c r="AC167" s="137">
        <f t="shared" si="44"/>
        <v>1</v>
      </c>
      <c r="AD167" s="137">
        <f t="shared" si="44"/>
        <v>1</v>
      </c>
      <c r="AE167" s="137">
        <f t="shared" si="44"/>
        <v>1</v>
      </c>
      <c r="AF167" s="137">
        <f t="shared" si="44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3"/>
        <v>0.42</v>
      </c>
      <c r="D168" s="137">
        <f t="shared" si="43"/>
        <v>0.42</v>
      </c>
      <c r="E168" s="137">
        <f t="shared" si="43"/>
        <v>0.42</v>
      </c>
      <c r="F168" s="137">
        <f t="shared" si="43"/>
        <v>0.42</v>
      </c>
      <c r="G168" s="137">
        <f t="shared" si="43"/>
        <v>0.42</v>
      </c>
      <c r="H168" s="137">
        <f t="shared" si="43"/>
        <v>0.42</v>
      </c>
      <c r="I168" s="137">
        <f t="shared" si="43"/>
        <v>0.42</v>
      </c>
      <c r="J168" s="137">
        <f t="shared" si="43"/>
        <v>0.42</v>
      </c>
      <c r="K168" s="137">
        <f t="shared" si="43"/>
        <v>0.42</v>
      </c>
      <c r="L168" s="137">
        <f t="shared" si="43"/>
        <v>0.42</v>
      </c>
      <c r="M168" s="137">
        <f t="shared" si="43"/>
        <v>0.42</v>
      </c>
      <c r="N168" s="137">
        <f t="shared" si="43"/>
        <v>0.42</v>
      </c>
      <c r="O168" s="137">
        <f t="shared" si="43"/>
        <v>0.42</v>
      </c>
      <c r="P168" s="137">
        <f t="shared" si="43"/>
        <v>0.42</v>
      </c>
      <c r="Q168" s="137">
        <f t="shared" si="43"/>
        <v>0.42</v>
      </c>
      <c r="R168" s="137">
        <f t="shared" si="44"/>
        <v>0.42</v>
      </c>
      <c r="S168" s="137">
        <f t="shared" si="44"/>
        <v>0.42</v>
      </c>
      <c r="T168" s="137">
        <f t="shared" si="44"/>
        <v>0.42</v>
      </c>
      <c r="U168" s="137">
        <f t="shared" si="44"/>
        <v>0.42</v>
      </c>
      <c r="V168" s="137">
        <f t="shared" si="44"/>
        <v>0.42</v>
      </c>
      <c r="W168" s="137">
        <f t="shared" si="44"/>
        <v>0.42</v>
      </c>
      <c r="X168" s="137">
        <f t="shared" si="44"/>
        <v>0.42</v>
      </c>
      <c r="Y168" s="137">
        <f t="shared" si="44"/>
        <v>0.42</v>
      </c>
      <c r="Z168" s="137">
        <f t="shared" si="44"/>
        <v>0.42</v>
      </c>
      <c r="AA168" s="137">
        <f t="shared" si="44"/>
        <v>0.42</v>
      </c>
      <c r="AB168" s="137">
        <f t="shared" si="44"/>
        <v>0.42</v>
      </c>
      <c r="AC168" s="137">
        <f t="shared" si="44"/>
        <v>0.42</v>
      </c>
      <c r="AD168" s="137">
        <f t="shared" si="44"/>
        <v>0.42</v>
      </c>
      <c r="AE168" s="137">
        <f t="shared" si="44"/>
        <v>0.42</v>
      </c>
      <c r="AF168" s="137">
        <f t="shared" si="44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3"/>
        <v>0.46</v>
      </c>
      <c r="D169" s="137">
        <f t="shared" si="43"/>
        <v>0.46</v>
      </c>
      <c r="E169" s="137">
        <f t="shared" si="43"/>
        <v>0.46</v>
      </c>
      <c r="F169" s="137">
        <f t="shared" si="43"/>
        <v>0.46</v>
      </c>
      <c r="G169" s="137">
        <f t="shared" si="43"/>
        <v>0.46</v>
      </c>
      <c r="H169" s="137">
        <f t="shared" si="43"/>
        <v>0.46</v>
      </c>
      <c r="I169" s="137">
        <f t="shared" si="43"/>
        <v>0.46</v>
      </c>
      <c r="J169" s="137">
        <f t="shared" si="43"/>
        <v>0.46</v>
      </c>
      <c r="K169" s="137">
        <f t="shared" si="43"/>
        <v>0.46</v>
      </c>
      <c r="L169" s="137">
        <f t="shared" si="43"/>
        <v>0.46</v>
      </c>
      <c r="M169" s="137">
        <f t="shared" si="43"/>
        <v>0.46</v>
      </c>
      <c r="N169" s="137">
        <f t="shared" si="43"/>
        <v>0.46</v>
      </c>
      <c r="O169" s="137">
        <f t="shared" si="43"/>
        <v>0.46</v>
      </c>
      <c r="P169" s="137">
        <f t="shared" si="43"/>
        <v>0.46</v>
      </c>
      <c r="Q169" s="137">
        <f t="shared" si="43"/>
        <v>0.46</v>
      </c>
      <c r="R169" s="137">
        <f t="shared" si="44"/>
        <v>0.46</v>
      </c>
      <c r="S169" s="137">
        <f t="shared" si="44"/>
        <v>0.46</v>
      </c>
      <c r="T169" s="137">
        <f t="shared" si="44"/>
        <v>0.46</v>
      </c>
      <c r="U169" s="137">
        <f t="shared" si="44"/>
        <v>0.46</v>
      </c>
      <c r="V169" s="137">
        <f t="shared" si="44"/>
        <v>0.46</v>
      </c>
      <c r="W169" s="137">
        <f t="shared" si="44"/>
        <v>0.46</v>
      </c>
      <c r="X169" s="137">
        <f t="shared" si="44"/>
        <v>0.46</v>
      </c>
      <c r="Y169" s="137">
        <f t="shared" si="44"/>
        <v>0.46</v>
      </c>
      <c r="Z169" s="137">
        <f t="shared" si="44"/>
        <v>0.46</v>
      </c>
      <c r="AA169" s="137">
        <f t="shared" si="44"/>
        <v>0.46</v>
      </c>
      <c r="AB169" s="137">
        <f t="shared" si="44"/>
        <v>0.46</v>
      </c>
      <c r="AC169" s="137">
        <f t="shared" si="44"/>
        <v>0.46</v>
      </c>
      <c r="AD169" s="137">
        <f t="shared" si="44"/>
        <v>0.46</v>
      </c>
      <c r="AE169" s="137">
        <f t="shared" si="44"/>
        <v>0.46</v>
      </c>
      <c r="AF169" s="137">
        <f t="shared" si="44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3"/>
        <v>0.85</v>
      </c>
      <c r="D170" s="137">
        <f t="shared" si="43"/>
        <v>0.85</v>
      </c>
      <c r="E170" s="137">
        <f t="shared" si="43"/>
        <v>0.85</v>
      </c>
      <c r="F170" s="137">
        <f t="shared" si="43"/>
        <v>0.85</v>
      </c>
      <c r="G170" s="137">
        <f t="shared" si="43"/>
        <v>0.85</v>
      </c>
      <c r="H170" s="137">
        <f t="shared" si="43"/>
        <v>0.85</v>
      </c>
      <c r="I170" s="137">
        <f t="shared" si="43"/>
        <v>0.85</v>
      </c>
      <c r="J170" s="137">
        <f t="shared" si="43"/>
        <v>0.85</v>
      </c>
      <c r="K170" s="137">
        <f t="shared" si="43"/>
        <v>0.85</v>
      </c>
      <c r="L170" s="137">
        <f t="shared" si="43"/>
        <v>0.85</v>
      </c>
      <c r="M170" s="137">
        <f t="shared" si="43"/>
        <v>0.85</v>
      </c>
      <c r="N170" s="137">
        <f t="shared" si="43"/>
        <v>0.85</v>
      </c>
      <c r="O170" s="137">
        <f t="shared" si="43"/>
        <v>0.85</v>
      </c>
      <c r="P170" s="137">
        <f t="shared" si="43"/>
        <v>0.85</v>
      </c>
      <c r="Q170" s="137">
        <f t="shared" si="43"/>
        <v>0.85</v>
      </c>
      <c r="R170" s="137">
        <f t="shared" si="44"/>
        <v>0.85</v>
      </c>
      <c r="S170" s="137">
        <f t="shared" si="44"/>
        <v>0.85</v>
      </c>
      <c r="T170" s="137">
        <f t="shared" si="44"/>
        <v>0.85</v>
      </c>
      <c r="U170" s="137">
        <f t="shared" si="44"/>
        <v>0.85</v>
      </c>
      <c r="V170" s="137">
        <f t="shared" si="44"/>
        <v>0.85</v>
      </c>
      <c r="W170" s="137">
        <f t="shared" si="44"/>
        <v>0.85</v>
      </c>
      <c r="X170" s="137">
        <f t="shared" si="44"/>
        <v>0.85</v>
      </c>
      <c r="Y170" s="137">
        <f t="shared" si="44"/>
        <v>0.85</v>
      </c>
      <c r="Z170" s="137">
        <f t="shared" si="44"/>
        <v>0.85</v>
      </c>
      <c r="AA170" s="137">
        <f t="shared" si="44"/>
        <v>0.85</v>
      </c>
      <c r="AB170" s="137">
        <f t="shared" si="44"/>
        <v>0.85</v>
      </c>
      <c r="AC170" s="137">
        <f t="shared" si="44"/>
        <v>0.85</v>
      </c>
      <c r="AD170" s="137">
        <f t="shared" si="44"/>
        <v>0.85</v>
      </c>
      <c r="AE170" s="137">
        <f t="shared" si="44"/>
        <v>0.85</v>
      </c>
      <c r="AF170" s="137">
        <f t="shared" si="44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3"/>
        <v>0.9</v>
      </c>
      <c r="D171" s="137">
        <f t="shared" si="43"/>
        <v>0.9</v>
      </c>
      <c r="E171" s="137">
        <f t="shared" si="43"/>
        <v>0.9</v>
      </c>
      <c r="F171" s="137">
        <f t="shared" si="43"/>
        <v>0.9</v>
      </c>
      <c r="G171" s="137">
        <f t="shared" si="43"/>
        <v>0.9</v>
      </c>
      <c r="H171" s="137">
        <f t="shared" si="43"/>
        <v>0.9</v>
      </c>
      <c r="I171" s="137">
        <f t="shared" si="43"/>
        <v>0.9</v>
      </c>
      <c r="J171" s="137">
        <f t="shared" si="43"/>
        <v>0.9</v>
      </c>
      <c r="K171" s="137">
        <f t="shared" si="43"/>
        <v>0.9</v>
      </c>
      <c r="L171" s="137">
        <f t="shared" si="43"/>
        <v>0.9</v>
      </c>
      <c r="M171" s="137">
        <f t="shared" si="43"/>
        <v>0.9</v>
      </c>
      <c r="N171" s="137">
        <f t="shared" si="43"/>
        <v>0.9</v>
      </c>
      <c r="O171" s="137">
        <f t="shared" si="43"/>
        <v>0.9</v>
      </c>
      <c r="P171" s="137">
        <f t="shared" si="43"/>
        <v>0.9</v>
      </c>
      <c r="Q171" s="137">
        <f t="shared" si="43"/>
        <v>0.9</v>
      </c>
      <c r="R171" s="137">
        <f t="shared" si="44"/>
        <v>0.9</v>
      </c>
      <c r="S171" s="137">
        <f t="shared" si="44"/>
        <v>0.9</v>
      </c>
      <c r="T171" s="137">
        <f t="shared" si="44"/>
        <v>0.9</v>
      </c>
      <c r="U171" s="137">
        <f t="shared" si="44"/>
        <v>0.9</v>
      </c>
      <c r="V171" s="137">
        <f t="shared" si="44"/>
        <v>0.9</v>
      </c>
      <c r="W171" s="137">
        <f t="shared" si="44"/>
        <v>0.9</v>
      </c>
      <c r="X171" s="137">
        <f t="shared" si="44"/>
        <v>0.9</v>
      </c>
      <c r="Y171" s="137">
        <f t="shared" si="44"/>
        <v>0.9</v>
      </c>
      <c r="Z171" s="137">
        <f t="shared" si="44"/>
        <v>0.9</v>
      </c>
      <c r="AA171" s="137">
        <f t="shared" si="44"/>
        <v>0.9</v>
      </c>
      <c r="AB171" s="137">
        <f t="shared" si="44"/>
        <v>0.9</v>
      </c>
      <c r="AC171" s="137">
        <f t="shared" si="44"/>
        <v>0.9</v>
      </c>
      <c r="AD171" s="137">
        <f t="shared" si="44"/>
        <v>0.9</v>
      </c>
      <c r="AE171" s="137">
        <f t="shared" si="44"/>
        <v>0.9</v>
      </c>
      <c r="AF171" s="137">
        <f t="shared" si="44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3"/>
        <v>0.44</v>
      </c>
      <c r="D172" s="137">
        <f t="shared" si="43"/>
        <v>0.44</v>
      </c>
      <c r="E172" s="137">
        <f t="shared" si="43"/>
        <v>0.44</v>
      </c>
      <c r="F172" s="137">
        <f t="shared" si="43"/>
        <v>0.44</v>
      </c>
      <c r="G172" s="137">
        <f t="shared" si="43"/>
        <v>0.44</v>
      </c>
      <c r="H172" s="137">
        <f t="shared" si="43"/>
        <v>0.44</v>
      </c>
      <c r="I172" s="137">
        <f t="shared" si="43"/>
        <v>0.44</v>
      </c>
      <c r="J172" s="137">
        <f t="shared" si="43"/>
        <v>0.44</v>
      </c>
      <c r="K172" s="137">
        <f t="shared" si="43"/>
        <v>0.44</v>
      </c>
      <c r="L172" s="137">
        <f t="shared" si="43"/>
        <v>0.44</v>
      </c>
      <c r="M172" s="137">
        <f t="shared" si="43"/>
        <v>0.44</v>
      </c>
      <c r="N172" s="137">
        <f t="shared" si="43"/>
        <v>0.44</v>
      </c>
      <c r="O172" s="137">
        <f t="shared" si="43"/>
        <v>0.44</v>
      </c>
      <c r="P172" s="137">
        <f t="shared" si="43"/>
        <v>0.44</v>
      </c>
      <c r="Q172" s="137">
        <f t="shared" si="43"/>
        <v>0.44</v>
      </c>
      <c r="R172" s="137">
        <f t="shared" si="44"/>
        <v>0.44</v>
      </c>
      <c r="S172" s="137">
        <f t="shared" si="44"/>
        <v>0.44</v>
      </c>
      <c r="T172" s="137">
        <f t="shared" si="44"/>
        <v>0.44</v>
      </c>
      <c r="U172" s="137">
        <f t="shared" si="44"/>
        <v>0.44</v>
      </c>
      <c r="V172" s="137">
        <f t="shared" si="44"/>
        <v>0.44</v>
      </c>
      <c r="W172" s="137">
        <f t="shared" si="44"/>
        <v>0.44</v>
      </c>
      <c r="X172" s="137">
        <f t="shared" si="44"/>
        <v>0.44</v>
      </c>
      <c r="Y172" s="137">
        <f t="shared" si="44"/>
        <v>0.44</v>
      </c>
      <c r="Z172" s="137">
        <f t="shared" si="44"/>
        <v>0.44</v>
      </c>
      <c r="AA172" s="137">
        <f t="shared" si="44"/>
        <v>0.44</v>
      </c>
      <c r="AB172" s="137">
        <f t="shared" si="44"/>
        <v>0.44</v>
      </c>
      <c r="AC172" s="137">
        <f t="shared" si="44"/>
        <v>0.44</v>
      </c>
      <c r="AD172" s="137">
        <f t="shared" si="44"/>
        <v>0.44</v>
      </c>
      <c r="AE172" s="137">
        <f t="shared" si="44"/>
        <v>0.44</v>
      </c>
      <c r="AF172" s="137">
        <f t="shared" si="44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3"/>
        <v>2.1</v>
      </c>
      <c r="D173" s="137">
        <f t="shared" si="43"/>
        <v>2.1</v>
      </c>
      <c r="E173" s="137">
        <f t="shared" si="43"/>
        <v>2.1</v>
      </c>
      <c r="F173" s="137">
        <f t="shared" si="43"/>
        <v>2.1</v>
      </c>
      <c r="G173" s="137">
        <f t="shared" si="43"/>
        <v>2.1</v>
      </c>
      <c r="H173" s="137">
        <f t="shared" si="43"/>
        <v>2.1</v>
      </c>
      <c r="I173" s="137">
        <f t="shared" si="43"/>
        <v>2.1</v>
      </c>
      <c r="J173" s="137">
        <f t="shared" si="43"/>
        <v>2.1</v>
      </c>
      <c r="K173" s="137">
        <f t="shared" si="43"/>
        <v>2.1</v>
      </c>
      <c r="L173" s="137">
        <f t="shared" si="43"/>
        <v>2.1</v>
      </c>
      <c r="M173" s="137">
        <f t="shared" si="43"/>
        <v>2.1</v>
      </c>
      <c r="N173" s="137">
        <f t="shared" si="43"/>
        <v>2.1</v>
      </c>
      <c r="O173" s="137">
        <f t="shared" si="43"/>
        <v>2.1</v>
      </c>
      <c r="P173" s="137">
        <f t="shared" si="43"/>
        <v>2.1</v>
      </c>
      <c r="Q173" s="137">
        <f t="shared" si="43"/>
        <v>2.1</v>
      </c>
      <c r="R173" s="137">
        <f t="shared" si="44"/>
        <v>2.1</v>
      </c>
      <c r="S173" s="137">
        <f t="shared" si="44"/>
        <v>2.1</v>
      </c>
      <c r="T173" s="137">
        <f t="shared" si="44"/>
        <v>2.1</v>
      </c>
      <c r="U173" s="137">
        <f t="shared" si="44"/>
        <v>2.1</v>
      </c>
      <c r="V173" s="137">
        <f t="shared" si="44"/>
        <v>2.1</v>
      </c>
      <c r="W173" s="137">
        <f t="shared" si="44"/>
        <v>2.1</v>
      </c>
      <c r="X173" s="137">
        <f t="shared" si="44"/>
        <v>2.1</v>
      </c>
      <c r="Y173" s="137">
        <f t="shared" si="44"/>
        <v>2.1</v>
      </c>
      <c r="Z173" s="137">
        <f t="shared" si="44"/>
        <v>2.1</v>
      </c>
      <c r="AA173" s="137">
        <f t="shared" si="44"/>
        <v>2.1</v>
      </c>
      <c r="AB173" s="137">
        <f t="shared" si="44"/>
        <v>2.1</v>
      </c>
      <c r="AC173" s="137">
        <f t="shared" si="44"/>
        <v>2.1</v>
      </c>
      <c r="AD173" s="137">
        <f t="shared" si="44"/>
        <v>2.1</v>
      </c>
      <c r="AE173" s="137">
        <f t="shared" si="44"/>
        <v>2.1</v>
      </c>
      <c r="AF173" s="137">
        <f t="shared" si="44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3"/>
        <v>0.9</v>
      </c>
      <c r="D174" s="137">
        <f t="shared" si="43"/>
        <v>0.9</v>
      </c>
      <c r="E174" s="137">
        <f t="shared" si="43"/>
        <v>0.9</v>
      </c>
      <c r="F174" s="137">
        <f t="shared" si="43"/>
        <v>0.9</v>
      </c>
      <c r="G174" s="137">
        <f t="shared" si="43"/>
        <v>0.9</v>
      </c>
      <c r="H174" s="137">
        <f t="shared" si="43"/>
        <v>0.9</v>
      </c>
      <c r="I174" s="137">
        <f t="shared" si="43"/>
        <v>0.9</v>
      </c>
      <c r="J174" s="137">
        <f t="shared" si="43"/>
        <v>0.9</v>
      </c>
      <c r="K174" s="137">
        <f t="shared" si="43"/>
        <v>0.9</v>
      </c>
      <c r="L174" s="137">
        <f t="shared" si="43"/>
        <v>0.9</v>
      </c>
      <c r="M174" s="137">
        <f t="shared" si="43"/>
        <v>0.9</v>
      </c>
      <c r="N174" s="137">
        <f t="shared" si="43"/>
        <v>0.9</v>
      </c>
      <c r="O174" s="137">
        <f t="shared" si="43"/>
        <v>0.9</v>
      </c>
      <c r="P174" s="137">
        <f t="shared" si="43"/>
        <v>0.9</v>
      </c>
      <c r="Q174" s="137">
        <f t="shared" si="43"/>
        <v>0.9</v>
      </c>
      <c r="R174" s="137">
        <f t="shared" si="44"/>
        <v>0.9</v>
      </c>
      <c r="S174" s="137">
        <f t="shared" si="44"/>
        <v>0.9</v>
      </c>
      <c r="T174" s="137">
        <f t="shared" si="44"/>
        <v>0.9</v>
      </c>
      <c r="U174" s="137">
        <f t="shared" si="44"/>
        <v>0.9</v>
      </c>
      <c r="V174" s="137">
        <f t="shared" si="44"/>
        <v>0.9</v>
      </c>
      <c r="W174" s="137">
        <f t="shared" si="44"/>
        <v>0.9</v>
      </c>
      <c r="X174" s="137">
        <f t="shared" si="44"/>
        <v>0.9</v>
      </c>
      <c r="Y174" s="137">
        <f t="shared" si="44"/>
        <v>0.9</v>
      </c>
      <c r="Z174" s="137">
        <f t="shared" si="44"/>
        <v>0.9</v>
      </c>
      <c r="AA174" s="137">
        <f t="shared" si="44"/>
        <v>0.9</v>
      </c>
      <c r="AB174" s="137">
        <f t="shared" si="44"/>
        <v>0.9</v>
      </c>
      <c r="AC174" s="137">
        <f t="shared" si="44"/>
        <v>0.9</v>
      </c>
      <c r="AD174" s="137">
        <f t="shared" si="44"/>
        <v>0.9</v>
      </c>
      <c r="AE174" s="137">
        <f t="shared" si="44"/>
        <v>0.9</v>
      </c>
      <c r="AF174" s="137">
        <f t="shared" si="44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5">B176</f>
        <v>0.57999999999999996</v>
      </c>
      <c r="D176" s="137">
        <f t="shared" si="45"/>
        <v>0.57999999999999996</v>
      </c>
      <c r="E176" s="137">
        <f t="shared" si="45"/>
        <v>0.57999999999999996</v>
      </c>
      <c r="F176" s="137">
        <f t="shared" si="45"/>
        <v>0.57999999999999996</v>
      </c>
      <c r="G176" s="137">
        <f t="shared" si="45"/>
        <v>0.57999999999999996</v>
      </c>
      <c r="H176" s="137">
        <f t="shared" si="45"/>
        <v>0.57999999999999996</v>
      </c>
      <c r="I176" s="137">
        <f t="shared" si="45"/>
        <v>0.57999999999999996</v>
      </c>
      <c r="J176" s="137">
        <f t="shared" si="45"/>
        <v>0.57999999999999996</v>
      </c>
      <c r="K176" s="137">
        <f t="shared" si="45"/>
        <v>0.57999999999999996</v>
      </c>
      <c r="L176" s="137">
        <f t="shared" si="45"/>
        <v>0.57999999999999996</v>
      </c>
      <c r="M176" s="137">
        <f t="shared" si="45"/>
        <v>0.57999999999999996</v>
      </c>
      <c r="N176" s="137">
        <f t="shared" si="45"/>
        <v>0.57999999999999996</v>
      </c>
      <c r="O176" s="137">
        <f t="shared" si="45"/>
        <v>0.57999999999999996</v>
      </c>
      <c r="P176" s="137">
        <f t="shared" si="45"/>
        <v>0.57999999999999996</v>
      </c>
      <c r="Q176" s="137">
        <f t="shared" si="45"/>
        <v>0.57999999999999996</v>
      </c>
      <c r="R176" s="137">
        <f t="shared" si="45"/>
        <v>0.57999999999999996</v>
      </c>
      <c r="S176" s="137">
        <f t="shared" ref="R176:AF188" si="46">R176</f>
        <v>0.57999999999999996</v>
      </c>
      <c r="T176" s="137">
        <f t="shared" si="46"/>
        <v>0.57999999999999996</v>
      </c>
      <c r="U176" s="137">
        <f t="shared" si="46"/>
        <v>0.57999999999999996</v>
      </c>
      <c r="V176" s="137">
        <f t="shared" si="46"/>
        <v>0.57999999999999996</v>
      </c>
      <c r="W176" s="137">
        <f t="shared" si="46"/>
        <v>0.57999999999999996</v>
      </c>
      <c r="X176" s="137">
        <f t="shared" si="46"/>
        <v>0.57999999999999996</v>
      </c>
      <c r="Y176" s="137">
        <f t="shared" si="46"/>
        <v>0.57999999999999996</v>
      </c>
      <c r="Z176" s="137">
        <f t="shared" si="46"/>
        <v>0.57999999999999996</v>
      </c>
      <c r="AA176" s="137">
        <f t="shared" si="46"/>
        <v>0.57999999999999996</v>
      </c>
      <c r="AB176" s="137">
        <f t="shared" si="46"/>
        <v>0.57999999999999996</v>
      </c>
      <c r="AC176" s="137">
        <f t="shared" si="46"/>
        <v>0.57999999999999996</v>
      </c>
      <c r="AD176" s="137">
        <f t="shared" si="46"/>
        <v>0.57999999999999996</v>
      </c>
      <c r="AE176" s="137">
        <f t="shared" si="46"/>
        <v>0.57999999999999996</v>
      </c>
      <c r="AF176" s="137">
        <f t="shared" si="46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5"/>
        <v>0.8</v>
      </c>
      <c r="D177" s="137">
        <f t="shared" si="45"/>
        <v>0.8</v>
      </c>
      <c r="E177" s="137">
        <f t="shared" si="45"/>
        <v>0.8</v>
      </c>
      <c r="F177" s="137">
        <f t="shared" si="45"/>
        <v>0.8</v>
      </c>
      <c r="G177" s="137">
        <f t="shared" si="45"/>
        <v>0.8</v>
      </c>
      <c r="H177" s="137">
        <f t="shared" si="45"/>
        <v>0.8</v>
      </c>
      <c r="I177" s="137">
        <f t="shared" si="45"/>
        <v>0.8</v>
      </c>
      <c r="J177" s="137">
        <f t="shared" si="45"/>
        <v>0.8</v>
      </c>
      <c r="K177" s="137">
        <f t="shared" si="45"/>
        <v>0.8</v>
      </c>
      <c r="L177" s="137">
        <f t="shared" si="45"/>
        <v>0.8</v>
      </c>
      <c r="M177" s="137">
        <f t="shared" si="45"/>
        <v>0.8</v>
      </c>
      <c r="N177" s="137">
        <f t="shared" si="45"/>
        <v>0.8</v>
      </c>
      <c r="O177" s="137">
        <f t="shared" si="45"/>
        <v>0.8</v>
      </c>
      <c r="P177" s="137">
        <f t="shared" si="45"/>
        <v>0.8</v>
      </c>
      <c r="Q177" s="137">
        <f t="shared" si="45"/>
        <v>0.8</v>
      </c>
      <c r="R177" s="137">
        <f t="shared" si="45"/>
        <v>0.8</v>
      </c>
      <c r="S177" s="137">
        <f t="shared" si="46"/>
        <v>0.8</v>
      </c>
      <c r="T177" s="137">
        <f t="shared" si="46"/>
        <v>0.8</v>
      </c>
      <c r="U177" s="137">
        <f t="shared" si="46"/>
        <v>0.8</v>
      </c>
      <c r="V177" s="137">
        <f t="shared" si="46"/>
        <v>0.8</v>
      </c>
      <c r="W177" s="137">
        <f t="shared" si="46"/>
        <v>0.8</v>
      </c>
      <c r="X177" s="137">
        <f t="shared" si="46"/>
        <v>0.8</v>
      </c>
      <c r="Y177" s="137">
        <f t="shared" si="46"/>
        <v>0.8</v>
      </c>
      <c r="Z177" s="137">
        <f t="shared" si="46"/>
        <v>0.8</v>
      </c>
      <c r="AA177" s="137">
        <f t="shared" si="46"/>
        <v>0.8</v>
      </c>
      <c r="AB177" s="137">
        <f t="shared" si="46"/>
        <v>0.8</v>
      </c>
      <c r="AC177" s="137">
        <f t="shared" si="46"/>
        <v>0.8</v>
      </c>
      <c r="AD177" s="137">
        <f t="shared" si="46"/>
        <v>0.8</v>
      </c>
      <c r="AE177" s="137">
        <f t="shared" si="46"/>
        <v>0.8</v>
      </c>
      <c r="AF177" s="137">
        <f t="shared" si="46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5"/>
        <v>0</v>
      </c>
      <c r="D178" s="137">
        <f t="shared" si="45"/>
        <v>0</v>
      </c>
      <c r="E178" s="137">
        <f t="shared" si="45"/>
        <v>0</v>
      </c>
      <c r="F178" s="137">
        <f t="shared" si="45"/>
        <v>0</v>
      </c>
      <c r="G178" s="137">
        <f t="shared" si="45"/>
        <v>0</v>
      </c>
      <c r="H178" s="137">
        <f t="shared" si="45"/>
        <v>0</v>
      </c>
      <c r="I178" s="137">
        <f t="shared" si="45"/>
        <v>0</v>
      </c>
      <c r="J178" s="137">
        <f t="shared" si="45"/>
        <v>0</v>
      </c>
      <c r="K178" s="137">
        <f t="shared" si="45"/>
        <v>0</v>
      </c>
      <c r="L178" s="137">
        <f t="shared" si="45"/>
        <v>0</v>
      </c>
      <c r="M178" s="137">
        <f t="shared" si="45"/>
        <v>0</v>
      </c>
      <c r="N178" s="137">
        <f t="shared" si="45"/>
        <v>0</v>
      </c>
      <c r="O178" s="137">
        <f t="shared" si="45"/>
        <v>0</v>
      </c>
      <c r="P178" s="137">
        <f t="shared" si="45"/>
        <v>0</v>
      </c>
      <c r="Q178" s="137">
        <f t="shared" si="45"/>
        <v>0</v>
      </c>
      <c r="R178" s="137">
        <f t="shared" si="45"/>
        <v>0</v>
      </c>
      <c r="S178" s="137">
        <f t="shared" si="46"/>
        <v>0</v>
      </c>
      <c r="T178" s="137">
        <f t="shared" si="46"/>
        <v>0</v>
      </c>
      <c r="U178" s="137">
        <f t="shared" si="46"/>
        <v>0</v>
      </c>
      <c r="V178" s="137">
        <f t="shared" si="46"/>
        <v>0</v>
      </c>
      <c r="W178" s="137">
        <f t="shared" si="46"/>
        <v>0</v>
      </c>
      <c r="X178" s="137">
        <f t="shared" si="46"/>
        <v>0</v>
      </c>
      <c r="Y178" s="137">
        <f t="shared" si="46"/>
        <v>0</v>
      </c>
      <c r="Z178" s="137">
        <f t="shared" si="46"/>
        <v>0</v>
      </c>
      <c r="AA178" s="137">
        <f t="shared" si="46"/>
        <v>0</v>
      </c>
      <c r="AB178" s="137">
        <f t="shared" si="46"/>
        <v>0</v>
      </c>
      <c r="AC178" s="137">
        <f t="shared" si="46"/>
        <v>0</v>
      </c>
      <c r="AD178" s="137">
        <f t="shared" si="46"/>
        <v>0</v>
      </c>
      <c r="AE178" s="137">
        <f t="shared" si="46"/>
        <v>0</v>
      </c>
      <c r="AF178" s="137">
        <f t="shared" si="46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5"/>
        <v>0.6</v>
      </c>
      <c r="D179" s="137">
        <f t="shared" si="45"/>
        <v>0.6</v>
      </c>
      <c r="E179" s="137">
        <f t="shared" si="45"/>
        <v>0.6</v>
      </c>
      <c r="F179" s="137">
        <f t="shared" si="45"/>
        <v>0.6</v>
      </c>
      <c r="G179" s="137">
        <f t="shared" si="45"/>
        <v>0.6</v>
      </c>
      <c r="H179" s="137">
        <f t="shared" si="45"/>
        <v>0.6</v>
      </c>
      <c r="I179" s="137">
        <f t="shared" si="45"/>
        <v>0.6</v>
      </c>
      <c r="J179" s="137">
        <f t="shared" si="45"/>
        <v>0.6</v>
      </c>
      <c r="K179" s="137">
        <f t="shared" si="45"/>
        <v>0.6</v>
      </c>
      <c r="L179" s="137">
        <f t="shared" si="45"/>
        <v>0.6</v>
      </c>
      <c r="M179" s="137">
        <f t="shared" si="45"/>
        <v>0.6</v>
      </c>
      <c r="N179" s="137">
        <f t="shared" si="45"/>
        <v>0.6</v>
      </c>
      <c r="O179" s="137">
        <f t="shared" si="45"/>
        <v>0.6</v>
      </c>
      <c r="P179" s="137">
        <f t="shared" si="45"/>
        <v>0.6</v>
      </c>
      <c r="Q179" s="137">
        <f t="shared" si="45"/>
        <v>0.6</v>
      </c>
      <c r="R179" s="137">
        <f t="shared" si="45"/>
        <v>0.6</v>
      </c>
      <c r="S179" s="137">
        <f t="shared" si="46"/>
        <v>0.6</v>
      </c>
      <c r="T179" s="137">
        <f t="shared" si="46"/>
        <v>0.6</v>
      </c>
      <c r="U179" s="137">
        <f t="shared" si="46"/>
        <v>0.6</v>
      </c>
      <c r="V179" s="137">
        <f t="shared" si="46"/>
        <v>0.6</v>
      </c>
      <c r="W179" s="137">
        <f t="shared" si="46"/>
        <v>0.6</v>
      </c>
      <c r="X179" s="137">
        <f t="shared" si="46"/>
        <v>0.6</v>
      </c>
      <c r="Y179" s="137">
        <f t="shared" si="46"/>
        <v>0.6</v>
      </c>
      <c r="Z179" s="137">
        <f t="shared" si="46"/>
        <v>0.6</v>
      </c>
      <c r="AA179" s="137">
        <f t="shared" si="46"/>
        <v>0.6</v>
      </c>
      <c r="AB179" s="137">
        <f t="shared" si="46"/>
        <v>0.6</v>
      </c>
      <c r="AC179" s="137">
        <f t="shared" si="46"/>
        <v>0.6</v>
      </c>
      <c r="AD179" s="137">
        <f t="shared" si="46"/>
        <v>0.6</v>
      </c>
      <c r="AE179" s="137">
        <f t="shared" si="46"/>
        <v>0.6</v>
      </c>
      <c r="AF179" s="137">
        <f t="shared" si="46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5"/>
        <v>0.6</v>
      </c>
      <c r="D180" s="137">
        <f t="shared" si="45"/>
        <v>0.6</v>
      </c>
      <c r="E180" s="137">
        <f t="shared" si="45"/>
        <v>0.6</v>
      </c>
      <c r="F180" s="137">
        <f t="shared" si="45"/>
        <v>0.6</v>
      </c>
      <c r="G180" s="137">
        <f t="shared" si="45"/>
        <v>0.6</v>
      </c>
      <c r="H180" s="137">
        <f t="shared" si="45"/>
        <v>0.6</v>
      </c>
      <c r="I180" s="137">
        <f t="shared" si="45"/>
        <v>0.6</v>
      </c>
      <c r="J180" s="137">
        <f t="shared" si="45"/>
        <v>0.6</v>
      </c>
      <c r="K180" s="137">
        <f t="shared" si="45"/>
        <v>0.6</v>
      </c>
      <c r="L180" s="137">
        <f t="shared" si="45"/>
        <v>0.6</v>
      </c>
      <c r="M180" s="137">
        <f t="shared" si="45"/>
        <v>0.6</v>
      </c>
      <c r="N180" s="137">
        <f t="shared" si="45"/>
        <v>0.6</v>
      </c>
      <c r="O180" s="137">
        <f t="shared" si="45"/>
        <v>0.6</v>
      </c>
      <c r="P180" s="137">
        <f t="shared" si="45"/>
        <v>0.6</v>
      </c>
      <c r="Q180" s="137">
        <f t="shared" si="45"/>
        <v>0.6</v>
      </c>
      <c r="R180" s="137">
        <f t="shared" si="45"/>
        <v>0.6</v>
      </c>
      <c r="S180" s="137">
        <f t="shared" si="46"/>
        <v>0.6</v>
      </c>
      <c r="T180" s="137">
        <f t="shared" si="46"/>
        <v>0.6</v>
      </c>
      <c r="U180" s="137">
        <f t="shared" si="46"/>
        <v>0.6</v>
      </c>
      <c r="V180" s="137">
        <f t="shared" si="46"/>
        <v>0.6</v>
      </c>
      <c r="W180" s="137">
        <f t="shared" si="46"/>
        <v>0.6</v>
      </c>
      <c r="X180" s="137">
        <f t="shared" si="46"/>
        <v>0.6</v>
      </c>
      <c r="Y180" s="137">
        <f t="shared" si="46"/>
        <v>0.6</v>
      </c>
      <c r="Z180" s="137">
        <f t="shared" si="46"/>
        <v>0.6</v>
      </c>
      <c r="AA180" s="137">
        <f t="shared" si="46"/>
        <v>0.6</v>
      </c>
      <c r="AB180" s="137">
        <f t="shared" si="46"/>
        <v>0.6</v>
      </c>
      <c r="AC180" s="137">
        <f t="shared" si="46"/>
        <v>0.6</v>
      </c>
      <c r="AD180" s="137">
        <f t="shared" si="46"/>
        <v>0.6</v>
      </c>
      <c r="AE180" s="137">
        <f t="shared" si="46"/>
        <v>0.6</v>
      </c>
      <c r="AF180" s="137">
        <f t="shared" si="46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5"/>
        <v>0.35</v>
      </c>
      <c r="D181" s="137">
        <f t="shared" si="45"/>
        <v>0.35</v>
      </c>
      <c r="E181" s="137">
        <f t="shared" si="45"/>
        <v>0.35</v>
      </c>
      <c r="F181" s="137">
        <f t="shared" si="45"/>
        <v>0.35</v>
      </c>
      <c r="G181" s="137">
        <f t="shared" si="45"/>
        <v>0.35</v>
      </c>
      <c r="H181" s="137">
        <f t="shared" si="45"/>
        <v>0.35</v>
      </c>
      <c r="I181" s="137">
        <f t="shared" si="45"/>
        <v>0.35</v>
      </c>
      <c r="J181" s="137">
        <f t="shared" si="45"/>
        <v>0.35</v>
      </c>
      <c r="K181" s="137">
        <f t="shared" si="45"/>
        <v>0.35</v>
      </c>
      <c r="L181" s="137">
        <f t="shared" si="45"/>
        <v>0.35</v>
      </c>
      <c r="M181" s="137">
        <f t="shared" si="45"/>
        <v>0.35</v>
      </c>
      <c r="N181" s="137">
        <f t="shared" si="45"/>
        <v>0.35</v>
      </c>
      <c r="O181" s="137">
        <f t="shared" si="45"/>
        <v>0.35</v>
      </c>
      <c r="P181" s="137">
        <f t="shared" si="45"/>
        <v>0.35</v>
      </c>
      <c r="Q181" s="137">
        <f t="shared" si="45"/>
        <v>0.35</v>
      </c>
      <c r="R181" s="137">
        <f t="shared" si="45"/>
        <v>0.35</v>
      </c>
      <c r="S181" s="137">
        <f t="shared" si="46"/>
        <v>0.35</v>
      </c>
      <c r="T181" s="137">
        <f t="shared" si="46"/>
        <v>0.35</v>
      </c>
      <c r="U181" s="137">
        <f t="shared" si="46"/>
        <v>0.35</v>
      </c>
      <c r="V181" s="137">
        <f t="shared" si="46"/>
        <v>0.35</v>
      </c>
      <c r="W181" s="137">
        <f t="shared" si="46"/>
        <v>0.35</v>
      </c>
      <c r="X181" s="137">
        <f t="shared" si="46"/>
        <v>0.35</v>
      </c>
      <c r="Y181" s="137">
        <f t="shared" si="46"/>
        <v>0.35</v>
      </c>
      <c r="Z181" s="137">
        <f t="shared" si="46"/>
        <v>0.35</v>
      </c>
      <c r="AA181" s="137">
        <f t="shared" si="46"/>
        <v>0.35</v>
      </c>
      <c r="AB181" s="137">
        <f t="shared" si="46"/>
        <v>0.35</v>
      </c>
      <c r="AC181" s="137">
        <f t="shared" si="46"/>
        <v>0.35</v>
      </c>
      <c r="AD181" s="137">
        <f t="shared" si="46"/>
        <v>0.35</v>
      </c>
      <c r="AE181" s="137">
        <f t="shared" si="46"/>
        <v>0.35</v>
      </c>
      <c r="AF181" s="137">
        <f t="shared" si="46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5"/>
        <v>0.28999999999999998</v>
      </c>
      <c r="D182" s="137">
        <f t="shared" si="45"/>
        <v>0.28999999999999998</v>
      </c>
      <c r="E182" s="137">
        <f t="shared" si="45"/>
        <v>0.28999999999999998</v>
      </c>
      <c r="F182" s="137">
        <f t="shared" si="45"/>
        <v>0.28999999999999998</v>
      </c>
      <c r="G182" s="137">
        <f t="shared" si="45"/>
        <v>0.28999999999999998</v>
      </c>
      <c r="H182" s="137">
        <f t="shared" si="45"/>
        <v>0.28999999999999998</v>
      </c>
      <c r="I182" s="137">
        <f t="shared" si="45"/>
        <v>0.28999999999999998</v>
      </c>
      <c r="J182" s="137">
        <f t="shared" si="45"/>
        <v>0.28999999999999998</v>
      </c>
      <c r="K182" s="137">
        <f t="shared" si="45"/>
        <v>0.28999999999999998</v>
      </c>
      <c r="L182" s="137">
        <f t="shared" si="45"/>
        <v>0.28999999999999998</v>
      </c>
      <c r="M182" s="137">
        <f t="shared" si="45"/>
        <v>0.28999999999999998</v>
      </c>
      <c r="N182" s="137">
        <f t="shared" si="45"/>
        <v>0.28999999999999998</v>
      </c>
      <c r="O182" s="137">
        <f t="shared" si="45"/>
        <v>0.28999999999999998</v>
      </c>
      <c r="P182" s="137">
        <f t="shared" si="45"/>
        <v>0.28999999999999998</v>
      </c>
      <c r="Q182" s="137">
        <f t="shared" si="45"/>
        <v>0.28999999999999998</v>
      </c>
      <c r="R182" s="137">
        <f t="shared" si="45"/>
        <v>0.28999999999999998</v>
      </c>
      <c r="S182" s="137">
        <f t="shared" si="46"/>
        <v>0.28999999999999998</v>
      </c>
      <c r="T182" s="137">
        <f t="shared" si="46"/>
        <v>0.28999999999999998</v>
      </c>
      <c r="U182" s="137">
        <f t="shared" si="46"/>
        <v>0.28999999999999998</v>
      </c>
      <c r="V182" s="137">
        <f t="shared" si="46"/>
        <v>0.28999999999999998</v>
      </c>
      <c r="W182" s="137">
        <f t="shared" si="46"/>
        <v>0.28999999999999998</v>
      </c>
      <c r="X182" s="137">
        <f t="shared" si="46"/>
        <v>0.28999999999999998</v>
      </c>
      <c r="Y182" s="137">
        <f t="shared" si="46"/>
        <v>0.28999999999999998</v>
      </c>
      <c r="Z182" s="137">
        <f t="shared" si="46"/>
        <v>0.28999999999999998</v>
      </c>
      <c r="AA182" s="137">
        <f t="shared" si="46"/>
        <v>0.28999999999999998</v>
      </c>
      <c r="AB182" s="137">
        <f t="shared" si="46"/>
        <v>0.28999999999999998</v>
      </c>
      <c r="AC182" s="137">
        <f t="shared" si="46"/>
        <v>0.28999999999999998</v>
      </c>
      <c r="AD182" s="137">
        <f t="shared" si="46"/>
        <v>0.28999999999999998</v>
      </c>
      <c r="AE182" s="137">
        <f t="shared" si="46"/>
        <v>0.28999999999999998</v>
      </c>
      <c r="AF182" s="137">
        <f t="shared" si="46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5"/>
        <v>0.06</v>
      </c>
      <c r="D183" s="137">
        <f t="shared" si="45"/>
        <v>0.06</v>
      </c>
      <c r="E183" s="137">
        <f t="shared" si="45"/>
        <v>0.06</v>
      </c>
      <c r="F183" s="137">
        <f t="shared" si="45"/>
        <v>0.06</v>
      </c>
      <c r="G183" s="137">
        <f t="shared" si="45"/>
        <v>0.06</v>
      </c>
      <c r="H183" s="137">
        <f t="shared" si="45"/>
        <v>0.06</v>
      </c>
      <c r="I183" s="137">
        <f t="shared" si="45"/>
        <v>0.06</v>
      </c>
      <c r="J183" s="137">
        <f t="shared" si="45"/>
        <v>0.06</v>
      </c>
      <c r="K183" s="137">
        <f t="shared" si="45"/>
        <v>0.06</v>
      </c>
      <c r="L183" s="137">
        <f t="shared" si="45"/>
        <v>0.06</v>
      </c>
      <c r="M183" s="137">
        <f t="shared" si="45"/>
        <v>0.06</v>
      </c>
      <c r="N183" s="137">
        <f t="shared" si="45"/>
        <v>0.06</v>
      </c>
      <c r="O183" s="137">
        <f t="shared" si="45"/>
        <v>0.06</v>
      </c>
      <c r="P183" s="137">
        <f t="shared" si="45"/>
        <v>0.06</v>
      </c>
      <c r="Q183" s="137">
        <f t="shared" si="45"/>
        <v>0.06</v>
      </c>
      <c r="R183" s="137">
        <f t="shared" si="45"/>
        <v>0.06</v>
      </c>
      <c r="S183" s="137">
        <f t="shared" si="46"/>
        <v>0.06</v>
      </c>
      <c r="T183" s="137">
        <f t="shared" si="46"/>
        <v>0.06</v>
      </c>
      <c r="U183" s="137">
        <f t="shared" si="46"/>
        <v>0.06</v>
      </c>
      <c r="V183" s="137">
        <f t="shared" si="46"/>
        <v>0.06</v>
      </c>
      <c r="W183" s="137">
        <f t="shared" si="46"/>
        <v>0.06</v>
      </c>
      <c r="X183" s="137">
        <f t="shared" si="46"/>
        <v>0.06</v>
      </c>
      <c r="Y183" s="137">
        <f t="shared" si="46"/>
        <v>0.06</v>
      </c>
      <c r="Z183" s="137">
        <f t="shared" si="46"/>
        <v>0.06</v>
      </c>
      <c r="AA183" s="137">
        <f t="shared" si="46"/>
        <v>0.06</v>
      </c>
      <c r="AB183" s="137">
        <f t="shared" si="46"/>
        <v>0.06</v>
      </c>
      <c r="AC183" s="137">
        <f t="shared" si="46"/>
        <v>0.06</v>
      </c>
      <c r="AD183" s="137">
        <f t="shared" si="46"/>
        <v>0.06</v>
      </c>
      <c r="AE183" s="137">
        <f t="shared" si="46"/>
        <v>0.06</v>
      </c>
      <c r="AF183" s="137">
        <f t="shared" si="46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5"/>
        <v>0.11</v>
      </c>
      <c r="D184" s="137">
        <f t="shared" si="45"/>
        <v>0.11</v>
      </c>
      <c r="E184" s="137">
        <f t="shared" si="45"/>
        <v>0.11</v>
      </c>
      <c r="F184" s="137">
        <f t="shared" si="45"/>
        <v>0.11</v>
      </c>
      <c r="G184" s="137">
        <f t="shared" si="45"/>
        <v>0.11</v>
      </c>
      <c r="H184" s="137">
        <f t="shared" si="45"/>
        <v>0.11</v>
      </c>
      <c r="I184" s="137">
        <f t="shared" si="45"/>
        <v>0.11</v>
      </c>
      <c r="J184" s="137">
        <f t="shared" si="45"/>
        <v>0.11</v>
      </c>
      <c r="K184" s="137">
        <f t="shared" si="45"/>
        <v>0.11</v>
      </c>
      <c r="L184" s="137">
        <f t="shared" si="45"/>
        <v>0.11</v>
      </c>
      <c r="M184" s="137">
        <f t="shared" si="45"/>
        <v>0.11</v>
      </c>
      <c r="N184" s="137">
        <f t="shared" si="45"/>
        <v>0.11</v>
      </c>
      <c r="O184" s="137">
        <f t="shared" si="45"/>
        <v>0.11</v>
      </c>
      <c r="P184" s="137">
        <f t="shared" si="45"/>
        <v>0.11</v>
      </c>
      <c r="Q184" s="137">
        <f t="shared" si="45"/>
        <v>0.11</v>
      </c>
      <c r="R184" s="137">
        <f t="shared" si="45"/>
        <v>0.11</v>
      </c>
      <c r="S184" s="137">
        <f t="shared" si="46"/>
        <v>0.11</v>
      </c>
      <c r="T184" s="137">
        <f t="shared" si="46"/>
        <v>0.11</v>
      </c>
      <c r="U184" s="137">
        <f t="shared" si="46"/>
        <v>0.11</v>
      </c>
      <c r="V184" s="137">
        <f t="shared" si="46"/>
        <v>0.11</v>
      </c>
      <c r="W184" s="137">
        <f t="shared" si="46"/>
        <v>0.11</v>
      </c>
      <c r="X184" s="137">
        <f t="shared" si="46"/>
        <v>0.11</v>
      </c>
      <c r="Y184" s="137">
        <f t="shared" si="46"/>
        <v>0.11</v>
      </c>
      <c r="Z184" s="137">
        <f t="shared" si="46"/>
        <v>0.11</v>
      </c>
      <c r="AA184" s="137">
        <f t="shared" si="46"/>
        <v>0.11</v>
      </c>
      <c r="AB184" s="137">
        <f t="shared" si="46"/>
        <v>0.11</v>
      </c>
      <c r="AC184" s="137">
        <f t="shared" si="46"/>
        <v>0.11</v>
      </c>
      <c r="AD184" s="137">
        <f t="shared" si="46"/>
        <v>0.11</v>
      </c>
      <c r="AE184" s="137">
        <f t="shared" si="46"/>
        <v>0.11</v>
      </c>
      <c r="AF184" s="137">
        <f t="shared" si="46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5"/>
        <v>0.1</v>
      </c>
      <c r="D185" s="137">
        <f t="shared" si="45"/>
        <v>0.1</v>
      </c>
      <c r="E185" s="137">
        <f t="shared" si="45"/>
        <v>0.1</v>
      </c>
      <c r="F185" s="137">
        <f t="shared" si="45"/>
        <v>0.1</v>
      </c>
      <c r="G185" s="137">
        <f t="shared" si="45"/>
        <v>0.1</v>
      </c>
      <c r="H185" s="137">
        <f t="shared" si="45"/>
        <v>0.1</v>
      </c>
      <c r="I185" s="137">
        <f t="shared" si="45"/>
        <v>0.1</v>
      </c>
      <c r="J185" s="137">
        <f t="shared" si="45"/>
        <v>0.1</v>
      </c>
      <c r="K185" s="137">
        <f t="shared" si="45"/>
        <v>0.1</v>
      </c>
      <c r="L185" s="137">
        <f t="shared" si="45"/>
        <v>0.1</v>
      </c>
      <c r="M185" s="137">
        <f t="shared" si="45"/>
        <v>0.1</v>
      </c>
      <c r="N185" s="137">
        <f t="shared" si="45"/>
        <v>0.1</v>
      </c>
      <c r="O185" s="137">
        <f t="shared" si="45"/>
        <v>0.1</v>
      </c>
      <c r="P185" s="137">
        <f t="shared" si="45"/>
        <v>0.1</v>
      </c>
      <c r="Q185" s="137">
        <f t="shared" si="45"/>
        <v>0.1</v>
      </c>
      <c r="R185" s="137">
        <f t="shared" si="46"/>
        <v>0.1</v>
      </c>
      <c r="S185" s="137">
        <f t="shared" si="46"/>
        <v>0.1</v>
      </c>
      <c r="T185" s="137">
        <f t="shared" si="46"/>
        <v>0.1</v>
      </c>
      <c r="U185" s="137">
        <f t="shared" si="46"/>
        <v>0.1</v>
      </c>
      <c r="V185" s="137">
        <f t="shared" si="46"/>
        <v>0.1</v>
      </c>
      <c r="W185" s="137">
        <f t="shared" si="46"/>
        <v>0.1</v>
      </c>
      <c r="X185" s="137">
        <f t="shared" si="46"/>
        <v>0.1</v>
      </c>
      <c r="Y185" s="137">
        <f t="shared" si="46"/>
        <v>0.1</v>
      </c>
      <c r="Z185" s="137">
        <f t="shared" si="46"/>
        <v>0.1</v>
      </c>
      <c r="AA185" s="137">
        <f t="shared" si="46"/>
        <v>0.1</v>
      </c>
      <c r="AB185" s="137">
        <f t="shared" si="46"/>
        <v>0.1</v>
      </c>
      <c r="AC185" s="137">
        <f t="shared" si="46"/>
        <v>0.1</v>
      </c>
      <c r="AD185" s="137">
        <f t="shared" si="46"/>
        <v>0.1</v>
      </c>
      <c r="AE185" s="137">
        <f t="shared" si="46"/>
        <v>0.1</v>
      </c>
      <c r="AF185" s="137">
        <f t="shared" si="46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5"/>
        <v>0.09</v>
      </c>
      <c r="D186" s="137">
        <f t="shared" si="45"/>
        <v>0.09</v>
      </c>
      <c r="E186" s="137">
        <f t="shared" si="45"/>
        <v>0.09</v>
      </c>
      <c r="F186" s="137">
        <f t="shared" si="45"/>
        <v>0.09</v>
      </c>
      <c r="G186" s="137">
        <f t="shared" si="45"/>
        <v>0.09</v>
      </c>
      <c r="H186" s="137">
        <f t="shared" si="45"/>
        <v>0.09</v>
      </c>
      <c r="I186" s="137">
        <f t="shared" si="45"/>
        <v>0.09</v>
      </c>
      <c r="J186" s="137">
        <f t="shared" si="45"/>
        <v>0.09</v>
      </c>
      <c r="K186" s="137">
        <f t="shared" si="45"/>
        <v>0.09</v>
      </c>
      <c r="L186" s="137">
        <f t="shared" si="45"/>
        <v>0.09</v>
      </c>
      <c r="M186" s="137">
        <f t="shared" si="45"/>
        <v>0.09</v>
      </c>
      <c r="N186" s="137">
        <f t="shared" si="45"/>
        <v>0.09</v>
      </c>
      <c r="O186" s="137">
        <f t="shared" si="45"/>
        <v>0.09</v>
      </c>
      <c r="P186" s="137">
        <f t="shared" si="45"/>
        <v>0.09</v>
      </c>
      <c r="Q186" s="137">
        <f t="shared" si="45"/>
        <v>0.09</v>
      </c>
      <c r="R186" s="137">
        <f t="shared" si="46"/>
        <v>0.09</v>
      </c>
      <c r="S186" s="137">
        <f t="shared" si="46"/>
        <v>0.09</v>
      </c>
      <c r="T186" s="137">
        <f t="shared" si="46"/>
        <v>0.09</v>
      </c>
      <c r="U186" s="137">
        <f t="shared" si="46"/>
        <v>0.09</v>
      </c>
      <c r="V186" s="137">
        <f t="shared" si="46"/>
        <v>0.09</v>
      </c>
      <c r="W186" s="137">
        <f t="shared" si="46"/>
        <v>0.09</v>
      </c>
      <c r="X186" s="137">
        <f t="shared" si="46"/>
        <v>0.09</v>
      </c>
      <c r="Y186" s="137">
        <f t="shared" si="46"/>
        <v>0.09</v>
      </c>
      <c r="Z186" s="137">
        <f t="shared" si="46"/>
        <v>0.09</v>
      </c>
      <c r="AA186" s="137">
        <f t="shared" si="46"/>
        <v>0.09</v>
      </c>
      <c r="AB186" s="137">
        <f t="shared" si="46"/>
        <v>0.09</v>
      </c>
      <c r="AC186" s="137">
        <f t="shared" si="46"/>
        <v>0.09</v>
      </c>
      <c r="AD186" s="137">
        <f t="shared" si="46"/>
        <v>0.09</v>
      </c>
      <c r="AE186" s="137">
        <f t="shared" si="46"/>
        <v>0.09</v>
      </c>
      <c r="AF186" s="137">
        <f t="shared" si="46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5"/>
        <v>0.04</v>
      </c>
      <c r="D187" s="137">
        <f t="shared" si="45"/>
        <v>0.04</v>
      </c>
      <c r="E187" s="137">
        <f t="shared" si="45"/>
        <v>0.04</v>
      </c>
      <c r="F187" s="137">
        <f t="shared" si="45"/>
        <v>0.04</v>
      </c>
      <c r="G187" s="137">
        <f t="shared" si="45"/>
        <v>0.04</v>
      </c>
      <c r="H187" s="137">
        <f t="shared" si="45"/>
        <v>0.04</v>
      </c>
      <c r="I187" s="137">
        <f t="shared" si="45"/>
        <v>0.04</v>
      </c>
      <c r="J187" s="137">
        <f t="shared" si="45"/>
        <v>0.04</v>
      </c>
      <c r="K187" s="137">
        <f t="shared" si="45"/>
        <v>0.04</v>
      </c>
      <c r="L187" s="137">
        <f t="shared" si="45"/>
        <v>0.04</v>
      </c>
      <c r="M187" s="137">
        <f t="shared" si="45"/>
        <v>0.04</v>
      </c>
      <c r="N187" s="137">
        <f t="shared" si="45"/>
        <v>0.04</v>
      </c>
      <c r="O187" s="137">
        <f t="shared" si="45"/>
        <v>0.04</v>
      </c>
      <c r="P187" s="137">
        <f t="shared" si="45"/>
        <v>0.04</v>
      </c>
      <c r="Q187" s="137">
        <f t="shared" si="45"/>
        <v>0.04</v>
      </c>
      <c r="R187" s="137">
        <f t="shared" si="46"/>
        <v>0.04</v>
      </c>
      <c r="S187" s="137">
        <f t="shared" si="46"/>
        <v>0.04</v>
      </c>
      <c r="T187" s="137">
        <f t="shared" si="46"/>
        <v>0.04</v>
      </c>
      <c r="U187" s="137">
        <f t="shared" si="46"/>
        <v>0.04</v>
      </c>
      <c r="V187" s="137">
        <f t="shared" si="46"/>
        <v>0.04</v>
      </c>
      <c r="W187" s="137">
        <f t="shared" si="46"/>
        <v>0.04</v>
      </c>
      <c r="X187" s="137">
        <f t="shared" si="46"/>
        <v>0.04</v>
      </c>
      <c r="Y187" s="137">
        <f t="shared" si="46"/>
        <v>0.04</v>
      </c>
      <c r="Z187" s="137">
        <f t="shared" si="46"/>
        <v>0.04</v>
      </c>
      <c r="AA187" s="137">
        <f t="shared" si="46"/>
        <v>0.04</v>
      </c>
      <c r="AB187" s="137">
        <f t="shared" si="46"/>
        <v>0.04</v>
      </c>
      <c r="AC187" s="137">
        <f t="shared" si="46"/>
        <v>0.04</v>
      </c>
      <c r="AD187" s="137">
        <f t="shared" si="46"/>
        <v>0.04</v>
      </c>
      <c r="AE187" s="137">
        <f t="shared" si="46"/>
        <v>0.04</v>
      </c>
      <c r="AF187" s="137">
        <f t="shared" si="46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5"/>
        <v>2.3E-2</v>
      </c>
      <c r="E188" s="137">
        <f t="shared" si="45"/>
        <v>2.3E-2</v>
      </c>
      <c r="F188" s="137">
        <f t="shared" si="45"/>
        <v>2.3E-2</v>
      </c>
      <c r="G188" s="137">
        <f t="shared" si="45"/>
        <v>2.3E-2</v>
      </c>
      <c r="H188" s="137">
        <f t="shared" si="45"/>
        <v>2.3E-2</v>
      </c>
      <c r="I188" s="137">
        <f t="shared" si="45"/>
        <v>2.3E-2</v>
      </c>
      <c r="J188" s="137">
        <f t="shared" si="45"/>
        <v>2.3E-2</v>
      </c>
      <c r="K188" s="137">
        <f t="shared" si="45"/>
        <v>2.3E-2</v>
      </c>
      <c r="L188" s="137">
        <f t="shared" si="45"/>
        <v>2.3E-2</v>
      </c>
      <c r="M188" s="137">
        <f t="shared" si="45"/>
        <v>2.3E-2</v>
      </c>
      <c r="N188" s="137">
        <f t="shared" si="45"/>
        <v>2.3E-2</v>
      </c>
      <c r="O188" s="137">
        <f t="shared" si="45"/>
        <v>2.3E-2</v>
      </c>
      <c r="P188" s="137">
        <f t="shared" si="45"/>
        <v>2.3E-2</v>
      </c>
      <c r="Q188" s="137">
        <f t="shared" si="45"/>
        <v>2.3E-2</v>
      </c>
      <c r="R188" s="137">
        <f t="shared" si="46"/>
        <v>2.3E-2</v>
      </c>
      <c r="S188" s="137">
        <f t="shared" si="46"/>
        <v>2.3E-2</v>
      </c>
      <c r="T188" s="137">
        <f t="shared" si="46"/>
        <v>2.3E-2</v>
      </c>
      <c r="U188" s="137">
        <f t="shared" si="46"/>
        <v>2.3E-2</v>
      </c>
      <c r="V188" s="137">
        <f t="shared" si="46"/>
        <v>2.3E-2</v>
      </c>
      <c r="W188" s="137">
        <f t="shared" si="46"/>
        <v>2.3E-2</v>
      </c>
      <c r="X188" s="137">
        <f t="shared" si="46"/>
        <v>2.3E-2</v>
      </c>
      <c r="Y188" s="137">
        <f t="shared" si="46"/>
        <v>2.3E-2</v>
      </c>
      <c r="Z188" s="137">
        <f t="shared" si="46"/>
        <v>2.3E-2</v>
      </c>
      <c r="AA188" s="137">
        <f t="shared" si="46"/>
        <v>2.3E-2</v>
      </c>
      <c r="AB188" s="137">
        <f t="shared" si="46"/>
        <v>2.3E-2</v>
      </c>
      <c r="AC188" s="137">
        <f t="shared" si="46"/>
        <v>2.3E-2</v>
      </c>
      <c r="AD188" s="137">
        <f t="shared" si="46"/>
        <v>2.3E-2</v>
      </c>
      <c r="AE188" s="137">
        <f t="shared" si="46"/>
        <v>2.3E-2</v>
      </c>
      <c r="AF188" s="137">
        <f t="shared" si="46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7">SUM(B99:B188)</f>
        <v>194.70600000000002</v>
      </c>
      <c r="C189" s="141">
        <f t="shared" si="47"/>
        <v>194.70600000000002</v>
      </c>
      <c r="D189" s="141">
        <f t="shared" si="47"/>
        <v>194.70600000000002</v>
      </c>
      <c r="E189" s="141">
        <f t="shared" si="47"/>
        <v>194.70600000000002</v>
      </c>
      <c r="F189" s="141">
        <f t="shared" si="47"/>
        <v>194.70600000000002</v>
      </c>
      <c r="G189" s="141">
        <f t="shared" si="47"/>
        <v>194.70600000000002</v>
      </c>
      <c r="H189" s="141">
        <f t="shared" si="47"/>
        <v>194.70600000000002</v>
      </c>
      <c r="I189" s="141">
        <f t="shared" si="47"/>
        <v>192.10600000000005</v>
      </c>
      <c r="J189" s="141">
        <f t="shared" si="47"/>
        <v>192.10600000000005</v>
      </c>
      <c r="K189" s="141">
        <f t="shared" si="47"/>
        <v>192.10600000000005</v>
      </c>
      <c r="L189" s="141">
        <f t="shared" si="47"/>
        <v>192.10600000000005</v>
      </c>
      <c r="M189" s="141">
        <f t="shared" si="47"/>
        <v>192.10600000000005</v>
      </c>
      <c r="N189" s="141">
        <f t="shared" si="47"/>
        <v>192.10600000000005</v>
      </c>
      <c r="O189" s="141">
        <f t="shared" si="47"/>
        <v>192.10600000000005</v>
      </c>
      <c r="P189" s="141">
        <f t="shared" si="47"/>
        <v>192.10600000000005</v>
      </c>
      <c r="Q189" s="141">
        <f t="shared" si="47"/>
        <v>192.10600000000005</v>
      </c>
      <c r="R189" s="141">
        <f t="shared" si="47"/>
        <v>192.10600000000005</v>
      </c>
      <c r="S189" s="141">
        <f t="shared" si="47"/>
        <v>192.10600000000005</v>
      </c>
      <c r="T189" s="141">
        <f t="shared" si="47"/>
        <v>192.10600000000005</v>
      </c>
      <c r="U189" s="141">
        <f t="shared" si="47"/>
        <v>192.10600000000005</v>
      </c>
      <c r="V189" s="141">
        <f t="shared" si="47"/>
        <v>192.10600000000005</v>
      </c>
      <c r="W189" s="141">
        <f t="shared" si="47"/>
        <v>192.10600000000005</v>
      </c>
      <c r="X189" s="141">
        <f t="shared" si="47"/>
        <v>192.10600000000005</v>
      </c>
      <c r="Y189" s="141">
        <f t="shared" si="47"/>
        <v>192.10600000000005</v>
      </c>
      <c r="Z189" s="141">
        <f t="shared" si="47"/>
        <v>192.10600000000005</v>
      </c>
      <c r="AA189" s="141">
        <f t="shared" si="47"/>
        <v>192.10600000000005</v>
      </c>
      <c r="AB189" s="141">
        <f t="shared" si="47"/>
        <v>192.10600000000005</v>
      </c>
      <c r="AC189" s="141">
        <f t="shared" si="47"/>
        <v>192.10600000000005</v>
      </c>
      <c r="AD189" s="141">
        <f t="shared" si="47"/>
        <v>192.10600000000005</v>
      </c>
      <c r="AE189" s="141">
        <f t="shared" si="47"/>
        <v>192.10600000000005</v>
      </c>
      <c r="AF189" s="141">
        <f t="shared" si="47"/>
        <v>192.10600000000005</v>
      </c>
      <c r="AG189" s="142">
        <f t="shared" si="47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8">B191</f>
        <v>0.3</v>
      </c>
      <c r="D191" s="143">
        <f t="shared" si="48"/>
        <v>0.3</v>
      </c>
      <c r="E191" s="143">
        <f t="shared" si="48"/>
        <v>0.3</v>
      </c>
      <c r="F191" s="143">
        <f t="shared" si="48"/>
        <v>0.3</v>
      </c>
      <c r="G191" s="143">
        <f t="shared" si="48"/>
        <v>0.3</v>
      </c>
      <c r="H191" s="143">
        <f t="shared" si="48"/>
        <v>0.3</v>
      </c>
      <c r="I191" s="143">
        <f t="shared" si="48"/>
        <v>0.3</v>
      </c>
      <c r="J191" s="143">
        <f t="shared" si="48"/>
        <v>0.3</v>
      </c>
      <c r="K191" s="143">
        <f t="shared" si="48"/>
        <v>0.3</v>
      </c>
      <c r="L191" s="143">
        <f t="shared" si="48"/>
        <v>0.3</v>
      </c>
      <c r="M191" s="143">
        <f t="shared" si="48"/>
        <v>0.3</v>
      </c>
      <c r="N191" s="143">
        <f t="shared" si="48"/>
        <v>0.3</v>
      </c>
      <c r="O191" s="143">
        <f t="shared" si="48"/>
        <v>0.3</v>
      </c>
      <c r="P191" s="143">
        <f t="shared" si="48"/>
        <v>0.3</v>
      </c>
      <c r="Q191" s="143">
        <f t="shared" si="48"/>
        <v>0.3</v>
      </c>
      <c r="R191" s="143">
        <f t="shared" si="48"/>
        <v>0.3</v>
      </c>
      <c r="S191" s="143">
        <f t="shared" ref="S191:AF196" si="49">R191</f>
        <v>0.3</v>
      </c>
      <c r="T191" s="143">
        <f t="shared" si="49"/>
        <v>0.3</v>
      </c>
      <c r="U191" s="143">
        <f t="shared" si="49"/>
        <v>0.3</v>
      </c>
      <c r="V191" s="143">
        <f t="shared" si="49"/>
        <v>0.3</v>
      </c>
      <c r="W191" s="143">
        <f t="shared" si="49"/>
        <v>0.3</v>
      </c>
      <c r="X191" s="143">
        <f t="shared" si="49"/>
        <v>0.3</v>
      </c>
      <c r="Y191" s="143">
        <f t="shared" si="49"/>
        <v>0.3</v>
      </c>
      <c r="Z191" s="143">
        <f t="shared" si="49"/>
        <v>0.3</v>
      </c>
      <c r="AA191" s="143">
        <f t="shared" si="49"/>
        <v>0.3</v>
      </c>
      <c r="AB191" s="143">
        <f t="shared" si="49"/>
        <v>0.3</v>
      </c>
      <c r="AC191" s="143">
        <f t="shared" si="49"/>
        <v>0.3</v>
      </c>
      <c r="AD191" s="143">
        <f t="shared" si="49"/>
        <v>0.3</v>
      </c>
      <c r="AE191" s="143">
        <f t="shared" si="49"/>
        <v>0.3</v>
      </c>
      <c r="AF191" s="143">
        <f t="shared" si="49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8"/>
        <v>0.4</v>
      </c>
      <c r="D192" s="137">
        <f t="shared" si="48"/>
        <v>0.4</v>
      </c>
      <c r="E192" s="137">
        <f t="shared" si="48"/>
        <v>0.4</v>
      </c>
      <c r="F192" s="137">
        <f t="shared" si="48"/>
        <v>0.4</v>
      </c>
      <c r="G192" s="137">
        <f t="shared" si="48"/>
        <v>0.4</v>
      </c>
      <c r="H192" s="137">
        <f t="shared" si="48"/>
        <v>0.4</v>
      </c>
      <c r="I192" s="137">
        <f t="shared" si="48"/>
        <v>0.4</v>
      </c>
      <c r="J192" s="137">
        <f t="shared" si="48"/>
        <v>0.4</v>
      </c>
      <c r="K192" s="137">
        <f t="shared" si="48"/>
        <v>0.4</v>
      </c>
      <c r="L192" s="137">
        <f t="shared" si="48"/>
        <v>0.4</v>
      </c>
      <c r="M192" s="137">
        <f t="shared" si="48"/>
        <v>0.4</v>
      </c>
      <c r="N192" s="137">
        <f t="shared" si="48"/>
        <v>0.4</v>
      </c>
      <c r="O192" s="137">
        <f t="shared" si="48"/>
        <v>0.4</v>
      </c>
      <c r="P192" s="137">
        <f t="shared" si="48"/>
        <v>0.4</v>
      </c>
      <c r="Q192" s="137">
        <f t="shared" si="48"/>
        <v>0.4</v>
      </c>
      <c r="R192" s="137">
        <f t="shared" si="48"/>
        <v>0.4</v>
      </c>
      <c r="S192" s="137">
        <f t="shared" si="49"/>
        <v>0.4</v>
      </c>
      <c r="T192" s="137">
        <f t="shared" si="49"/>
        <v>0.4</v>
      </c>
      <c r="U192" s="137">
        <f t="shared" si="49"/>
        <v>0.4</v>
      </c>
      <c r="V192" s="137">
        <f>U192</f>
        <v>0.4</v>
      </c>
      <c r="W192" s="137">
        <f>V192</f>
        <v>0.4</v>
      </c>
      <c r="X192" s="137">
        <f t="shared" si="49"/>
        <v>0.4</v>
      </c>
      <c r="Y192" s="137">
        <f t="shared" si="49"/>
        <v>0.4</v>
      </c>
      <c r="Z192" s="137">
        <f t="shared" si="49"/>
        <v>0.4</v>
      </c>
      <c r="AA192" s="137">
        <f t="shared" si="49"/>
        <v>0.4</v>
      </c>
      <c r="AB192" s="137">
        <f t="shared" si="49"/>
        <v>0.4</v>
      </c>
      <c r="AC192" s="137">
        <f t="shared" si="49"/>
        <v>0.4</v>
      </c>
      <c r="AD192" s="137">
        <f t="shared" si="49"/>
        <v>0.4</v>
      </c>
      <c r="AE192" s="137">
        <f t="shared" si="49"/>
        <v>0.4</v>
      </c>
      <c r="AF192" s="137">
        <f t="shared" si="49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8"/>
        <v>1.5</v>
      </c>
      <c r="D193" s="137">
        <f t="shared" si="48"/>
        <v>1.5</v>
      </c>
      <c r="E193" s="137">
        <f t="shared" si="48"/>
        <v>1.5</v>
      </c>
      <c r="F193" s="137">
        <f t="shared" si="48"/>
        <v>1.5</v>
      </c>
      <c r="G193" s="137">
        <f t="shared" si="48"/>
        <v>1.5</v>
      </c>
      <c r="H193" s="137">
        <f t="shared" si="48"/>
        <v>1.5</v>
      </c>
      <c r="I193" s="137">
        <f t="shared" si="48"/>
        <v>1.5</v>
      </c>
      <c r="J193" s="137">
        <f t="shared" si="48"/>
        <v>1.5</v>
      </c>
      <c r="K193" s="137">
        <f t="shared" si="48"/>
        <v>1.5</v>
      </c>
      <c r="L193" s="137">
        <f t="shared" si="48"/>
        <v>1.5</v>
      </c>
      <c r="M193" s="137">
        <f t="shared" si="48"/>
        <v>1.5</v>
      </c>
      <c r="N193" s="137">
        <f t="shared" si="48"/>
        <v>1.5</v>
      </c>
      <c r="O193" s="137">
        <f t="shared" si="48"/>
        <v>1.5</v>
      </c>
      <c r="P193" s="137">
        <f t="shared" si="48"/>
        <v>1.5</v>
      </c>
      <c r="Q193" s="137">
        <f t="shared" si="48"/>
        <v>1.5</v>
      </c>
      <c r="R193" s="137">
        <f t="shared" si="48"/>
        <v>1.5</v>
      </c>
      <c r="S193" s="137">
        <f t="shared" si="49"/>
        <v>1.5</v>
      </c>
      <c r="T193" s="137">
        <f t="shared" si="49"/>
        <v>1.5</v>
      </c>
      <c r="U193" s="137">
        <f t="shared" si="49"/>
        <v>1.5</v>
      </c>
      <c r="V193" s="137">
        <f t="shared" si="49"/>
        <v>1.5</v>
      </c>
      <c r="W193" s="137">
        <f t="shared" si="49"/>
        <v>1.5</v>
      </c>
      <c r="X193" s="137">
        <f t="shared" si="49"/>
        <v>1.5</v>
      </c>
      <c r="Y193" s="137">
        <f t="shared" si="49"/>
        <v>1.5</v>
      </c>
      <c r="Z193" s="137">
        <f t="shared" si="49"/>
        <v>1.5</v>
      </c>
      <c r="AA193" s="137">
        <f t="shared" si="49"/>
        <v>1.5</v>
      </c>
      <c r="AB193" s="137">
        <f t="shared" si="49"/>
        <v>1.5</v>
      </c>
      <c r="AC193" s="137">
        <f t="shared" si="49"/>
        <v>1.5</v>
      </c>
      <c r="AD193" s="137">
        <f t="shared" si="49"/>
        <v>1.5</v>
      </c>
      <c r="AE193" s="137">
        <f t="shared" si="49"/>
        <v>1.5</v>
      </c>
      <c r="AF193" s="137">
        <f t="shared" si="49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8"/>
        <v>0.3</v>
      </c>
      <c r="D194" s="137">
        <f t="shared" si="48"/>
        <v>0.3</v>
      </c>
      <c r="E194" s="137">
        <f t="shared" si="48"/>
        <v>0.3</v>
      </c>
      <c r="F194" s="137">
        <f t="shared" si="48"/>
        <v>0.3</v>
      </c>
      <c r="G194" s="137">
        <f t="shared" si="48"/>
        <v>0.3</v>
      </c>
      <c r="H194" s="137">
        <f t="shared" si="48"/>
        <v>0.3</v>
      </c>
      <c r="I194" s="137">
        <f t="shared" si="48"/>
        <v>0.3</v>
      </c>
      <c r="J194" s="137">
        <f t="shared" si="48"/>
        <v>0.3</v>
      </c>
      <c r="K194" s="137">
        <f t="shared" si="48"/>
        <v>0.3</v>
      </c>
      <c r="L194" s="137">
        <f t="shared" si="48"/>
        <v>0.3</v>
      </c>
      <c r="M194" s="137">
        <f t="shared" si="48"/>
        <v>0.3</v>
      </c>
      <c r="N194" s="137">
        <f t="shared" si="48"/>
        <v>0.3</v>
      </c>
      <c r="O194" s="137">
        <f t="shared" si="48"/>
        <v>0.3</v>
      </c>
      <c r="P194" s="137">
        <f t="shared" si="48"/>
        <v>0.3</v>
      </c>
      <c r="Q194" s="137">
        <f t="shared" si="48"/>
        <v>0.3</v>
      </c>
      <c r="R194" s="137">
        <f t="shared" si="48"/>
        <v>0.3</v>
      </c>
      <c r="S194" s="137">
        <f t="shared" si="49"/>
        <v>0.3</v>
      </c>
      <c r="T194" s="137">
        <f t="shared" si="49"/>
        <v>0.3</v>
      </c>
      <c r="U194" s="137">
        <f t="shared" si="49"/>
        <v>0.3</v>
      </c>
      <c r="V194" s="137">
        <f t="shared" si="49"/>
        <v>0.3</v>
      </c>
      <c r="W194" s="137">
        <f t="shared" si="49"/>
        <v>0.3</v>
      </c>
      <c r="X194" s="137">
        <f t="shared" si="49"/>
        <v>0.3</v>
      </c>
      <c r="Y194" s="137">
        <f t="shared" si="49"/>
        <v>0.3</v>
      </c>
      <c r="Z194" s="137">
        <f t="shared" si="49"/>
        <v>0.3</v>
      </c>
      <c r="AA194" s="137">
        <f t="shared" si="49"/>
        <v>0.3</v>
      </c>
      <c r="AB194" s="137">
        <f t="shared" si="49"/>
        <v>0.3</v>
      </c>
      <c r="AC194" s="137">
        <f t="shared" si="49"/>
        <v>0.3</v>
      </c>
      <c r="AD194" s="137">
        <f t="shared" si="49"/>
        <v>0.3</v>
      </c>
      <c r="AE194" s="137">
        <f t="shared" si="49"/>
        <v>0.3</v>
      </c>
      <c r="AF194" s="137">
        <f t="shared" si="49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8"/>
        <v>0.4</v>
      </c>
      <c r="D195" s="137">
        <f t="shared" si="48"/>
        <v>0.4</v>
      </c>
      <c r="E195" s="137">
        <f t="shared" si="48"/>
        <v>0.4</v>
      </c>
      <c r="F195" s="137">
        <f t="shared" si="48"/>
        <v>0.4</v>
      </c>
      <c r="G195" s="137">
        <f t="shared" si="48"/>
        <v>0.4</v>
      </c>
      <c r="H195" s="137">
        <f t="shared" si="48"/>
        <v>0.4</v>
      </c>
      <c r="I195" s="137">
        <f t="shared" si="48"/>
        <v>0.4</v>
      </c>
      <c r="J195" s="137">
        <f t="shared" si="48"/>
        <v>0.4</v>
      </c>
      <c r="K195" s="137">
        <f t="shared" si="48"/>
        <v>0.4</v>
      </c>
      <c r="L195" s="137">
        <f t="shared" si="48"/>
        <v>0.4</v>
      </c>
      <c r="M195" s="137">
        <f t="shared" si="48"/>
        <v>0.4</v>
      </c>
      <c r="N195" s="137">
        <f t="shared" si="48"/>
        <v>0.4</v>
      </c>
      <c r="O195" s="137">
        <f t="shared" si="48"/>
        <v>0.4</v>
      </c>
      <c r="P195" s="137">
        <f t="shared" si="48"/>
        <v>0.4</v>
      </c>
      <c r="Q195" s="137">
        <f t="shared" si="48"/>
        <v>0.4</v>
      </c>
      <c r="R195" s="137">
        <f t="shared" si="48"/>
        <v>0.4</v>
      </c>
      <c r="S195" s="137">
        <f t="shared" si="49"/>
        <v>0.4</v>
      </c>
      <c r="T195" s="137">
        <f t="shared" si="49"/>
        <v>0.4</v>
      </c>
      <c r="U195" s="137">
        <f t="shared" si="49"/>
        <v>0.4</v>
      </c>
      <c r="V195" s="137">
        <f t="shared" si="49"/>
        <v>0.4</v>
      </c>
      <c r="W195" s="137">
        <f t="shared" si="49"/>
        <v>0.4</v>
      </c>
      <c r="X195" s="137">
        <f t="shared" si="49"/>
        <v>0.4</v>
      </c>
      <c r="Y195" s="137">
        <f t="shared" si="49"/>
        <v>0.4</v>
      </c>
      <c r="Z195" s="137">
        <f t="shared" si="49"/>
        <v>0.4</v>
      </c>
      <c r="AA195" s="137">
        <f t="shared" si="49"/>
        <v>0.4</v>
      </c>
      <c r="AB195" s="137">
        <f t="shared" si="49"/>
        <v>0.4</v>
      </c>
      <c r="AC195" s="137">
        <f t="shared" si="49"/>
        <v>0.4</v>
      </c>
      <c r="AD195" s="137">
        <f t="shared" si="49"/>
        <v>0.4</v>
      </c>
      <c r="AE195" s="137">
        <f t="shared" si="49"/>
        <v>0.4</v>
      </c>
      <c r="AF195" s="137">
        <f t="shared" si="49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8"/>
        <v>0.64</v>
      </c>
      <c r="D196" s="146">
        <f t="shared" si="48"/>
        <v>0.64</v>
      </c>
      <c r="E196" s="146">
        <f t="shared" si="48"/>
        <v>0.64</v>
      </c>
      <c r="F196" s="146">
        <f t="shared" si="48"/>
        <v>0.64</v>
      </c>
      <c r="G196" s="146">
        <f t="shared" si="48"/>
        <v>0.64</v>
      </c>
      <c r="H196" s="146">
        <f t="shared" si="48"/>
        <v>0.64</v>
      </c>
      <c r="I196" s="146">
        <f t="shared" si="48"/>
        <v>0.64</v>
      </c>
      <c r="J196" s="146">
        <f t="shared" si="48"/>
        <v>0.64</v>
      </c>
      <c r="K196" s="146">
        <f t="shared" si="48"/>
        <v>0.64</v>
      </c>
      <c r="L196" s="146">
        <f t="shared" si="48"/>
        <v>0.64</v>
      </c>
      <c r="M196" s="146">
        <f t="shared" si="48"/>
        <v>0.64</v>
      </c>
      <c r="N196" s="146">
        <f t="shared" si="48"/>
        <v>0.64</v>
      </c>
      <c r="O196" s="146">
        <f t="shared" si="48"/>
        <v>0.64</v>
      </c>
      <c r="P196" s="146">
        <f t="shared" si="48"/>
        <v>0.64</v>
      </c>
      <c r="Q196" s="146">
        <f t="shared" si="48"/>
        <v>0.64</v>
      </c>
      <c r="R196" s="146">
        <f t="shared" si="48"/>
        <v>0.64</v>
      </c>
      <c r="S196" s="146">
        <f t="shared" si="49"/>
        <v>0.64</v>
      </c>
      <c r="T196" s="146">
        <f t="shared" si="49"/>
        <v>0.64</v>
      </c>
      <c r="U196" s="146">
        <f t="shared" si="49"/>
        <v>0.64</v>
      </c>
      <c r="V196" s="146">
        <f t="shared" si="49"/>
        <v>0.64</v>
      </c>
      <c r="W196" s="146">
        <f t="shared" si="49"/>
        <v>0.64</v>
      </c>
      <c r="X196" s="146">
        <f t="shared" si="49"/>
        <v>0.64</v>
      </c>
      <c r="Y196" s="146">
        <f t="shared" si="49"/>
        <v>0.64</v>
      </c>
      <c r="Z196" s="146">
        <f t="shared" si="49"/>
        <v>0.64</v>
      </c>
      <c r="AA196" s="146">
        <f t="shared" si="49"/>
        <v>0.64</v>
      </c>
      <c r="AB196" s="146">
        <f t="shared" si="49"/>
        <v>0.64</v>
      </c>
      <c r="AC196" s="146">
        <f t="shared" si="49"/>
        <v>0.64</v>
      </c>
      <c r="AD196" s="146">
        <f t="shared" si="49"/>
        <v>0.64</v>
      </c>
      <c r="AE196" s="146">
        <f t="shared" si="49"/>
        <v>0.64</v>
      </c>
      <c r="AF196" s="146">
        <f t="shared" si="49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50">SUM(C191:C196)</f>
        <v>3.54</v>
      </c>
      <c r="D197" s="149">
        <f t="shared" si="50"/>
        <v>3.54</v>
      </c>
      <c r="E197" s="149">
        <f t="shared" si="50"/>
        <v>3.54</v>
      </c>
      <c r="F197" s="149">
        <f t="shared" si="50"/>
        <v>3.54</v>
      </c>
      <c r="G197" s="149">
        <f t="shared" si="50"/>
        <v>3.54</v>
      </c>
      <c r="H197" s="149">
        <f t="shared" si="50"/>
        <v>3.54</v>
      </c>
      <c r="I197" s="149">
        <f t="shared" si="50"/>
        <v>3.54</v>
      </c>
      <c r="J197" s="149">
        <f t="shared" si="50"/>
        <v>3.54</v>
      </c>
      <c r="K197" s="149">
        <f t="shared" si="50"/>
        <v>3.54</v>
      </c>
      <c r="L197" s="149">
        <f>SUM(L191:L196)</f>
        <v>3.54</v>
      </c>
      <c r="M197" s="149">
        <f t="shared" ref="M197:R197" si="51">SUM(M191:M196)</f>
        <v>3.54</v>
      </c>
      <c r="N197" s="149">
        <f t="shared" si="51"/>
        <v>3.54</v>
      </c>
      <c r="O197" s="149">
        <f t="shared" si="51"/>
        <v>3.54</v>
      </c>
      <c r="P197" s="149">
        <f t="shared" si="51"/>
        <v>3.54</v>
      </c>
      <c r="Q197" s="149">
        <f t="shared" si="51"/>
        <v>3.54</v>
      </c>
      <c r="R197" s="149">
        <f t="shared" si="51"/>
        <v>3.54</v>
      </c>
      <c r="S197" s="149">
        <f>SUM(S191:S196)</f>
        <v>3.54</v>
      </c>
      <c r="T197" s="149">
        <f t="shared" ref="T197:AG197" si="52">SUM(T191:T196)</f>
        <v>3.54</v>
      </c>
      <c r="U197" s="149">
        <f t="shared" si="52"/>
        <v>3.54</v>
      </c>
      <c r="V197" s="149">
        <f t="shared" si="52"/>
        <v>3.54</v>
      </c>
      <c r="W197" s="149">
        <f t="shared" si="52"/>
        <v>3.54</v>
      </c>
      <c r="X197" s="149">
        <f t="shared" si="52"/>
        <v>3.54</v>
      </c>
      <c r="Y197" s="149">
        <f t="shared" si="52"/>
        <v>3.54</v>
      </c>
      <c r="Z197" s="149">
        <f t="shared" si="52"/>
        <v>3.54</v>
      </c>
      <c r="AA197" s="149">
        <f t="shared" si="52"/>
        <v>3.54</v>
      </c>
      <c r="AB197" s="149">
        <f t="shared" si="52"/>
        <v>3.54</v>
      </c>
      <c r="AC197" s="149">
        <f t="shared" si="52"/>
        <v>3.54</v>
      </c>
      <c r="AD197" s="149">
        <f t="shared" si="52"/>
        <v>3.54</v>
      </c>
      <c r="AE197" s="149">
        <f t="shared" si="52"/>
        <v>3.54</v>
      </c>
      <c r="AF197" s="149">
        <f t="shared" si="52"/>
        <v>3.54</v>
      </c>
      <c r="AG197" s="150">
        <f t="shared" si="52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1126.24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9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2078/07/9)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2078/07/9)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3">B73</f>
        <v>849.84000000000015</v>
      </c>
      <c r="U211" s="173">
        <f t="shared" si="53"/>
        <v>809.14</v>
      </c>
      <c r="V211" s="173">
        <f t="shared" si="53"/>
        <v>812.34</v>
      </c>
      <c r="W211" s="173">
        <f t="shared" si="53"/>
        <v>810.74</v>
      </c>
      <c r="X211" s="173">
        <f t="shared" si="53"/>
        <v>819.84</v>
      </c>
      <c r="Y211" s="173">
        <f t="shared" si="53"/>
        <v>874.34000000000015</v>
      </c>
      <c r="Z211" s="173">
        <f t="shared" si="53"/>
        <v>901.94</v>
      </c>
      <c r="AA211" s="173">
        <f t="shared" si="53"/>
        <v>939.34000000000015</v>
      </c>
      <c r="AB211" s="173">
        <f t="shared" si="53"/>
        <v>1037.6399999999999</v>
      </c>
      <c r="AC211" s="173">
        <f t="shared" si="53"/>
        <v>1108.3400000000001</v>
      </c>
      <c r="AD211" s="173">
        <f t="shared" si="53"/>
        <v>1126.24</v>
      </c>
      <c r="AE211" s="173">
        <f t="shared" si="53"/>
        <v>1105.04</v>
      </c>
      <c r="AF211" s="173">
        <f t="shared" si="53"/>
        <v>1109.1399999999999</v>
      </c>
      <c r="AG211" s="173">
        <f t="shared" si="53"/>
        <v>1067.9399999999998</v>
      </c>
      <c r="AH211" s="173">
        <f t="shared" si="53"/>
        <v>1065.3399999999999</v>
      </c>
      <c r="AI211" s="173">
        <f t="shared" si="53"/>
        <v>1049.7399999999998</v>
      </c>
      <c r="AJ211" s="173">
        <f t="shared" si="53"/>
        <v>1129.3399999999999</v>
      </c>
      <c r="AK211" s="173">
        <f t="shared" si="53"/>
        <v>1099.3399999999999</v>
      </c>
      <c r="AL211" s="173">
        <f t="shared" si="53"/>
        <v>1116.04</v>
      </c>
      <c r="AM211" s="173">
        <f t="shared" si="53"/>
        <v>1150.94</v>
      </c>
      <c r="AN211" s="173">
        <f t="shared" si="53"/>
        <v>1209.1399999999999</v>
      </c>
      <c r="AO211" s="173">
        <f t="shared" si="53"/>
        <v>1369.8400000000001</v>
      </c>
      <c r="AP211" s="173">
        <f t="shared" si="53"/>
        <v>1329.3400000000001</v>
      </c>
      <c r="AQ211" s="173">
        <f t="shared" si="53"/>
        <v>1282.6400000000001</v>
      </c>
      <c r="AR211" s="173">
        <f t="shared" si="53"/>
        <v>1205.8400000000001</v>
      </c>
      <c r="AS211" s="173">
        <f t="shared" si="53"/>
        <v>1130.74</v>
      </c>
      <c r="AT211" s="173">
        <f t="shared" si="53"/>
        <v>1126.04</v>
      </c>
      <c r="AU211" s="173">
        <f t="shared" si="53"/>
        <v>1023.34</v>
      </c>
      <c r="AV211" s="173">
        <f t="shared" si="53"/>
        <v>901.04000000000008</v>
      </c>
      <c r="AW211" s="173">
        <f t="shared" si="53"/>
        <v>874.74</v>
      </c>
      <c r="AX211" s="173">
        <f t="shared" si="53"/>
        <v>873.24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4">B196</f>
        <v>0.64</v>
      </c>
      <c r="C232" s="176">
        <f t="shared" si="54"/>
        <v>0.64</v>
      </c>
      <c r="D232" s="176">
        <f t="shared" si="54"/>
        <v>0.64</v>
      </c>
      <c r="E232" s="176">
        <f t="shared" si="54"/>
        <v>0.64</v>
      </c>
      <c r="F232" s="176">
        <f t="shared" si="54"/>
        <v>0.64</v>
      </c>
      <c r="G232" s="176">
        <f t="shared" si="54"/>
        <v>0.64</v>
      </c>
      <c r="H232" s="176">
        <f t="shared" si="54"/>
        <v>0.64</v>
      </c>
      <c r="I232" s="176">
        <f t="shared" si="54"/>
        <v>0.64</v>
      </c>
      <c r="J232" s="176">
        <f t="shared" si="54"/>
        <v>0.64</v>
      </c>
      <c r="K232" s="176">
        <f t="shared" si="54"/>
        <v>0.64</v>
      </c>
      <c r="L232" s="176">
        <f t="shared" si="54"/>
        <v>0.64</v>
      </c>
      <c r="M232" s="176">
        <f t="shared" si="54"/>
        <v>0.64</v>
      </c>
      <c r="N232" s="176">
        <f t="shared" si="54"/>
        <v>0.64</v>
      </c>
      <c r="O232" s="176">
        <f t="shared" si="54"/>
        <v>0.64</v>
      </c>
      <c r="P232" s="176">
        <f t="shared" si="54"/>
        <v>0.64</v>
      </c>
      <c r="Q232" s="176">
        <f t="shared" si="54"/>
        <v>0.64</v>
      </c>
      <c r="R232" s="176">
        <f t="shared" si="54"/>
        <v>0.64</v>
      </c>
      <c r="S232" s="176">
        <f t="shared" si="54"/>
        <v>0.64</v>
      </c>
      <c r="T232" s="176">
        <f t="shared" si="54"/>
        <v>0.64</v>
      </c>
      <c r="U232" s="176">
        <f t="shared" si="54"/>
        <v>0.64</v>
      </c>
      <c r="V232" s="176">
        <f t="shared" si="54"/>
        <v>0.64</v>
      </c>
      <c r="W232" s="176">
        <f t="shared" si="54"/>
        <v>0.64</v>
      </c>
      <c r="X232" s="176">
        <f t="shared" si="54"/>
        <v>0.64</v>
      </c>
      <c r="Y232" s="176">
        <f t="shared" si="54"/>
        <v>0.64</v>
      </c>
      <c r="Z232" s="176">
        <f t="shared" si="54"/>
        <v>0.64</v>
      </c>
      <c r="AA232" s="176">
        <f t="shared" si="54"/>
        <v>0.64</v>
      </c>
      <c r="AB232" s="176">
        <f t="shared" si="54"/>
        <v>0.64</v>
      </c>
      <c r="AC232" s="176">
        <f t="shared" si="54"/>
        <v>0.64</v>
      </c>
      <c r="AD232" s="176">
        <f t="shared" si="54"/>
        <v>0.64</v>
      </c>
      <c r="AE232" s="176">
        <f t="shared" si="54"/>
        <v>0.64</v>
      </c>
      <c r="AF232" s="176">
        <f t="shared" si="54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5">IF(C200&lt;100,"",C200-520)</f>
        <v/>
      </c>
      <c r="D233" s="120" t="str">
        <f t="shared" si="55"/>
        <v/>
      </c>
      <c r="E233" s="120" t="str">
        <f t="shared" si="55"/>
        <v/>
      </c>
      <c r="F233" s="120" t="str">
        <f t="shared" si="55"/>
        <v/>
      </c>
      <c r="G233" s="120" t="str">
        <f t="shared" si="55"/>
        <v/>
      </c>
      <c r="H233" s="120" t="str">
        <f t="shared" si="55"/>
        <v/>
      </c>
      <c r="I233" s="120" t="str">
        <f t="shared" si="55"/>
        <v/>
      </c>
      <c r="J233" s="120" t="str">
        <f t="shared" si="55"/>
        <v/>
      </c>
      <c r="K233" s="120" t="str">
        <f t="shared" si="55"/>
        <v/>
      </c>
      <c r="L233" s="120" t="str">
        <f t="shared" si="55"/>
        <v/>
      </c>
      <c r="M233" s="120" t="str">
        <f t="shared" si="55"/>
        <v/>
      </c>
      <c r="N233" s="120" t="str">
        <f t="shared" si="55"/>
        <v/>
      </c>
      <c r="O233" s="120" t="str">
        <f t="shared" si="55"/>
        <v/>
      </c>
      <c r="P233" s="120" t="str">
        <f t="shared" si="55"/>
        <v/>
      </c>
      <c r="Q233" s="120" t="str">
        <f t="shared" si="55"/>
        <v/>
      </c>
      <c r="R233" s="120" t="str">
        <f t="shared" si="55"/>
        <v/>
      </c>
      <c r="S233" s="120" t="str">
        <f t="shared" si="55"/>
        <v/>
      </c>
      <c r="T233" s="120" t="str">
        <f t="shared" si="55"/>
        <v/>
      </c>
      <c r="U233" s="120" t="str">
        <f t="shared" si="55"/>
        <v/>
      </c>
      <c r="V233" s="120" t="str">
        <f t="shared" si="55"/>
        <v/>
      </c>
      <c r="W233" s="120" t="str">
        <f t="shared" si="55"/>
        <v/>
      </c>
      <c r="X233" s="120" t="str">
        <f t="shared" si="55"/>
        <v/>
      </c>
      <c r="Y233" s="120" t="str">
        <f t="shared" si="55"/>
        <v/>
      </c>
      <c r="Z233" s="120" t="str">
        <f t="shared" si="55"/>
        <v/>
      </c>
      <c r="AA233" s="120" t="str">
        <f t="shared" si="55"/>
        <v/>
      </c>
      <c r="AB233" s="120" t="str">
        <f t="shared" si="55"/>
        <v/>
      </c>
      <c r="AC233" s="120" t="str">
        <f t="shared" si="55"/>
        <v/>
      </c>
      <c r="AD233" s="120" t="str">
        <f t="shared" si="55"/>
        <v/>
      </c>
      <c r="AE233" s="120" t="str">
        <f t="shared" si="55"/>
        <v/>
      </c>
      <c r="AF233" s="120" t="str">
        <f t="shared" si="55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6">IF(B201&lt;100,"",B201-620)</f>
        <v/>
      </c>
      <c r="C234" s="120" t="str">
        <f t="shared" si="56"/>
        <v/>
      </c>
      <c r="D234" s="120" t="str">
        <f t="shared" si="56"/>
        <v/>
      </c>
      <c r="E234" s="120" t="str">
        <f t="shared" si="56"/>
        <v/>
      </c>
      <c r="F234" s="120" t="str">
        <f t="shared" si="56"/>
        <v/>
      </c>
      <c r="G234" s="120" t="str">
        <f t="shared" si="56"/>
        <v/>
      </c>
      <c r="H234" s="120" t="str">
        <f t="shared" si="56"/>
        <v/>
      </c>
      <c r="I234" s="120" t="str">
        <f t="shared" si="56"/>
        <v/>
      </c>
      <c r="J234" s="120" t="str">
        <f t="shared" si="56"/>
        <v/>
      </c>
      <c r="K234" s="120" t="str">
        <f t="shared" si="56"/>
        <v/>
      </c>
      <c r="L234" s="120" t="str">
        <f t="shared" si="56"/>
        <v/>
      </c>
      <c r="M234" s="120" t="str">
        <f t="shared" si="56"/>
        <v/>
      </c>
      <c r="N234" s="120" t="str">
        <f t="shared" si="56"/>
        <v/>
      </c>
      <c r="O234" s="120" t="str">
        <f t="shared" si="56"/>
        <v/>
      </c>
      <c r="P234" s="120" t="str">
        <f t="shared" si="56"/>
        <v/>
      </c>
      <c r="Q234" s="120" t="str">
        <f t="shared" si="56"/>
        <v/>
      </c>
      <c r="R234" s="120" t="str">
        <f t="shared" si="56"/>
        <v/>
      </c>
      <c r="S234" s="120" t="str">
        <f t="shared" si="56"/>
        <v/>
      </c>
      <c r="T234" s="120" t="str">
        <f t="shared" si="56"/>
        <v/>
      </c>
      <c r="U234" s="120" t="str">
        <f t="shared" si="56"/>
        <v/>
      </c>
      <c r="V234" s="120" t="str">
        <f t="shared" si="56"/>
        <v/>
      </c>
      <c r="W234" s="120" t="str">
        <f t="shared" si="56"/>
        <v/>
      </c>
      <c r="X234" s="120" t="str">
        <f t="shared" si="56"/>
        <v/>
      </c>
      <c r="Y234" s="120" t="str">
        <f t="shared" si="56"/>
        <v/>
      </c>
      <c r="Z234" s="120" t="str">
        <f t="shared" si="56"/>
        <v/>
      </c>
      <c r="AA234" s="120" t="str">
        <f t="shared" si="56"/>
        <v/>
      </c>
      <c r="AB234" s="120" t="str">
        <f t="shared" si="56"/>
        <v/>
      </c>
      <c r="AC234" s="120" t="str">
        <f t="shared" si="56"/>
        <v/>
      </c>
      <c r="AD234" s="120" t="str">
        <f t="shared" si="56"/>
        <v/>
      </c>
      <c r="AE234" s="120" t="str">
        <f t="shared" si="56"/>
        <v/>
      </c>
      <c r="AF234" s="120" t="str">
        <f t="shared" si="56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7">IF(B202&lt;100,"",B202-330)</f>
        <v/>
      </c>
      <c r="C235" s="120" t="str">
        <f t="shared" si="57"/>
        <v/>
      </c>
      <c r="D235" s="120" t="str">
        <f t="shared" si="57"/>
        <v/>
      </c>
      <c r="E235" s="120" t="str">
        <f t="shared" si="57"/>
        <v/>
      </c>
      <c r="F235" s="120" t="str">
        <f t="shared" si="57"/>
        <v/>
      </c>
      <c r="G235" s="120" t="str">
        <f t="shared" si="57"/>
        <v/>
      </c>
      <c r="H235" s="120" t="str">
        <f t="shared" si="57"/>
        <v/>
      </c>
      <c r="I235" s="120" t="str">
        <f t="shared" si="57"/>
        <v/>
      </c>
      <c r="J235" s="120" t="str">
        <f t="shared" si="57"/>
        <v/>
      </c>
      <c r="K235" s="120" t="str">
        <f t="shared" si="57"/>
        <v/>
      </c>
      <c r="L235" s="120" t="str">
        <f t="shared" si="57"/>
        <v/>
      </c>
      <c r="M235" s="120" t="str">
        <f t="shared" si="57"/>
        <v/>
      </c>
      <c r="N235" s="120" t="str">
        <f t="shared" si="57"/>
        <v/>
      </c>
      <c r="O235" s="120" t="str">
        <f t="shared" si="57"/>
        <v/>
      </c>
      <c r="P235" s="120" t="str">
        <f t="shared" si="57"/>
        <v/>
      </c>
      <c r="Q235" s="120" t="str">
        <f t="shared" si="57"/>
        <v/>
      </c>
      <c r="R235" s="120" t="str">
        <f t="shared" si="57"/>
        <v/>
      </c>
      <c r="S235" s="120" t="str">
        <f t="shared" si="57"/>
        <v/>
      </c>
      <c r="T235" s="120" t="str">
        <f t="shared" si="57"/>
        <v/>
      </c>
      <c r="U235" s="120" t="str">
        <f t="shared" si="57"/>
        <v/>
      </c>
      <c r="V235" s="120" t="str">
        <f t="shared" si="57"/>
        <v/>
      </c>
      <c r="W235" s="120" t="str">
        <f t="shared" si="57"/>
        <v/>
      </c>
      <c r="X235" s="120" t="str">
        <f t="shared" si="57"/>
        <v/>
      </c>
      <c r="Y235" s="120" t="str">
        <f t="shared" si="57"/>
        <v/>
      </c>
      <c r="Z235" s="120" t="str">
        <f t="shared" si="57"/>
        <v/>
      </c>
      <c r="AA235" s="120" t="str">
        <f t="shared" si="57"/>
        <v/>
      </c>
      <c r="AB235" s="120" t="str">
        <f t="shared" si="57"/>
        <v/>
      </c>
      <c r="AC235" s="120" t="str">
        <f t="shared" si="57"/>
        <v/>
      </c>
      <c r="AD235" s="120" t="str">
        <f t="shared" si="57"/>
        <v/>
      </c>
      <c r="AE235" s="120" t="str">
        <f t="shared" si="57"/>
        <v/>
      </c>
      <c r="AF235" s="120" t="str">
        <f t="shared" si="57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8">IF(C203&lt;100,"",C203-1500)</f>
        <v/>
      </c>
      <c r="D236" s="120" t="str">
        <f t="shared" si="58"/>
        <v/>
      </c>
      <c r="E236" s="120" t="str">
        <f t="shared" si="58"/>
        <v/>
      </c>
      <c r="F236" s="120" t="str">
        <f t="shared" si="58"/>
        <v/>
      </c>
      <c r="G236" s="120" t="str">
        <f t="shared" si="58"/>
        <v/>
      </c>
      <c r="H236" s="120" t="str">
        <f t="shared" si="58"/>
        <v/>
      </c>
      <c r="I236" s="120" t="str">
        <f t="shared" si="58"/>
        <v/>
      </c>
      <c r="J236" s="120" t="str">
        <f t="shared" si="58"/>
        <v/>
      </c>
      <c r="K236" s="120" t="str">
        <f t="shared" si="58"/>
        <v/>
      </c>
      <c r="L236" s="120" t="str">
        <f t="shared" si="58"/>
        <v/>
      </c>
      <c r="M236" s="120" t="str">
        <f t="shared" si="58"/>
        <v/>
      </c>
      <c r="N236" s="120" t="str">
        <f t="shared" si="58"/>
        <v/>
      </c>
      <c r="O236" s="120" t="str">
        <f t="shared" si="58"/>
        <v/>
      </c>
      <c r="P236" s="120" t="str">
        <f t="shared" si="58"/>
        <v/>
      </c>
      <c r="Q236" s="120" t="str">
        <f t="shared" si="58"/>
        <v/>
      </c>
      <c r="R236" s="120" t="str">
        <f t="shared" si="58"/>
        <v/>
      </c>
      <c r="S236" s="120" t="str">
        <f t="shared" si="58"/>
        <v/>
      </c>
      <c r="T236" s="120" t="str">
        <f t="shared" si="58"/>
        <v/>
      </c>
      <c r="U236" s="120" t="str">
        <f t="shared" si="58"/>
        <v/>
      </c>
      <c r="V236" s="120" t="str">
        <f t="shared" si="58"/>
        <v/>
      </c>
      <c r="W236" s="120" t="str">
        <f t="shared" si="58"/>
        <v/>
      </c>
      <c r="X236" s="120" t="str">
        <f t="shared" si="58"/>
        <v/>
      </c>
      <c r="Y236" s="120" t="str">
        <f t="shared" si="58"/>
        <v/>
      </c>
      <c r="Z236" s="120" t="str">
        <f t="shared" si="58"/>
        <v/>
      </c>
      <c r="AA236" s="120" t="str">
        <f t="shared" si="58"/>
        <v/>
      </c>
      <c r="AB236" s="120" t="str">
        <f t="shared" si="58"/>
        <v/>
      </c>
      <c r="AC236" s="120" t="str">
        <f t="shared" si="58"/>
        <v/>
      </c>
      <c r="AD236" s="120" t="str">
        <f t="shared" si="58"/>
        <v/>
      </c>
      <c r="AE236" s="120" t="str">
        <f t="shared" si="58"/>
        <v/>
      </c>
      <c r="AF236" s="120" t="str">
        <f t="shared" si="58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006" priority="327">
      <formula>S$9&gt;=20/24</formula>
    </cfRule>
    <cfRule type="expression" dxfId="8005" priority="328">
      <formula>AND(S$9&gt;=14/24,S$9&lt;20/24)</formula>
    </cfRule>
    <cfRule type="expression" dxfId="8004" priority="329">
      <formula>AND(S$9&gt;=8/24,S$9&lt;14/24)</formula>
    </cfRule>
    <cfRule type="expression" dxfId="8003" priority="330">
      <formula>S$9&lt;8/24</formula>
    </cfRule>
  </conditionalFormatting>
  <conditionalFormatting sqref="B8:AF10 AA79:AF79 B79:Q79 B54:AF54 B80:AF80 C191:AF197 B66:AF70 T210:AX210 L56:L57 W83:Z89 B72:AF76 B78:AF78 E58:L59 E55:K57 B61:D65 B55:D59 M56:M59 L37:Q40 R38:S39 N56:S65 L11:AD11 X17:AB29 AA82:AF89 AC12:AD13 AC15:AF29 AE13:AF13 T38:AF40 L51:AF53 T56:AF57">
    <cfRule type="expression" dxfId="8002" priority="323">
      <formula>B$9&gt;=20/24</formula>
    </cfRule>
    <cfRule type="expression" dxfId="8001" priority="324">
      <formula>AND(B$9&gt;=14/24,B$9&lt;20/24)</formula>
    </cfRule>
    <cfRule type="expression" dxfId="8000" priority="325">
      <formula>AND(B$9&gt;=8/24,B$9&lt;14/24)</formula>
    </cfRule>
    <cfRule type="expression" dxfId="7999" priority="326">
      <formula>B$9&lt;8/24</formula>
    </cfRule>
  </conditionalFormatting>
  <conditionalFormatting sqref="B189:AF189">
    <cfRule type="expression" dxfId="7998" priority="319">
      <formula>B$9&gt;=20/24</formula>
    </cfRule>
    <cfRule type="expression" dxfId="7997" priority="320">
      <formula>AND(B$9&gt;=14/24,B$9&lt;20/24)</formula>
    </cfRule>
    <cfRule type="expression" dxfId="7996" priority="321">
      <formula>AND(B$9&gt;=8/24,B$9&lt;14/24)</formula>
    </cfRule>
    <cfRule type="expression" dxfId="7995" priority="322">
      <formula>B$9&lt;8/24</formula>
    </cfRule>
  </conditionalFormatting>
  <conditionalFormatting sqref="AL4:AL6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L55:S55">
    <cfRule type="expression" dxfId="7994" priority="314">
      <formula>L$9&gt;=20/24</formula>
    </cfRule>
    <cfRule type="expression" dxfId="7993" priority="315">
      <formula>AND(L$9&gt;=14/24,L$9&lt;20/24)</formula>
    </cfRule>
    <cfRule type="expression" dxfId="7992" priority="316">
      <formula>AND(L$9&gt;=8/24,L$9&lt;14/24)</formula>
    </cfRule>
    <cfRule type="expression" dxfId="7991" priority="317">
      <formula>L$9&lt;8/24</formula>
    </cfRule>
  </conditionalFormatting>
  <conditionalFormatting sqref="L41:S41">
    <cfRule type="expression" dxfId="7990" priority="310">
      <formula>L$9&gt;=20/24</formula>
    </cfRule>
    <cfRule type="expression" dxfId="7989" priority="311">
      <formula>AND(L$9&gt;=14/24,L$9&lt;20/24)</formula>
    </cfRule>
    <cfRule type="expression" dxfId="7988" priority="312">
      <formula>AND(L$9&gt;=8/24,L$9&lt;14/24)</formula>
    </cfRule>
    <cfRule type="expression" dxfId="7987" priority="313">
      <formula>L$9&lt;8/24</formula>
    </cfRule>
  </conditionalFormatting>
  <conditionalFormatting sqref="R37:AD37">
    <cfRule type="expression" dxfId="7986" priority="302">
      <formula>R$9&gt;=20/24</formula>
    </cfRule>
    <cfRule type="expression" dxfId="7985" priority="303">
      <formula>AND(R$9&gt;=14/24,R$9&lt;20/24)</formula>
    </cfRule>
    <cfRule type="expression" dxfId="7984" priority="304">
      <formula>AND(R$9&gt;=8/24,R$9&lt;14/24)</formula>
    </cfRule>
    <cfRule type="expression" dxfId="7983" priority="305">
      <formula>R$9&lt;8/24</formula>
    </cfRule>
  </conditionalFormatting>
  <conditionalFormatting sqref="T55:AF55">
    <cfRule type="expression" dxfId="7982" priority="298">
      <formula>T$9&gt;=20/24</formula>
    </cfRule>
    <cfRule type="expression" dxfId="7981" priority="299">
      <formula>AND(T$9&gt;=14/24,T$9&lt;20/24)</formula>
    </cfRule>
    <cfRule type="expression" dxfId="7980" priority="300">
      <formula>AND(T$9&gt;=8/24,T$9&lt;14/24)</formula>
    </cfRule>
    <cfRule type="expression" dxfId="7979" priority="301">
      <formula>T$9&lt;8/24</formula>
    </cfRule>
  </conditionalFormatting>
  <conditionalFormatting sqref="R79:Z79">
    <cfRule type="expression" dxfId="7978" priority="294">
      <formula>R$9&gt;=20/24</formula>
    </cfRule>
    <cfRule type="expression" dxfId="7977" priority="295">
      <formula>AND(R$9&gt;=14/24,R$9&lt;20/24)</formula>
    </cfRule>
    <cfRule type="expression" dxfId="7976" priority="296">
      <formula>AND(R$9&gt;=8/24,R$9&lt;14/24)</formula>
    </cfRule>
    <cfRule type="expression" dxfId="7975" priority="297">
      <formula>R$9&lt;8/24</formula>
    </cfRule>
  </conditionalFormatting>
  <conditionalFormatting sqref="T82:Z82">
    <cfRule type="expression" dxfId="7974" priority="290">
      <formula>T$9&gt;=20/24</formula>
    </cfRule>
    <cfRule type="expression" dxfId="7973" priority="291">
      <formula>AND(T$9&gt;=14/24,T$9&lt;20/24)</formula>
    </cfRule>
    <cfRule type="expression" dxfId="7972" priority="292">
      <formula>AND(T$9&gt;=8/24,T$9&lt;14/24)</formula>
    </cfRule>
    <cfRule type="expression" dxfId="7971" priority="293">
      <formula>T$9&lt;8/24</formula>
    </cfRule>
  </conditionalFormatting>
  <conditionalFormatting sqref="L47:S47">
    <cfRule type="expression" dxfId="7970" priority="282">
      <formula>L$9&gt;=20/24</formula>
    </cfRule>
    <cfRule type="expression" dxfId="7969" priority="283">
      <formula>AND(L$9&gt;=14/24,L$9&lt;20/24)</formula>
    </cfRule>
    <cfRule type="expression" dxfId="7968" priority="284">
      <formula>AND(L$9&gt;=8/24,L$9&lt;14/24)</formula>
    </cfRule>
    <cfRule type="expression" dxfId="7967" priority="285">
      <formula>L$9&lt;8/24</formula>
    </cfRule>
  </conditionalFormatting>
  <conditionalFormatting sqref="L48:S48">
    <cfRule type="expression" dxfId="7966" priority="278">
      <formula>L$9&gt;=20/24</formula>
    </cfRule>
    <cfRule type="expression" dxfId="7965" priority="279">
      <formula>AND(L$9&gt;=14/24,L$9&lt;20/24)</formula>
    </cfRule>
    <cfRule type="expression" dxfId="7964" priority="280">
      <formula>AND(L$9&gt;=8/24,L$9&lt;14/24)</formula>
    </cfRule>
    <cfRule type="expression" dxfId="7963" priority="281">
      <formula>L$9&lt;8/24</formula>
    </cfRule>
  </conditionalFormatting>
  <conditionalFormatting sqref="L43:S46">
    <cfRule type="expression" dxfId="7962" priority="274">
      <formula>L$9&gt;=20/24</formula>
    </cfRule>
    <cfRule type="expression" dxfId="7961" priority="275">
      <formula>AND(L$9&gt;=14/24,L$9&lt;20/24)</formula>
    </cfRule>
    <cfRule type="expression" dxfId="7960" priority="276">
      <formula>AND(L$9&gt;=8/24,L$9&lt;14/24)</formula>
    </cfRule>
    <cfRule type="expression" dxfId="7959" priority="277">
      <formula>L$9&lt;8/24</formula>
    </cfRule>
  </conditionalFormatting>
  <conditionalFormatting sqref="T35:AF35">
    <cfRule type="expression" dxfId="7958" priority="270">
      <formula>T$9&gt;=20/24</formula>
    </cfRule>
    <cfRule type="expression" dxfId="7957" priority="271">
      <formula>AND(T$9&gt;=14/24,T$9&lt;20/24)</formula>
    </cfRule>
    <cfRule type="expression" dxfId="7956" priority="272">
      <formula>AND(T$9&gt;=8/24,T$9&lt;14/24)</formula>
    </cfRule>
    <cfRule type="expression" dxfId="7955" priority="273">
      <formula>T$9&lt;8/24</formula>
    </cfRule>
  </conditionalFormatting>
  <conditionalFormatting sqref="X30:AF31 X33:AF33">
    <cfRule type="expression" dxfId="7954" priority="266">
      <formula>X$9&gt;=20/24</formula>
    </cfRule>
    <cfRule type="expression" dxfId="7953" priority="267">
      <formula>AND(X$9&gt;=14/24,X$9&lt;20/24)</formula>
    </cfRule>
    <cfRule type="expression" dxfId="7952" priority="268">
      <formula>AND(X$9&gt;=8/24,X$9&lt;14/24)</formula>
    </cfRule>
    <cfRule type="expression" dxfId="7951" priority="269">
      <formula>X$9&lt;8/24</formula>
    </cfRule>
  </conditionalFormatting>
  <conditionalFormatting sqref="R40:S40 T41:AF41 T43:AF46">
    <cfRule type="expression" dxfId="7950" priority="262">
      <formula>R$9&gt;=20/24</formula>
    </cfRule>
    <cfRule type="expression" dxfId="7949" priority="263">
      <formula>AND(R$9&gt;=14/24,R$9&lt;20/24)</formula>
    </cfRule>
    <cfRule type="expression" dxfId="7948" priority="264">
      <formula>AND(R$9&gt;=8/24,R$9&lt;14/24)</formula>
    </cfRule>
    <cfRule type="expression" dxfId="7947" priority="265">
      <formula>R$9&lt;8/24</formula>
    </cfRule>
  </conditionalFormatting>
  <conditionalFormatting sqref="T47:AF47">
    <cfRule type="expression" dxfId="7946" priority="258">
      <formula>T$9&gt;=20/24</formula>
    </cfRule>
    <cfRule type="expression" dxfId="7945" priority="259">
      <formula>AND(T$9&gt;=14/24,T$9&lt;20/24)</formula>
    </cfRule>
    <cfRule type="expression" dxfId="7944" priority="260">
      <formula>AND(T$9&gt;=8/24,T$9&lt;14/24)</formula>
    </cfRule>
    <cfRule type="expression" dxfId="7943" priority="261">
      <formula>T$9&lt;8/24</formula>
    </cfRule>
  </conditionalFormatting>
  <conditionalFormatting sqref="T48:AF48">
    <cfRule type="expression" dxfId="7942" priority="254">
      <formula>T$9&gt;=20/24</formula>
    </cfRule>
    <cfRule type="expression" dxfId="7941" priority="255">
      <formula>AND(T$9&gt;=14/24,T$9&lt;20/24)</formula>
    </cfRule>
    <cfRule type="expression" dxfId="7940" priority="256">
      <formula>AND(T$9&gt;=8/24,T$9&lt;14/24)</formula>
    </cfRule>
    <cfRule type="expression" dxfId="7939" priority="257">
      <formula>T$9&lt;8/24</formula>
    </cfRule>
  </conditionalFormatting>
  <conditionalFormatting sqref="AA92:AF95">
    <cfRule type="expression" dxfId="7938" priority="246">
      <formula>AA$9&gt;=20/24</formula>
    </cfRule>
    <cfRule type="expression" dxfId="7937" priority="247">
      <formula>AND(AA$9&gt;=14/24,AA$9&lt;20/24)</formula>
    </cfRule>
    <cfRule type="expression" dxfId="7936" priority="248">
      <formula>AND(AA$9&gt;=8/24,AA$9&lt;14/24)</formula>
    </cfRule>
    <cfRule type="expression" dxfId="7935" priority="249">
      <formula>AA$9&lt;8/24</formula>
    </cfRule>
  </conditionalFormatting>
  <conditionalFormatting sqref="H61:H65 I60:K65 B60:H60">
    <cfRule type="expression" dxfId="7934" priority="242">
      <formula>B$9&gt;=20/24</formula>
    </cfRule>
    <cfRule type="expression" dxfId="7933" priority="243">
      <formula>AND(B$9&gt;=14/24,B$9&lt;20/24)</formula>
    </cfRule>
    <cfRule type="expression" dxfId="7932" priority="244">
      <formula>AND(B$9&gt;=8/24,B$9&lt;14/24)</formula>
    </cfRule>
    <cfRule type="expression" dxfId="7931" priority="245">
      <formula>B$9&lt;8/24</formula>
    </cfRule>
  </conditionalFormatting>
  <conditionalFormatting sqref="T92:Z95">
    <cfRule type="expression" dxfId="7930" priority="238">
      <formula>T$9&gt;=20/24</formula>
    </cfRule>
    <cfRule type="expression" dxfId="7929" priority="239">
      <formula>AND(T$9&gt;=14/24,T$9&lt;20/24)</formula>
    </cfRule>
    <cfRule type="expression" dxfId="7928" priority="240">
      <formula>AND(T$9&gt;=8/24,T$9&lt;14/24)</formula>
    </cfRule>
    <cfRule type="expression" dxfId="7927" priority="241">
      <formula>T$9&lt;8/24</formula>
    </cfRule>
  </conditionalFormatting>
  <conditionalFormatting sqref="AG49 B11:J13 B15:K31 K12:K13 B33:K34 X33:AA34 B35:AA35 K11:AF11 X17:AB31 AC15:AF31 AB33:AF35 AC12:AF13 B36:AF41 B43:AF54">
    <cfRule type="expression" dxfId="7926" priority="237">
      <formula>B11&gt;$AG11</formula>
    </cfRule>
  </conditionalFormatting>
  <conditionalFormatting sqref="A98:A154 A82:A95 A11:A13 A15:A31 A43:A70 A78:A80 A72:A76 A33:A41 A167:A198">
    <cfRule type="expression" dxfId="7925" priority="236">
      <formula>$AH11=0</formula>
    </cfRule>
  </conditionalFormatting>
  <conditionalFormatting sqref="AA96:AF96">
    <cfRule type="expression" dxfId="7924" priority="232">
      <formula>AA$9&gt;=20/24</formula>
    </cfRule>
    <cfRule type="expression" dxfId="7923" priority="233">
      <formula>AND(AA$9&gt;=14/24,AA$9&lt;20/24)</formula>
    </cfRule>
    <cfRule type="expression" dxfId="7922" priority="234">
      <formula>AND(AA$9&gt;=8/24,AA$9&lt;14/24)</formula>
    </cfRule>
    <cfRule type="expression" dxfId="7921" priority="235">
      <formula>AA$9&lt;8/24</formula>
    </cfRule>
  </conditionalFormatting>
  <conditionalFormatting sqref="T96:Z96">
    <cfRule type="expression" dxfId="7920" priority="228">
      <formula>T$9&gt;=20/24</formula>
    </cfRule>
    <cfRule type="expression" dxfId="7919" priority="229">
      <formula>AND(T$9&gt;=14/24,T$9&lt;20/24)</formula>
    </cfRule>
    <cfRule type="expression" dxfId="7918" priority="230">
      <formula>AND(T$9&gt;=8/24,T$9&lt;14/24)</formula>
    </cfRule>
    <cfRule type="expression" dxfId="7917" priority="231">
      <formula>T$9&lt;8/24</formula>
    </cfRule>
  </conditionalFormatting>
  <conditionalFormatting sqref="A96">
    <cfRule type="expression" dxfId="7916" priority="227">
      <formula>$AH96=0</formula>
    </cfRule>
  </conditionalFormatting>
  <conditionalFormatting sqref="K34 X34:AF34">
    <cfRule type="expression" dxfId="7915" priority="223">
      <formula>K$9&gt;=20/24</formula>
    </cfRule>
    <cfRule type="expression" dxfId="7914" priority="224">
      <formula>AND(K$9&gt;=14/24,K$9&lt;20/24)</formula>
    </cfRule>
    <cfRule type="expression" dxfId="7913" priority="225">
      <formula>AND(K$9&gt;=8/24,K$9&lt;14/24)</formula>
    </cfRule>
    <cfRule type="expression" dxfId="7912" priority="226">
      <formula>K$9&lt;8/24</formula>
    </cfRule>
  </conditionalFormatting>
  <conditionalFormatting sqref="X34:AF34">
    <cfRule type="expression" dxfId="7911" priority="219">
      <formula>X$9&gt;=20/24</formula>
    </cfRule>
    <cfRule type="expression" dxfId="7910" priority="220">
      <formula>AND(X$9&gt;=14/24,X$9&lt;20/24)</formula>
    </cfRule>
    <cfRule type="expression" dxfId="7909" priority="221">
      <formula>AND(X$9&gt;=8/24,X$9&lt;14/24)</formula>
    </cfRule>
    <cfRule type="expression" dxfId="7908" priority="222">
      <formula>X$9&lt;8/24</formula>
    </cfRule>
  </conditionalFormatting>
  <conditionalFormatting sqref="B34:J34">
    <cfRule type="expression" dxfId="7907" priority="215">
      <formula>B$9&gt;=20/24</formula>
    </cfRule>
    <cfRule type="expression" dxfId="7906" priority="216">
      <formula>AND(B$9&gt;=14/24,B$9&lt;20/24)</formula>
    </cfRule>
    <cfRule type="expression" dxfId="7905" priority="217">
      <formula>AND(B$9&gt;=8/24,B$9&lt;14/24)</formula>
    </cfRule>
    <cfRule type="expression" dxfId="7904" priority="218">
      <formula>B$9&lt;8/24</formula>
    </cfRule>
  </conditionalFormatting>
  <conditionalFormatting sqref="E61:G65">
    <cfRule type="expression" dxfId="7903" priority="211">
      <formula>E$9&gt;=20/24</formula>
    </cfRule>
    <cfRule type="expression" dxfId="7902" priority="212">
      <formula>AND(E$9&gt;=14/24,E$9&lt;20/24)</formula>
    </cfRule>
    <cfRule type="expression" dxfId="7901" priority="213">
      <formula>AND(E$9&gt;=8/24,E$9&lt;14/24)</formula>
    </cfRule>
    <cfRule type="expression" dxfId="7900" priority="214">
      <formula>E$9&lt;8/24</formula>
    </cfRule>
  </conditionalFormatting>
  <conditionalFormatting sqref="L60:M65">
    <cfRule type="expression" dxfId="7899" priority="207">
      <formula>L$9&gt;=20/24</formula>
    </cfRule>
    <cfRule type="expression" dxfId="7898" priority="208">
      <formula>AND(L$9&gt;=14/24,L$9&lt;20/24)</formula>
    </cfRule>
    <cfRule type="expression" dxfId="7897" priority="209">
      <formula>AND(L$9&gt;=8/24,L$9&lt;14/24)</formula>
    </cfRule>
    <cfRule type="expression" dxfId="7896" priority="210">
      <formula>L$9&lt;8/24</formula>
    </cfRule>
  </conditionalFormatting>
  <conditionalFormatting sqref="AL31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X32:AF32">
    <cfRule type="expression" dxfId="7895" priority="194">
      <formula>X$9&gt;=20/24</formula>
    </cfRule>
    <cfRule type="expression" dxfId="7894" priority="195">
      <formula>AND(X$9&gt;=14/24,X$9&lt;20/24)</formula>
    </cfRule>
    <cfRule type="expression" dxfId="7893" priority="196">
      <formula>AND(X$9&gt;=8/24,X$9&lt;14/24)</formula>
    </cfRule>
    <cfRule type="expression" dxfId="7892" priority="197">
      <formula>X$9&lt;8/24</formula>
    </cfRule>
  </conditionalFormatting>
  <conditionalFormatting sqref="B32:K32 X32:AF32">
    <cfRule type="expression" dxfId="7891" priority="193">
      <formula>B32&gt;$AG32</formula>
    </cfRule>
  </conditionalFormatting>
  <conditionalFormatting sqref="A32">
    <cfRule type="expression" dxfId="7890" priority="192">
      <formula>$AH32=0</formula>
    </cfRule>
  </conditionalFormatting>
  <conditionalFormatting sqref="B81:AF81">
    <cfRule type="expression" dxfId="7889" priority="188">
      <formula>B$9&gt;=20/24</formula>
    </cfRule>
    <cfRule type="expression" dxfId="7888" priority="189">
      <formula>AND(B$9&gt;=14/24,B$9&lt;20/24)</formula>
    </cfRule>
    <cfRule type="expression" dxfId="7887" priority="190">
      <formula>AND(B$9&gt;=8/24,B$9&lt;14/24)</formula>
    </cfRule>
    <cfRule type="expression" dxfId="7886" priority="191">
      <formula>B$9&lt;8/24</formula>
    </cfRule>
  </conditionalFormatting>
  <conditionalFormatting sqref="A81">
    <cfRule type="expression" dxfId="7885" priority="187">
      <formula>$AH81=0</formula>
    </cfRule>
  </conditionalFormatting>
  <conditionalFormatting sqref="AC14:AF14">
    <cfRule type="expression" dxfId="7884" priority="183">
      <formula>AC$9&gt;=20/24</formula>
    </cfRule>
    <cfRule type="expression" dxfId="7883" priority="184">
      <formula>AND(AC$9&gt;=14/24,AC$9&lt;20/24)</formula>
    </cfRule>
    <cfRule type="expression" dxfId="7882" priority="185">
      <formula>AND(AC$9&gt;=8/24,AC$9&lt;14/24)</formula>
    </cfRule>
    <cfRule type="expression" dxfId="7881" priority="186">
      <formula>AC$9&lt;8/24</formula>
    </cfRule>
  </conditionalFormatting>
  <conditionalFormatting sqref="B14:K14 AC14:AF14">
    <cfRule type="expression" dxfId="7880" priority="178">
      <formula>B14&gt;$AG14</formula>
    </cfRule>
  </conditionalFormatting>
  <conditionalFormatting sqref="A14">
    <cfRule type="expression" dxfId="7879" priority="177">
      <formula>$AH14=0</formula>
    </cfRule>
  </conditionalFormatting>
  <conditionalFormatting sqref="A161:A166">
    <cfRule type="expression" dxfId="7878" priority="176">
      <formula>$AH161=0</formula>
    </cfRule>
  </conditionalFormatting>
  <conditionalFormatting sqref="A155:A160">
    <cfRule type="expression" dxfId="7877" priority="175">
      <formula>$AH155=0</formula>
    </cfRule>
  </conditionalFormatting>
  <conditionalFormatting sqref="L42:S42">
    <cfRule type="expression" dxfId="7876" priority="167">
      <formula>L$9&gt;=20/24</formula>
    </cfRule>
    <cfRule type="expression" dxfId="7875" priority="168">
      <formula>AND(L$9&gt;=14/24,L$9&lt;20/24)</formula>
    </cfRule>
    <cfRule type="expression" dxfId="7874" priority="169">
      <formula>AND(L$9&gt;=8/24,L$9&lt;14/24)</formula>
    </cfRule>
    <cfRule type="expression" dxfId="7873" priority="170">
      <formula>L$9&lt;8/24</formula>
    </cfRule>
  </conditionalFormatting>
  <conditionalFormatting sqref="T42:AF42">
    <cfRule type="expression" dxfId="7872" priority="163">
      <formula>T$9&gt;=20/24</formula>
    </cfRule>
    <cfRule type="expression" dxfId="7871" priority="164">
      <formula>AND(T$9&gt;=14/24,T$9&lt;20/24)</formula>
    </cfRule>
    <cfRule type="expression" dxfId="7870" priority="165">
      <formula>AND(T$9&gt;=8/24,T$9&lt;14/24)</formula>
    </cfRule>
    <cfRule type="expression" dxfId="7869" priority="166">
      <formula>T$9&lt;8/24</formula>
    </cfRule>
  </conditionalFormatting>
  <conditionalFormatting sqref="B42:AF42">
    <cfRule type="expression" dxfId="7868" priority="162">
      <formula>B42&gt;$AG42</formula>
    </cfRule>
  </conditionalFormatting>
  <conditionalFormatting sqref="A42">
    <cfRule type="expression" dxfId="7867" priority="161">
      <formula>$AH42=0</formula>
    </cfRule>
  </conditionalFormatting>
  <conditionalFormatting sqref="B77:AF77">
    <cfRule type="expression" dxfId="7866" priority="157">
      <formula>B$9&gt;=20/24</formula>
    </cfRule>
    <cfRule type="expression" dxfId="7865" priority="158">
      <formula>AND(B$9&gt;=14/24,B$9&lt;20/24)</formula>
    </cfRule>
    <cfRule type="expression" dxfId="7864" priority="159">
      <formula>AND(B$9&gt;=8/24,B$9&lt;14/24)</formula>
    </cfRule>
    <cfRule type="expression" dxfId="7863" priority="160">
      <formula>B$9&lt;8/24</formula>
    </cfRule>
  </conditionalFormatting>
  <conditionalFormatting sqref="A77">
    <cfRule type="expression" dxfId="7862" priority="156">
      <formula>$AH77=0</formula>
    </cfRule>
  </conditionalFormatting>
  <conditionalFormatting sqref="B71:AG71">
    <cfRule type="expression" dxfId="7861" priority="152">
      <formula>B$9&gt;=20/24</formula>
    </cfRule>
    <cfRule type="expression" dxfId="7860" priority="153">
      <formula>AND(B$9&gt;=14/24,B$9&lt;20/24)</formula>
    </cfRule>
    <cfRule type="expression" dxfId="7859" priority="154">
      <formula>AND(B$9&gt;=8/24,B$9&lt;14/24)</formula>
    </cfRule>
    <cfRule type="expression" dxfId="7858" priority="155">
      <formula>B$9&lt;8/24</formula>
    </cfRule>
  </conditionalFormatting>
  <conditionalFormatting sqref="A71">
    <cfRule type="expression" dxfId="7857" priority="151">
      <formula>$AH71=0</formula>
    </cfRule>
  </conditionalFormatting>
  <conditionalFormatting sqref="AL32:AL33 AL7:AL30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T58:AF65">
    <cfRule type="expression" dxfId="7856" priority="147">
      <formula>T$9&gt;=20/24</formula>
    </cfRule>
    <cfRule type="expression" dxfId="7855" priority="148">
      <formula>AND(T$9&gt;=14/24,T$9&lt;20/24)</formula>
    </cfRule>
    <cfRule type="expression" dxfId="7854" priority="149">
      <formula>AND(T$9&gt;=8/24,T$9&lt;14/24)</formula>
    </cfRule>
    <cfRule type="expression" dxfId="7853" priority="150">
      <formula>T$9&lt;8/24</formula>
    </cfRule>
  </conditionalFormatting>
  <conditionalFormatting sqref="T83:V89">
    <cfRule type="expression" dxfId="7852" priority="143">
      <formula>T$9&gt;=20/24</formula>
    </cfRule>
    <cfRule type="expression" dxfId="7851" priority="144">
      <formula>AND(T$9&gt;=14/24,T$9&lt;20/24)</formula>
    </cfRule>
    <cfRule type="expression" dxfId="7850" priority="145">
      <formula>AND(T$9&gt;=8/24,T$9&lt;14/24)</formula>
    </cfRule>
    <cfRule type="expression" dxfId="7849" priority="146">
      <formula>T$9&lt;8/24</formula>
    </cfRule>
  </conditionalFormatting>
  <conditionalFormatting sqref="R83:S89 B82:Q89">
    <cfRule type="expression" dxfId="7848" priority="139">
      <formula>B$9&gt;=20/24</formula>
    </cfRule>
    <cfRule type="expression" dxfId="7847" priority="140">
      <formula>AND(B$9&gt;=14/24,B$9&lt;20/24)</formula>
    </cfRule>
    <cfRule type="expression" dxfId="7846" priority="141">
      <formula>AND(B$9&gt;=8/24,B$9&lt;14/24)</formula>
    </cfRule>
    <cfRule type="expression" dxfId="7845" priority="142">
      <formula>B$9&lt;8/24</formula>
    </cfRule>
  </conditionalFormatting>
  <conditionalFormatting sqref="R82:S82">
    <cfRule type="expression" dxfId="7844" priority="135">
      <formula>R$9&gt;=20/24</formula>
    </cfRule>
    <cfRule type="expression" dxfId="7843" priority="136">
      <formula>AND(R$9&gt;=14/24,R$9&lt;20/24)</formula>
    </cfRule>
    <cfRule type="expression" dxfId="7842" priority="137">
      <formula>AND(R$9&gt;=8/24,R$9&lt;14/24)</formula>
    </cfRule>
    <cfRule type="expression" dxfId="7841" priority="138">
      <formula>R$9&lt;8/24</formula>
    </cfRule>
  </conditionalFormatting>
  <conditionalFormatting sqref="B92:E92 B93:L95">
    <cfRule type="expression" dxfId="7840" priority="131">
      <formula>B$9&gt;=20/24</formula>
    </cfRule>
    <cfRule type="expression" dxfId="7839" priority="132">
      <formula>AND(B$9&gt;=14/24,B$9&lt;20/24)</formula>
    </cfRule>
    <cfRule type="expression" dxfId="7838" priority="133">
      <formula>AND(B$9&gt;=8/24,B$9&lt;14/24)</formula>
    </cfRule>
    <cfRule type="expression" dxfId="7837" priority="134">
      <formula>B$9&lt;8/24</formula>
    </cfRule>
  </conditionalFormatting>
  <conditionalFormatting sqref="M93:Q95 N92:Q92">
    <cfRule type="expression" dxfId="7836" priority="127">
      <formula>M$9&gt;=20/24</formula>
    </cfRule>
    <cfRule type="expression" dxfId="7835" priority="128">
      <formula>AND(M$9&gt;=14/24,M$9&lt;20/24)</formula>
    </cfRule>
    <cfRule type="expression" dxfId="7834" priority="129">
      <formula>AND(M$9&gt;=8/24,M$9&lt;14/24)</formula>
    </cfRule>
    <cfRule type="expression" dxfId="7833" priority="130">
      <formula>M$9&lt;8/24</formula>
    </cfRule>
  </conditionalFormatting>
  <conditionalFormatting sqref="R92:S95">
    <cfRule type="expression" dxfId="7832" priority="123">
      <formula>R$9&gt;=20/24</formula>
    </cfRule>
    <cfRule type="expression" dxfId="7831" priority="124">
      <formula>AND(R$9&gt;=14/24,R$9&lt;20/24)</formula>
    </cfRule>
    <cfRule type="expression" dxfId="7830" priority="125">
      <formula>AND(R$9&gt;=8/24,R$9&lt;14/24)</formula>
    </cfRule>
    <cfRule type="expression" dxfId="7829" priority="126">
      <formula>R$9&lt;8/24</formula>
    </cfRule>
  </conditionalFormatting>
  <conditionalFormatting sqref="B96:L96">
    <cfRule type="expression" dxfId="7828" priority="119">
      <formula>B$9&gt;=20/24</formula>
    </cfRule>
    <cfRule type="expression" dxfId="7827" priority="120">
      <formula>AND(B$9&gt;=14/24,B$9&lt;20/24)</formula>
    </cfRule>
    <cfRule type="expression" dxfId="7826" priority="121">
      <formula>AND(B$9&gt;=8/24,B$9&lt;14/24)</formula>
    </cfRule>
    <cfRule type="expression" dxfId="7825" priority="122">
      <formula>B$9&lt;8/24</formula>
    </cfRule>
  </conditionalFormatting>
  <conditionalFormatting sqref="M96:Q96">
    <cfRule type="expression" dxfId="7824" priority="115">
      <formula>M$9&gt;=20/24</formula>
    </cfRule>
    <cfRule type="expression" dxfId="7823" priority="116">
      <formula>AND(M$9&gt;=14/24,M$9&lt;20/24)</formula>
    </cfRule>
    <cfRule type="expression" dxfId="7822" priority="117">
      <formula>AND(M$9&gt;=8/24,M$9&lt;14/24)</formula>
    </cfRule>
    <cfRule type="expression" dxfId="7821" priority="118">
      <formula>M$9&lt;8/24</formula>
    </cfRule>
  </conditionalFormatting>
  <conditionalFormatting sqref="R96:S96">
    <cfRule type="expression" dxfId="7820" priority="111">
      <formula>R$9&gt;=20/24</formula>
    </cfRule>
    <cfRule type="expression" dxfId="7819" priority="112">
      <formula>AND(R$9&gt;=14/24,R$9&lt;20/24)</formula>
    </cfRule>
    <cfRule type="expression" dxfId="7818" priority="113">
      <formula>AND(R$9&gt;=8/24,R$9&lt;14/24)</formula>
    </cfRule>
    <cfRule type="expression" dxfId="7817" priority="114">
      <formula>R$9&lt;8/24</formula>
    </cfRule>
  </conditionalFormatting>
  <conditionalFormatting sqref="L92:M92">
    <cfRule type="expression" dxfId="7816" priority="107">
      <formula>L$9&gt;=20/24</formula>
    </cfRule>
    <cfRule type="expression" dxfId="7815" priority="108">
      <formula>AND(L$9&gt;=14/24,L$9&lt;20/24)</formula>
    </cfRule>
    <cfRule type="expression" dxfId="7814" priority="109">
      <formula>AND(L$9&gt;=8/24,L$9&lt;14/24)</formula>
    </cfRule>
    <cfRule type="expression" dxfId="7813" priority="110">
      <formula>L$9&lt;8/24</formula>
    </cfRule>
  </conditionalFormatting>
  <conditionalFormatting sqref="F92:K92">
    <cfRule type="expression" dxfId="7812" priority="103">
      <formula>F$9&gt;=20/24</formula>
    </cfRule>
    <cfRule type="expression" dxfId="7811" priority="104">
      <formula>AND(F$9&gt;=14/24,F$9&lt;20/24)</formula>
    </cfRule>
    <cfRule type="expression" dxfId="7810" priority="105">
      <formula>AND(F$9&gt;=8/24,F$9&lt;14/24)</formula>
    </cfRule>
    <cfRule type="expression" dxfId="7809" priority="106">
      <formula>F$9&lt;8/24</formula>
    </cfRule>
  </conditionalFormatting>
  <conditionalFormatting sqref="T92:V92">
    <cfRule type="expression" dxfId="7808" priority="99">
      <formula>T$9&gt;=20/24</formula>
    </cfRule>
    <cfRule type="expression" dxfId="7807" priority="100">
      <formula>AND(T$9&gt;=14/24,T$9&lt;20/24)</formula>
    </cfRule>
    <cfRule type="expression" dxfId="7806" priority="101">
      <formula>AND(T$9&gt;=8/24,T$9&lt;14/24)</formula>
    </cfRule>
    <cfRule type="expression" dxfId="7805" priority="102">
      <formula>T$9&lt;8/24</formula>
    </cfRule>
  </conditionalFormatting>
  <conditionalFormatting sqref="M92:S92">
    <cfRule type="expression" dxfId="7804" priority="95">
      <formula>M$9&gt;=20/24</formula>
    </cfRule>
    <cfRule type="expression" dxfId="7803" priority="96">
      <formula>AND(M$9&gt;=14/24,M$9&lt;20/24)</formula>
    </cfRule>
    <cfRule type="expression" dxfId="7802" priority="97">
      <formula>AND(M$9&gt;=8/24,M$9&lt;14/24)</formula>
    </cfRule>
    <cfRule type="expression" dxfId="7801" priority="98">
      <formula>M$9&lt;8/24</formula>
    </cfRule>
  </conditionalFormatting>
  <conditionalFormatting sqref="AA97:AF97">
    <cfRule type="expression" dxfId="7800" priority="91">
      <formula>AA$9&gt;=20/24</formula>
    </cfRule>
    <cfRule type="expression" dxfId="7799" priority="92">
      <formula>AND(AA$9&gt;=14/24,AA$9&lt;20/24)</formula>
    </cfRule>
    <cfRule type="expression" dxfId="7798" priority="93">
      <formula>AND(AA$9&gt;=8/24,AA$9&lt;14/24)</formula>
    </cfRule>
    <cfRule type="expression" dxfId="7797" priority="94">
      <formula>AA$9&lt;8/24</formula>
    </cfRule>
  </conditionalFormatting>
  <conditionalFormatting sqref="T97:Z97">
    <cfRule type="expression" dxfId="7796" priority="87">
      <formula>T$9&gt;=20/24</formula>
    </cfRule>
    <cfRule type="expression" dxfId="7795" priority="88">
      <formula>AND(T$9&gt;=14/24,T$9&lt;20/24)</formula>
    </cfRule>
    <cfRule type="expression" dxfId="7794" priority="89">
      <formula>AND(T$9&gt;=8/24,T$9&lt;14/24)</formula>
    </cfRule>
    <cfRule type="expression" dxfId="7793" priority="90">
      <formula>T$9&lt;8/24</formula>
    </cfRule>
  </conditionalFormatting>
  <conditionalFormatting sqref="A97">
    <cfRule type="expression" dxfId="7792" priority="86">
      <formula>$AH97=0</formula>
    </cfRule>
  </conditionalFormatting>
  <conditionalFormatting sqref="B97:L97">
    <cfRule type="expression" dxfId="7791" priority="82">
      <formula>B$9&gt;=20/24</formula>
    </cfRule>
    <cfRule type="expression" dxfId="7790" priority="83">
      <formula>AND(B$9&gt;=14/24,B$9&lt;20/24)</formula>
    </cfRule>
    <cfRule type="expression" dxfId="7789" priority="84">
      <formula>AND(B$9&gt;=8/24,B$9&lt;14/24)</formula>
    </cfRule>
    <cfRule type="expression" dxfId="7788" priority="85">
      <formula>B$9&lt;8/24</formula>
    </cfRule>
  </conditionalFormatting>
  <conditionalFormatting sqref="M97:Q97">
    <cfRule type="expression" dxfId="7787" priority="78">
      <formula>M$9&gt;=20/24</formula>
    </cfRule>
    <cfRule type="expression" dxfId="7786" priority="79">
      <formula>AND(M$9&gt;=14/24,M$9&lt;20/24)</formula>
    </cfRule>
    <cfRule type="expression" dxfId="7785" priority="80">
      <formula>AND(M$9&gt;=8/24,M$9&lt;14/24)</formula>
    </cfRule>
    <cfRule type="expression" dxfId="7784" priority="81">
      <formula>M$9&lt;8/24</formula>
    </cfRule>
  </conditionalFormatting>
  <conditionalFormatting sqref="R97:S97">
    <cfRule type="expression" dxfId="7783" priority="74">
      <formula>R$9&gt;=20/24</formula>
    </cfRule>
    <cfRule type="expression" dxfId="7782" priority="75">
      <formula>AND(R$9&gt;=14/24,R$9&lt;20/24)</formula>
    </cfRule>
    <cfRule type="expression" dxfId="7781" priority="76">
      <formula>AND(R$9&gt;=8/24,R$9&lt;14/24)</formula>
    </cfRule>
    <cfRule type="expression" dxfId="7780" priority="77">
      <formula>R$9&lt;8/24</formula>
    </cfRule>
  </conditionalFormatting>
  <conditionalFormatting sqref="T12:W14 W12:AB15">
    <cfRule type="expression" dxfId="7779" priority="70">
      <formula>T$9&gt;=20/24</formula>
    </cfRule>
    <cfRule type="expression" dxfId="7778" priority="71">
      <formula>AND(T$9&gt;=14/24,T$9&lt;20/24)</formula>
    </cfRule>
    <cfRule type="expression" dxfId="7777" priority="72">
      <formula>AND(T$9&gt;=8/24,T$9&lt;14/24)</formula>
    </cfRule>
    <cfRule type="expression" dxfId="7776" priority="73">
      <formula>T$9&lt;8/24</formula>
    </cfRule>
  </conditionalFormatting>
  <conditionalFormatting sqref="X16:AB16">
    <cfRule type="expression" dxfId="7775" priority="66">
      <formula>X$9&gt;=20/24</formula>
    </cfRule>
    <cfRule type="expression" dxfId="7774" priority="67">
      <formula>AND(X$9&gt;=14/24,X$9&lt;20/24)</formula>
    </cfRule>
    <cfRule type="expression" dxfId="7773" priority="68">
      <formula>AND(X$9&gt;=8/24,X$9&lt;14/24)</formula>
    </cfRule>
    <cfRule type="expression" dxfId="7772" priority="69">
      <formula>X$9&lt;8/24</formula>
    </cfRule>
  </conditionalFormatting>
  <conditionalFormatting sqref="T12:AB12">
    <cfRule type="expression" dxfId="7771" priority="62">
      <formula>T$9&gt;=20/24</formula>
    </cfRule>
    <cfRule type="expression" dxfId="7770" priority="63">
      <formula>AND(T$9&gt;=14/24,T$9&lt;20/24)</formula>
    </cfRule>
    <cfRule type="expression" dxfId="7769" priority="64">
      <formula>AND(T$9&gt;=8/24,T$9&lt;14/24)</formula>
    </cfRule>
    <cfRule type="expression" dxfId="7768" priority="65">
      <formula>T$9&lt;8/24</formula>
    </cfRule>
  </conditionalFormatting>
  <conditionalFormatting sqref="L12:S13 L15:S24 L26:S31 L25:W25">
    <cfRule type="expression" dxfId="7767" priority="54">
      <formula>L$9&gt;=20/24</formula>
    </cfRule>
    <cfRule type="expression" dxfId="7766" priority="55">
      <formula>AND(L$9&gt;=14/24,L$9&lt;20/24)</formula>
    </cfRule>
    <cfRule type="expression" dxfId="7765" priority="56">
      <formula>AND(L$9&gt;=8/24,L$9&lt;14/24)</formula>
    </cfRule>
    <cfRule type="expression" dxfId="7764" priority="57">
      <formula>L$9&lt;8/24</formula>
    </cfRule>
  </conditionalFormatting>
  <conditionalFormatting sqref="L33:S33">
    <cfRule type="expression" dxfId="7763" priority="50">
      <formula>L$9&gt;=20/24</formula>
    </cfRule>
    <cfRule type="expression" dxfId="7762" priority="51">
      <formula>AND(L$9&gt;=14/24,L$9&lt;20/24)</formula>
    </cfRule>
    <cfRule type="expression" dxfId="7761" priority="52">
      <formula>AND(L$9&gt;=8/24,L$9&lt;14/24)</formula>
    </cfRule>
    <cfRule type="expression" dxfId="7760" priority="53">
      <formula>L$9&lt;8/24</formula>
    </cfRule>
  </conditionalFormatting>
  <conditionalFormatting sqref="L15:S24 L33:S34 L12:S13 L26:S31 L25:W25">
    <cfRule type="expression" dxfId="7759" priority="49">
      <formula>L12&gt;$AG12</formula>
    </cfRule>
  </conditionalFormatting>
  <conditionalFormatting sqref="L34:S34">
    <cfRule type="expression" dxfId="7758" priority="45">
      <formula>L$9&gt;=20/24</formula>
    </cfRule>
    <cfRule type="expression" dxfId="7757" priority="46">
      <formula>AND(L$9&gt;=14/24,L$9&lt;20/24)</formula>
    </cfRule>
    <cfRule type="expression" dxfId="7756" priority="47">
      <formula>AND(L$9&gt;=8/24,L$9&lt;14/24)</formula>
    </cfRule>
    <cfRule type="expression" dxfId="7755" priority="48">
      <formula>L$9&lt;8/24</formula>
    </cfRule>
  </conditionalFormatting>
  <conditionalFormatting sqref="L32:S32">
    <cfRule type="expression" dxfId="7754" priority="41">
      <formula>L$9&gt;=20/24</formula>
    </cfRule>
    <cfRule type="expression" dxfId="7753" priority="42">
      <formula>AND(L$9&gt;=14/24,L$9&lt;20/24)</formula>
    </cfRule>
    <cfRule type="expression" dxfId="7752" priority="43">
      <formula>AND(L$9&gt;=8/24,L$9&lt;14/24)</formula>
    </cfRule>
    <cfRule type="expression" dxfId="7751" priority="44">
      <formula>L$9&lt;8/24</formula>
    </cfRule>
  </conditionalFormatting>
  <conditionalFormatting sqref="L32:S32">
    <cfRule type="expression" dxfId="7750" priority="40">
      <formula>L32&gt;$AG32</formula>
    </cfRule>
  </conditionalFormatting>
  <conditionalFormatting sqref="L14:S14">
    <cfRule type="expression" dxfId="7749" priority="36">
      <formula>L$9&gt;=20/24</formula>
    </cfRule>
    <cfRule type="expression" dxfId="7748" priority="37">
      <formula>AND(L$9&gt;=14/24,L$9&lt;20/24)</formula>
    </cfRule>
    <cfRule type="expression" dxfId="7747" priority="38">
      <formula>AND(L$9&gt;=8/24,L$9&lt;14/24)</formula>
    </cfRule>
    <cfRule type="expression" dxfId="7746" priority="39">
      <formula>L$9&lt;8/24</formula>
    </cfRule>
  </conditionalFormatting>
  <conditionalFormatting sqref="L14:S14">
    <cfRule type="expression" dxfId="7745" priority="35">
      <formula>L14&gt;$AG14</formula>
    </cfRule>
  </conditionalFormatting>
  <conditionalFormatting sqref="L35:S35">
    <cfRule type="expression" dxfId="7744" priority="31">
      <formula>L$9&gt;=20/24</formula>
    </cfRule>
    <cfRule type="expression" dxfId="7743" priority="32">
      <formula>AND(L$9&gt;=14/24,L$9&lt;20/24)</formula>
    </cfRule>
    <cfRule type="expression" dxfId="7742" priority="33">
      <formula>AND(L$9&gt;=8/24,L$9&lt;14/24)</formula>
    </cfRule>
    <cfRule type="expression" dxfId="7741" priority="34">
      <formula>L$9&lt;8/24</formula>
    </cfRule>
  </conditionalFormatting>
  <conditionalFormatting sqref="T15:V24 W16:W24 T26:W31">
    <cfRule type="expression" dxfId="7740" priority="27">
      <formula>T$9&gt;=20/24</formula>
    </cfRule>
    <cfRule type="expression" dxfId="7739" priority="28">
      <formula>AND(T$9&gt;=14/24,T$9&lt;20/24)</formula>
    </cfRule>
    <cfRule type="expression" dxfId="7738" priority="29">
      <formula>AND(T$9&gt;=8/24,T$9&lt;14/24)</formula>
    </cfRule>
    <cfRule type="expression" dxfId="7737" priority="30">
      <formula>T$9&lt;8/24</formula>
    </cfRule>
  </conditionalFormatting>
  <conditionalFormatting sqref="T33:W33">
    <cfRule type="expression" dxfId="7736" priority="23">
      <formula>T$9&gt;=20/24</formula>
    </cfRule>
    <cfRule type="expression" dxfId="7735" priority="24">
      <formula>AND(T$9&gt;=14/24,T$9&lt;20/24)</formula>
    </cfRule>
    <cfRule type="expression" dxfId="7734" priority="25">
      <formula>AND(T$9&gt;=8/24,T$9&lt;14/24)</formula>
    </cfRule>
    <cfRule type="expression" dxfId="7733" priority="26">
      <formula>T$9&lt;8/24</formula>
    </cfRule>
  </conditionalFormatting>
  <conditionalFormatting sqref="T15:V24 W16:W24 T33:W34 T26:W31">
    <cfRule type="expression" dxfId="7732" priority="22">
      <formula>T15&gt;$AG15</formula>
    </cfRule>
  </conditionalFormatting>
  <conditionalFormatting sqref="T34:W34">
    <cfRule type="expression" dxfId="7731" priority="18">
      <formula>T$9&gt;=20/24</formula>
    </cfRule>
    <cfRule type="expression" dxfId="7730" priority="19">
      <formula>AND(T$9&gt;=14/24,T$9&lt;20/24)</formula>
    </cfRule>
    <cfRule type="expression" dxfId="7729" priority="20">
      <formula>AND(T$9&gt;=8/24,T$9&lt;14/24)</formula>
    </cfRule>
    <cfRule type="expression" dxfId="7728" priority="21">
      <formula>T$9&lt;8/24</formula>
    </cfRule>
  </conditionalFormatting>
  <conditionalFormatting sqref="T32:W32">
    <cfRule type="expression" dxfId="7727" priority="14">
      <formula>T$9&gt;=20/24</formula>
    </cfRule>
    <cfRule type="expression" dxfId="7726" priority="15">
      <formula>AND(T$9&gt;=14/24,T$9&lt;20/24)</formula>
    </cfRule>
    <cfRule type="expression" dxfId="7725" priority="16">
      <formula>AND(T$9&gt;=8/24,T$9&lt;14/24)</formula>
    </cfRule>
    <cfRule type="expression" dxfId="7724" priority="17">
      <formula>T$9&lt;8/24</formula>
    </cfRule>
  </conditionalFormatting>
  <conditionalFormatting sqref="T32:W32">
    <cfRule type="expression" dxfId="7723" priority="13">
      <formula>T32&gt;$AG32</formula>
    </cfRule>
  </conditionalFormatting>
  <conditionalFormatting sqref="T47:W47">
    <cfRule type="expression" dxfId="7722" priority="9">
      <formula>T$9&gt;=20/24</formula>
    </cfRule>
    <cfRule type="expression" dxfId="7721" priority="10">
      <formula>AND(T$9&gt;=14/24,T$9&lt;20/24)</formula>
    </cfRule>
    <cfRule type="expression" dxfId="7720" priority="11">
      <formula>AND(T$9&gt;=8/24,T$9&lt;14/24)</formula>
    </cfRule>
    <cfRule type="expression" dxfId="7719" priority="12">
      <formula>T$9&lt;8/24</formula>
    </cfRule>
  </conditionalFormatting>
  <conditionalFormatting sqref="T48:W48">
    <cfRule type="expression" dxfId="7718" priority="5">
      <formula>T$9&gt;=20/24</formula>
    </cfRule>
    <cfRule type="expression" dxfId="7717" priority="6">
      <formula>AND(T$9&gt;=14/24,T$9&lt;20/24)</formula>
    </cfRule>
    <cfRule type="expression" dxfId="7716" priority="7">
      <formula>AND(T$9&gt;=8/24,T$9&lt;14/24)</formula>
    </cfRule>
    <cfRule type="expression" dxfId="7715" priority="8">
      <formula>T$9&lt;8/24</formula>
    </cfRule>
  </conditionalFormatting>
  <conditionalFormatting sqref="T44:W46">
    <cfRule type="expression" dxfId="7714" priority="1">
      <formula>T$9&gt;=20/24</formula>
    </cfRule>
    <cfRule type="expression" dxfId="7713" priority="2">
      <formula>AND(T$9&gt;=14/24,T$9&lt;20/24)</formula>
    </cfRule>
    <cfRule type="expression" dxfId="7712" priority="3">
      <formula>AND(T$9&gt;=8/24,T$9&lt;14/24)</formula>
    </cfRule>
    <cfRule type="expression" dxfId="7711" priority="4">
      <formula>T$9&lt;8/24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2078/07/10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-38</v>
      </c>
      <c r="C5" s="32">
        <f t="shared" ref="C5:AF5" si="0">C66</f>
        <v>-47</v>
      </c>
      <c r="D5" s="32">
        <f t="shared" si="0"/>
        <v>-45.6</v>
      </c>
      <c r="E5" s="32">
        <f t="shared" si="0"/>
        <v>-55.6</v>
      </c>
      <c r="F5" s="32">
        <f t="shared" si="0"/>
        <v>-25</v>
      </c>
      <c r="G5" s="32">
        <f t="shared" si="0"/>
        <v>-40</v>
      </c>
      <c r="H5" s="32">
        <f t="shared" si="0"/>
        <v>-25</v>
      </c>
      <c r="I5" s="32">
        <f t="shared" si="0"/>
        <v>0</v>
      </c>
      <c r="J5" s="32">
        <f t="shared" si="0"/>
        <v>-30</v>
      </c>
      <c r="K5" s="32">
        <f t="shared" si="0"/>
        <v>-20</v>
      </c>
      <c r="L5" s="32">
        <f t="shared" si="0"/>
        <v>-29.1</v>
      </c>
      <c r="M5" s="32">
        <f t="shared" si="0"/>
        <v>-4.8</v>
      </c>
      <c r="N5" s="32">
        <f t="shared" si="0"/>
        <v>-29.5</v>
      </c>
      <c r="O5" s="32">
        <f t="shared" si="0"/>
        <v>-34.9</v>
      </c>
      <c r="P5" s="32">
        <f t="shared" si="0"/>
        <v>-36</v>
      </c>
      <c r="Q5" s="32">
        <f t="shared" si="0"/>
        <v>-23.3</v>
      </c>
      <c r="R5" s="32">
        <f t="shared" si="0"/>
        <v>-7.7</v>
      </c>
      <c r="S5" s="32">
        <f t="shared" si="0"/>
        <v>-1.4</v>
      </c>
      <c r="T5" s="32">
        <f t="shared" si="0"/>
        <v>-3.6</v>
      </c>
      <c r="U5" s="32">
        <f t="shared" si="0"/>
        <v>-36.9</v>
      </c>
      <c r="V5" s="32">
        <f t="shared" si="0"/>
        <v>-25.4</v>
      </c>
      <c r="W5" s="32">
        <f t="shared" si="0"/>
        <v>-16.3</v>
      </c>
      <c r="X5" s="32">
        <f t="shared" si="0"/>
        <v>-9.9</v>
      </c>
      <c r="Y5" s="32">
        <f t="shared" si="0"/>
        <v>-10.1</v>
      </c>
      <c r="Z5" s="32">
        <f t="shared" si="0"/>
        <v>-15.3</v>
      </c>
      <c r="AA5" s="32">
        <f t="shared" si="0"/>
        <v>-21</v>
      </c>
      <c r="AB5" s="32">
        <f t="shared" si="0"/>
        <v>0</v>
      </c>
      <c r="AC5" s="32">
        <f t="shared" si="0"/>
        <v>-15</v>
      </c>
      <c r="AD5" s="32">
        <f t="shared" si="0"/>
        <v>-13</v>
      </c>
      <c r="AE5" s="32">
        <f t="shared" si="0"/>
        <v>-4</v>
      </c>
      <c r="AF5" s="32">
        <f t="shared" si="0"/>
        <v>-13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1106MW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Load=829</v>
      </c>
      <c r="B7" s="37">
        <f t="shared" ref="B7:AF7" si="1">B73</f>
        <v>872.83999999999992</v>
      </c>
      <c r="C7" s="37">
        <f t="shared" si="1"/>
        <v>858.83999999999992</v>
      </c>
      <c r="D7" s="37">
        <f t="shared" si="1"/>
        <v>854.12</v>
      </c>
      <c r="E7" s="37">
        <f t="shared" si="1"/>
        <v>841.42</v>
      </c>
      <c r="F7" s="37">
        <f t="shared" si="1"/>
        <v>889.02</v>
      </c>
      <c r="G7" s="37">
        <f t="shared" si="1"/>
        <v>852.61999999999989</v>
      </c>
      <c r="H7" s="37">
        <f t="shared" si="1"/>
        <v>936.02</v>
      </c>
      <c r="I7" s="37">
        <f t="shared" si="1"/>
        <v>1002.02</v>
      </c>
      <c r="J7" s="37">
        <f t="shared" si="1"/>
        <v>1029.02</v>
      </c>
      <c r="K7" s="37">
        <f t="shared" si="1"/>
        <v>1072.22</v>
      </c>
      <c r="L7" s="37">
        <f>L73</f>
        <v>1105.72</v>
      </c>
      <c r="M7" s="37">
        <f t="shared" si="1"/>
        <v>1089.22</v>
      </c>
      <c r="N7" s="37">
        <f t="shared" si="1"/>
        <v>1074.52</v>
      </c>
      <c r="O7" s="37">
        <f t="shared" si="1"/>
        <v>1061.8200000000002</v>
      </c>
      <c r="P7" s="37">
        <f t="shared" si="1"/>
        <v>1072.6400000000001</v>
      </c>
      <c r="Q7" s="37">
        <f t="shared" si="1"/>
        <v>1057.04</v>
      </c>
      <c r="R7" s="37">
        <f t="shared" si="1"/>
        <v>1081.6400000000001</v>
      </c>
      <c r="S7" s="37">
        <f t="shared" si="1"/>
        <v>1081.04</v>
      </c>
      <c r="T7" s="37">
        <f t="shared" si="1"/>
        <v>1102.44</v>
      </c>
      <c r="U7" s="37">
        <f t="shared" si="1"/>
        <v>1104.04</v>
      </c>
      <c r="V7" s="37">
        <f t="shared" si="1"/>
        <v>1208.44</v>
      </c>
      <c r="W7" s="37">
        <f t="shared" si="1"/>
        <v>1392.3400000000001</v>
      </c>
      <c r="X7" s="37">
        <f t="shared" si="1"/>
        <v>1318.44</v>
      </c>
      <c r="Y7" s="37">
        <f t="shared" si="1"/>
        <v>1245.74</v>
      </c>
      <c r="Z7" s="37">
        <f t="shared" si="1"/>
        <v>1208.04</v>
      </c>
      <c r="AA7" s="37">
        <f t="shared" si="1"/>
        <v>1099.6399999999999</v>
      </c>
      <c r="AB7" s="37">
        <f t="shared" si="1"/>
        <v>1083.1400000000001</v>
      </c>
      <c r="AC7" s="37">
        <f t="shared" si="1"/>
        <v>1038.1399999999999</v>
      </c>
      <c r="AD7" s="37">
        <f t="shared" si="1"/>
        <v>896.93999999999994</v>
      </c>
      <c r="AE7" s="37">
        <f t="shared" si="1"/>
        <v>828.63999999999987</v>
      </c>
      <c r="AF7" s="37">
        <f t="shared" si="1"/>
        <v>846.24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241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85</v>
      </c>
      <c r="C11" s="49">
        <v>85</v>
      </c>
      <c r="D11" s="49">
        <v>85</v>
      </c>
      <c r="E11" s="49">
        <v>85</v>
      </c>
      <c r="F11" s="49">
        <v>85</v>
      </c>
      <c r="G11" s="49">
        <v>85</v>
      </c>
      <c r="H11" s="49">
        <v>85</v>
      </c>
      <c r="I11" s="49">
        <v>85</v>
      </c>
      <c r="J11" s="49">
        <v>120</v>
      </c>
      <c r="K11" s="49">
        <v>152</v>
      </c>
      <c r="L11" s="50">
        <v>180</v>
      </c>
      <c r="M11" s="50">
        <v>152</v>
      </c>
      <c r="N11" s="50">
        <v>170</v>
      </c>
      <c r="O11" s="50">
        <v>170</v>
      </c>
      <c r="P11" s="50">
        <v>190</v>
      </c>
      <c r="Q11" s="51">
        <v>170</v>
      </c>
      <c r="R11" s="52">
        <v>180</v>
      </c>
      <c r="S11" s="52">
        <v>200</v>
      </c>
      <c r="T11" s="52">
        <v>220</v>
      </c>
      <c r="U11" s="52">
        <v>240</v>
      </c>
      <c r="V11" s="52">
        <v>250</v>
      </c>
      <c r="W11" s="52">
        <v>341.7</v>
      </c>
      <c r="X11" s="52">
        <v>300</v>
      </c>
      <c r="Y11" s="52">
        <v>263</v>
      </c>
      <c r="Z11" s="52">
        <v>253</v>
      </c>
      <c r="AA11" s="52">
        <v>170</v>
      </c>
      <c r="AB11" s="54">
        <v>150</v>
      </c>
      <c r="AC11" s="54">
        <v>120</v>
      </c>
      <c r="AD11" s="54">
        <v>100</v>
      </c>
      <c r="AE11" s="54">
        <v>70</v>
      </c>
      <c r="AF11" s="54">
        <v>70</v>
      </c>
      <c r="AG11" s="55">
        <v>456</v>
      </c>
      <c r="AH11" s="56">
        <f>MAX(B11:AF11)</f>
        <v>341.7</v>
      </c>
      <c r="AI11" s="57">
        <f>MIN(B11:AF11)</f>
        <v>70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60</v>
      </c>
      <c r="J12" s="49">
        <v>60</v>
      </c>
      <c r="K12" s="49">
        <v>60</v>
      </c>
      <c r="L12" s="50">
        <v>60</v>
      </c>
      <c r="M12" s="50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40</v>
      </c>
      <c r="AE12" s="60">
        <v>40</v>
      </c>
      <c r="AF12" s="60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</v>
      </c>
      <c r="C13" s="49">
        <v>25</v>
      </c>
      <c r="D13" s="49">
        <v>25</v>
      </c>
      <c r="E13" s="49">
        <v>25</v>
      </c>
      <c r="F13" s="49">
        <v>25</v>
      </c>
      <c r="G13" s="49">
        <v>25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</v>
      </c>
      <c r="R13" s="50">
        <v>25</v>
      </c>
      <c r="S13" s="50">
        <v>25</v>
      </c>
      <c r="T13" s="62">
        <v>25.7</v>
      </c>
      <c r="U13" s="62">
        <v>25.7</v>
      </c>
      <c r="V13" s="62">
        <v>25.7</v>
      </c>
      <c r="W13" s="62">
        <v>25.7</v>
      </c>
      <c r="X13" s="62">
        <v>25.7</v>
      </c>
      <c r="Y13" s="62">
        <v>25.7</v>
      </c>
      <c r="Z13" s="62">
        <v>25.7</v>
      </c>
      <c r="AA13" s="62">
        <v>25.7</v>
      </c>
      <c r="AB13" s="62">
        <v>25.7</v>
      </c>
      <c r="AC13" s="62">
        <v>25.7</v>
      </c>
      <c r="AD13" s="62">
        <v>25.7</v>
      </c>
      <c r="AE13" s="62">
        <v>25.7</v>
      </c>
      <c r="AF13" s="62">
        <v>25.6</v>
      </c>
      <c r="AG13" s="61">
        <v>52.4</v>
      </c>
      <c r="AH13" s="56">
        <f t="shared" si="2"/>
        <v>25.7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36</v>
      </c>
      <c r="C14" s="63">
        <v>36</v>
      </c>
      <c r="D14" s="63">
        <v>36</v>
      </c>
      <c r="E14" s="63">
        <v>36</v>
      </c>
      <c r="F14" s="63">
        <v>36</v>
      </c>
      <c r="G14" s="63">
        <v>36</v>
      </c>
      <c r="H14" s="63">
        <v>36</v>
      </c>
      <c r="I14" s="63">
        <v>45</v>
      </c>
      <c r="J14" s="63">
        <v>45</v>
      </c>
      <c r="K14" s="63">
        <v>45</v>
      </c>
      <c r="L14" s="50">
        <v>45</v>
      </c>
      <c r="M14" s="50">
        <v>45</v>
      </c>
      <c r="N14" s="50">
        <v>45.8</v>
      </c>
      <c r="O14" s="50">
        <v>45.8</v>
      </c>
      <c r="P14" s="50">
        <v>37.1</v>
      </c>
      <c r="Q14" s="50">
        <v>37.1</v>
      </c>
      <c r="R14" s="50">
        <v>37.1</v>
      </c>
      <c r="S14" s="50">
        <v>37.1</v>
      </c>
      <c r="T14" s="62">
        <v>37.1</v>
      </c>
      <c r="U14" s="62">
        <v>37.1</v>
      </c>
      <c r="V14" s="62">
        <v>37.1</v>
      </c>
      <c r="W14" s="62">
        <v>45.8</v>
      </c>
      <c r="X14" s="62">
        <v>45.8</v>
      </c>
      <c r="Y14" s="62">
        <v>45.8</v>
      </c>
      <c r="Z14" s="62">
        <v>42</v>
      </c>
      <c r="AA14" s="62">
        <v>42</v>
      </c>
      <c r="AB14" s="62">
        <v>42</v>
      </c>
      <c r="AC14" s="62">
        <v>42</v>
      </c>
      <c r="AD14" s="62">
        <v>36</v>
      </c>
      <c r="AE14" s="62">
        <v>36</v>
      </c>
      <c r="AF14" s="62">
        <v>36</v>
      </c>
      <c r="AG14" s="64">
        <v>45</v>
      </c>
      <c r="AH14" s="56">
        <f t="shared" si="2"/>
        <v>45.8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23</v>
      </c>
      <c r="C15" s="49">
        <v>23</v>
      </c>
      <c r="D15" s="49">
        <v>23</v>
      </c>
      <c r="E15" s="49">
        <v>23</v>
      </c>
      <c r="F15" s="49">
        <v>23</v>
      </c>
      <c r="G15" s="49">
        <v>23</v>
      </c>
      <c r="H15" s="49">
        <v>24</v>
      </c>
      <c r="I15" s="49">
        <v>24</v>
      </c>
      <c r="J15" s="49">
        <v>24</v>
      </c>
      <c r="K15" s="49">
        <v>24</v>
      </c>
      <c r="L15" s="50">
        <v>24</v>
      </c>
      <c r="M15" s="50">
        <v>24</v>
      </c>
      <c r="N15" s="50">
        <v>20</v>
      </c>
      <c r="O15" s="50">
        <v>20</v>
      </c>
      <c r="P15" s="50">
        <v>20</v>
      </c>
      <c r="Q15" s="50">
        <v>20</v>
      </c>
      <c r="R15" s="50">
        <v>20</v>
      </c>
      <c r="S15" s="52">
        <v>20</v>
      </c>
      <c r="T15" s="62">
        <v>24</v>
      </c>
      <c r="U15" s="62">
        <v>20</v>
      </c>
      <c r="V15" s="62">
        <v>23</v>
      </c>
      <c r="W15" s="65">
        <v>25</v>
      </c>
      <c r="X15" s="65">
        <v>25</v>
      </c>
      <c r="Y15" s="65">
        <v>25</v>
      </c>
      <c r="Z15" s="65">
        <v>23</v>
      </c>
      <c r="AA15" s="65">
        <v>23</v>
      </c>
      <c r="AB15" s="65">
        <v>23</v>
      </c>
      <c r="AC15" s="65">
        <v>23</v>
      </c>
      <c r="AD15" s="65">
        <v>23</v>
      </c>
      <c r="AE15" s="65">
        <v>23</v>
      </c>
      <c r="AF15" s="65">
        <v>23</v>
      </c>
      <c r="AG15" s="61">
        <v>45</v>
      </c>
      <c r="AH15" s="56">
        <f t="shared" si="2"/>
        <v>25</v>
      </c>
      <c r="AI15" s="57">
        <f t="shared" si="3"/>
        <v>20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22</v>
      </c>
      <c r="C16" s="49">
        <v>22</v>
      </c>
      <c r="D16" s="49">
        <v>22</v>
      </c>
      <c r="E16" s="49">
        <v>22</v>
      </c>
      <c r="F16" s="49">
        <v>22</v>
      </c>
      <c r="G16" s="49">
        <v>22</v>
      </c>
      <c r="H16" s="49">
        <v>22</v>
      </c>
      <c r="I16" s="49">
        <v>22</v>
      </c>
      <c r="J16" s="49">
        <v>22</v>
      </c>
      <c r="K16" s="49">
        <v>22</v>
      </c>
      <c r="L16" s="50">
        <v>22</v>
      </c>
      <c r="M16" s="50">
        <v>22</v>
      </c>
      <c r="N16" s="50">
        <v>22</v>
      </c>
      <c r="O16" s="50">
        <v>22</v>
      </c>
      <c r="P16" s="50">
        <v>22</v>
      </c>
      <c r="Q16" s="50">
        <v>22</v>
      </c>
      <c r="R16" s="50">
        <v>22</v>
      </c>
      <c r="S16" s="50">
        <v>22</v>
      </c>
      <c r="T16" s="50">
        <v>22</v>
      </c>
      <c r="U16" s="50">
        <v>22</v>
      </c>
      <c r="V16" s="50">
        <v>22</v>
      </c>
      <c r="W16" s="62">
        <v>22</v>
      </c>
      <c r="X16" s="62">
        <v>22</v>
      </c>
      <c r="Y16" s="62">
        <v>22</v>
      </c>
      <c r="Z16" s="62">
        <v>22</v>
      </c>
      <c r="AA16" s="62">
        <v>22</v>
      </c>
      <c r="AB16" s="62">
        <v>22</v>
      </c>
      <c r="AC16" s="62">
        <v>22</v>
      </c>
      <c r="AD16" s="62">
        <v>22</v>
      </c>
      <c r="AE16" s="62">
        <v>22</v>
      </c>
      <c r="AF16" s="62">
        <v>22</v>
      </c>
      <c r="AG16" s="61">
        <v>42</v>
      </c>
      <c r="AH16" s="56">
        <f t="shared" si="2"/>
        <v>22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20</v>
      </c>
      <c r="L17" s="50">
        <v>20</v>
      </c>
      <c r="M17" s="50">
        <v>20</v>
      </c>
      <c r="N17" s="50">
        <v>20</v>
      </c>
      <c r="O17" s="50">
        <v>20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12.5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36</v>
      </c>
      <c r="AH17" s="56">
        <f t="shared" si="2"/>
        <v>25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22</v>
      </c>
      <c r="C18" s="49">
        <v>22</v>
      </c>
      <c r="D18" s="49">
        <v>22</v>
      </c>
      <c r="E18" s="49">
        <v>22</v>
      </c>
      <c r="F18" s="49">
        <v>22</v>
      </c>
      <c r="G18" s="49">
        <v>22</v>
      </c>
      <c r="H18" s="49">
        <v>22</v>
      </c>
      <c r="I18" s="49">
        <v>22</v>
      </c>
      <c r="J18" s="49">
        <v>22</v>
      </c>
      <c r="K18" s="49">
        <v>22</v>
      </c>
      <c r="L18" s="50">
        <v>22</v>
      </c>
      <c r="M18" s="50">
        <v>22</v>
      </c>
      <c r="N18" s="50">
        <v>24.3</v>
      </c>
      <c r="O18" s="50">
        <v>24.3</v>
      </c>
      <c r="P18" s="50">
        <v>22.8</v>
      </c>
      <c r="Q18" s="50">
        <v>22.7</v>
      </c>
      <c r="R18" s="50">
        <v>22.7</v>
      </c>
      <c r="S18" s="50">
        <v>22.7</v>
      </c>
      <c r="T18" s="50">
        <v>22.7</v>
      </c>
      <c r="U18" s="50">
        <v>22.7</v>
      </c>
      <c r="V18" s="50">
        <v>22.7</v>
      </c>
      <c r="W18" s="50">
        <v>25</v>
      </c>
      <c r="X18" s="50">
        <v>25</v>
      </c>
      <c r="Y18" s="50">
        <v>25</v>
      </c>
      <c r="Z18" s="50">
        <v>23.3</v>
      </c>
      <c r="AA18" s="50">
        <v>23.5</v>
      </c>
      <c r="AB18" s="50">
        <v>23.5</v>
      </c>
      <c r="AC18" s="50">
        <v>23.5</v>
      </c>
      <c r="AD18" s="50">
        <v>22</v>
      </c>
      <c r="AE18" s="50">
        <v>22</v>
      </c>
      <c r="AF18" s="50">
        <v>22</v>
      </c>
      <c r="AG18" s="61">
        <v>30</v>
      </c>
      <c r="AH18" s="56">
        <f t="shared" si="2"/>
        <v>25</v>
      </c>
      <c r="AI18" s="57">
        <f t="shared" si="3"/>
        <v>22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18</v>
      </c>
      <c r="C21" s="49">
        <v>18</v>
      </c>
      <c r="D21" s="49">
        <v>18</v>
      </c>
      <c r="E21" s="49">
        <v>18</v>
      </c>
      <c r="F21" s="49">
        <v>18</v>
      </c>
      <c r="G21" s="49">
        <v>18</v>
      </c>
      <c r="H21" s="49">
        <v>18</v>
      </c>
      <c r="I21" s="49">
        <v>18</v>
      </c>
      <c r="J21" s="49">
        <v>18</v>
      </c>
      <c r="K21" s="49">
        <v>18</v>
      </c>
      <c r="L21" s="50">
        <v>18</v>
      </c>
      <c r="M21" s="50">
        <v>18</v>
      </c>
      <c r="N21" s="50">
        <v>18</v>
      </c>
      <c r="O21" s="50">
        <v>18</v>
      </c>
      <c r="P21" s="50">
        <v>22.1</v>
      </c>
      <c r="Q21" s="50">
        <v>22.1</v>
      </c>
      <c r="R21" s="50">
        <v>22.1</v>
      </c>
      <c r="S21" s="50">
        <v>22.1</v>
      </c>
      <c r="T21" s="50">
        <v>22.1</v>
      </c>
      <c r="U21" s="50">
        <v>22.1</v>
      </c>
      <c r="V21" s="50">
        <v>22.1</v>
      </c>
      <c r="W21" s="50">
        <v>22.1</v>
      </c>
      <c r="X21" s="50">
        <v>22.1</v>
      </c>
      <c r="Y21" s="50">
        <v>22.1</v>
      </c>
      <c r="Z21" s="50">
        <v>22.1</v>
      </c>
      <c r="AA21" s="50">
        <v>22.1</v>
      </c>
      <c r="AB21" s="50">
        <v>22.1</v>
      </c>
      <c r="AC21" s="50">
        <v>22.1</v>
      </c>
      <c r="AD21" s="50">
        <v>22.1</v>
      </c>
      <c r="AE21" s="50">
        <v>22.1</v>
      </c>
      <c r="AF21" s="50">
        <v>22.1</v>
      </c>
      <c r="AG21" s="61">
        <v>25</v>
      </c>
      <c r="AH21" s="56">
        <f t="shared" si="2"/>
        <v>22.1</v>
      </c>
      <c r="AI21" s="57">
        <f t="shared" si="3"/>
        <v>18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23.7</v>
      </c>
      <c r="C22" s="49">
        <v>23.7</v>
      </c>
      <c r="D22" s="49">
        <v>23.68</v>
      </c>
      <c r="E22" s="49">
        <v>23.68</v>
      </c>
      <c r="F22" s="49">
        <v>23.68</v>
      </c>
      <c r="G22" s="49">
        <v>23.68</v>
      </c>
      <c r="H22" s="49">
        <v>23.68</v>
      </c>
      <c r="I22" s="49">
        <v>23.68</v>
      </c>
      <c r="J22" s="49">
        <v>23.68</v>
      </c>
      <c r="K22" s="49">
        <v>23.68</v>
      </c>
      <c r="L22" s="50">
        <v>23.68</v>
      </c>
      <c r="M22" s="50">
        <v>23.68</v>
      </c>
      <c r="N22" s="50">
        <v>23.68</v>
      </c>
      <c r="O22" s="50">
        <v>23.68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1">
        <v>25</v>
      </c>
      <c r="AH22" s="56">
        <f t="shared" si="2"/>
        <v>23.7</v>
      </c>
      <c r="AI22" s="57">
        <f t="shared" si="3"/>
        <v>22.1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18</v>
      </c>
      <c r="C23" s="49">
        <v>18</v>
      </c>
      <c r="D23" s="49">
        <v>18</v>
      </c>
      <c r="E23" s="49">
        <v>18</v>
      </c>
      <c r="F23" s="49">
        <v>18</v>
      </c>
      <c r="G23" s="49">
        <v>18</v>
      </c>
      <c r="H23" s="49">
        <v>18</v>
      </c>
      <c r="I23" s="49">
        <v>18</v>
      </c>
      <c r="J23" s="49">
        <v>18</v>
      </c>
      <c r="K23" s="49">
        <v>18</v>
      </c>
      <c r="L23" s="50">
        <v>18</v>
      </c>
      <c r="M23" s="50">
        <v>18</v>
      </c>
      <c r="N23" s="50">
        <v>18</v>
      </c>
      <c r="O23" s="50">
        <v>18</v>
      </c>
      <c r="P23" s="50">
        <v>18</v>
      </c>
      <c r="Q23" s="50">
        <v>18</v>
      </c>
      <c r="R23" s="50">
        <v>18</v>
      </c>
      <c r="S23" s="50">
        <v>18</v>
      </c>
      <c r="T23" s="50">
        <v>18</v>
      </c>
      <c r="U23" s="50">
        <v>18</v>
      </c>
      <c r="V23" s="50">
        <v>18</v>
      </c>
      <c r="W23" s="50">
        <v>18</v>
      </c>
      <c r="X23" s="50">
        <v>18</v>
      </c>
      <c r="Y23" s="50">
        <v>18</v>
      </c>
      <c r="Z23" s="50">
        <v>18</v>
      </c>
      <c r="AA23" s="50">
        <v>22</v>
      </c>
      <c r="AB23" s="50">
        <v>22</v>
      </c>
      <c r="AC23" s="50">
        <v>22</v>
      </c>
      <c r="AD23" s="50">
        <v>22</v>
      </c>
      <c r="AE23" s="50">
        <v>19</v>
      </c>
      <c r="AF23" s="50">
        <v>19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18</v>
      </c>
      <c r="K24" s="49">
        <v>18</v>
      </c>
      <c r="L24" s="50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18</v>
      </c>
      <c r="T24" s="50">
        <v>18</v>
      </c>
      <c r="U24" s="50">
        <v>18</v>
      </c>
      <c r="V24" s="50">
        <v>18</v>
      </c>
      <c r="W24" s="50">
        <v>18</v>
      </c>
      <c r="X24" s="50">
        <v>18</v>
      </c>
      <c r="Y24" s="50">
        <v>18</v>
      </c>
      <c r="Z24" s="50">
        <v>18</v>
      </c>
      <c r="AA24" s="50">
        <v>18</v>
      </c>
      <c r="AB24" s="50">
        <v>18</v>
      </c>
      <c r="AC24" s="50">
        <v>18</v>
      </c>
      <c r="AD24" s="50">
        <v>18</v>
      </c>
      <c r="AE24" s="50">
        <v>18</v>
      </c>
      <c r="AF24" s="50">
        <v>18</v>
      </c>
      <c r="AG24" s="61">
        <v>24.2</v>
      </c>
      <c r="AH24" s="56">
        <f t="shared" si="2"/>
        <v>18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0">
        <v>4</v>
      </c>
      <c r="M25" s="50">
        <v>4</v>
      </c>
      <c r="N25" s="50">
        <v>4</v>
      </c>
      <c r="O25" s="50">
        <v>4</v>
      </c>
      <c r="P25" s="50">
        <v>5</v>
      </c>
      <c r="Q25" s="50">
        <v>5</v>
      </c>
      <c r="R25" s="50">
        <v>5</v>
      </c>
      <c r="S25" s="50">
        <v>5</v>
      </c>
      <c r="T25" s="50">
        <v>4</v>
      </c>
      <c r="U25" s="50">
        <v>4</v>
      </c>
      <c r="V25" s="50">
        <v>4</v>
      </c>
      <c r="W25" s="50">
        <v>8</v>
      </c>
      <c r="X25" s="50">
        <v>4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50">
        <v>4</v>
      </c>
      <c r="AF25" s="50">
        <v>4</v>
      </c>
      <c r="AG25" s="61">
        <v>20</v>
      </c>
      <c r="AH25" s="56">
        <f>MAX(B25:AF25)</f>
        <v>8</v>
      </c>
      <c r="AI25" s="57">
        <f>MIN(B25:AF25)</f>
        <v>4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12</v>
      </c>
      <c r="C26" s="49">
        <v>12</v>
      </c>
      <c r="D26" s="49">
        <v>15.5</v>
      </c>
      <c r="E26" s="49">
        <v>15.5</v>
      </c>
      <c r="F26" s="49">
        <v>15.5</v>
      </c>
      <c r="G26" s="49">
        <v>15.5</v>
      </c>
      <c r="H26" s="49">
        <v>15.5</v>
      </c>
      <c r="I26" s="49">
        <v>15.5</v>
      </c>
      <c r="J26" s="49">
        <v>15.5</v>
      </c>
      <c r="K26" s="49">
        <v>15.5</v>
      </c>
      <c r="L26" s="50">
        <v>15.5</v>
      </c>
      <c r="M26" s="50">
        <v>15.5</v>
      </c>
      <c r="N26" s="50">
        <v>15.5</v>
      </c>
      <c r="O26" s="50">
        <v>15.5</v>
      </c>
      <c r="P26" s="50">
        <v>15.5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0">
        <v>15</v>
      </c>
      <c r="Z26" s="50">
        <v>15</v>
      </c>
      <c r="AA26" s="50">
        <v>15</v>
      </c>
      <c r="AB26" s="50">
        <v>15</v>
      </c>
      <c r="AC26" s="50">
        <v>15</v>
      </c>
      <c r="AD26" s="50">
        <v>15</v>
      </c>
      <c r="AE26" s="50">
        <v>15</v>
      </c>
      <c r="AF26" s="50">
        <v>15</v>
      </c>
      <c r="AG26" s="61">
        <v>23.5</v>
      </c>
      <c r="AH26" s="56">
        <f t="shared" si="2"/>
        <v>15.5</v>
      </c>
      <c r="AI26" s="57">
        <f t="shared" si="3"/>
        <v>12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6</v>
      </c>
      <c r="C27" s="49">
        <v>6</v>
      </c>
      <c r="D27" s="49">
        <v>6</v>
      </c>
      <c r="E27" s="49">
        <v>6</v>
      </c>
      <c r="F27" s="49">
        <v>6</v>
      </c>
      <c r="G27" s="49">
        <v>6</v>
      </c>
      <c r="H27" s="49">
        <v>6</v>
      </c>
      <c r="I27" s="49">
        <v>6</v>
      </c>
      <c r="J27" s="49">
        <v>6</v>
      </c>
      <c r="K27" s="49">
        <v>6</v>
      </c>
      <c r="L27" s="50">
        <v>6</v>
      </c>
      <c r="M27" s="50">
        <v>6</v>
      </c>
      <c r="N27" s="50">
        <v>6</v>
      </c>
      <c r="O27" s="50">
        <v>6</v>
      </c>
      <c r="P27" s="50">
        <v>6.8</v>
      </c>
      <c r="Q27" s="50">
        <v>6.8</v>
      </c>
      <c r="R27" s="50">
        <v>6.8</v>
      </c>
      <c r="S27" s="50">
        <v>6.8</v>
      </c>
      <c r="T27" s="50">
        <v>6.8</v>
      </c>
      <c r="U27" s="50">
        <v>6.8</v>
      </c>
      <c r="V27" s="50">
        <v>6.8</v>
      </c>
      <c r="W27" s="50">
        <v>6.8</v>
      </c>
      <c r="X27" s="50">
        <v>6.8</v>
      </c>
      <c r="Y27" s="50">
        <v>6.8</v>
      </c>
      <c r="Z27" s="50">
        <v>6.8</v>
      </c>
      <c r="AA27" s="50">
        <v>6.8</v>
      </c>
      <c r="AB27" s="50">
        <v>6.8</v>
      </c>
      <c r="AC27" s="50">
        <v>6.8</v>
      </c>
      <c r="AD27" s="50">
        <v>6.8</v>
      </c>
      <c r="AE27" s="50">
        <v>6.8</v>
      </c>
      <c r="AF27" s="50">
        <v>6.8</v>
      </c>
      <c r="AG27" s="61">
        <v>22.2</v>
      </c>
      <c r="AH27" s="56">
        <f t="shared" si="2"/>
        <v>6.8</v>
      </c>
      <c r="AI27" s="57">
        <f t="shared" si="3"/>
        <v>6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12</v>
      </c>
      <c r="C30" s="63">
        <v>12</v>
      </c>
      <c r="D30" s="63">
        <v>12</v>
      </c>
      <c r="E30" s="63">
        <v>12</v>
      </c>
      <c r="F30" s="63">
        <v>12</v>
      </c>
      <c r="G30" s="63">
        <v>12</v>
      </c>
      <c r="H30" s="63">
        <v>12</v>
      </c>
      <c r="I30" s="63">
        <v>12</v>
      </c>
      <c r="J30" s="63">
        <v>12</v>
      </c>
      <c r="K30" s="63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4">
        <v>22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7.7</v>
      </c>
      <c r="C32" s="63">
        <v>7.7</v>
      </c>
      <c r="D32" s="63">
        <v>7.7</v>
      </c>
      <c r="E32" s="63">
        <v>7.7</v>
      </c>
      <c r="F32" s="63">
        <v>7.7</v>
      </c>
      <c r="G32" s="63">
        <v>7.7</v>
      </c>
      <c r="H32" s="63">
        <v>7.7</v>
      </c>
      <c r="I32" s="63">
        <v>7.7</v>
      </c>
      <c r="J32" s="63">
        <v>7.7</v>
      </c>
      <c r="K32" s="63">
        <v>7.7</v>
      </c>
      <c r="L32" s="50">
        <v>7.7</v>
      </c>
      <c r="M32" s="50">
        <v>7.7</v>
      </c>
      <c r="N32" s="50">
        <v>7.7</v>
      </c>
      <c r="O32" s="50">
        <v>7.7</v>
      </c>
      <c r="P32" s="50">
        <v>7.9</v>
      </c>
      <c r="Q32" s="50">
        <v>7.9</v>
      </c>
      <c r="R32" s="50">
        <v>7.9</v>
      </c>
      <c r="S32" s="50">
        <v>7.9</v>
      </c>
      <c r="T32" s="50">
        <v>7.9</v>
      </c>
      <c r="U32" s="50">
        <v>7.9</v>
      </c>
      <c r="V32" s="50">
        <v>7.9</v>
      </c>
      <c r="W32" s="50">
        <v>7.9</v>
      </c>
      <c r="X32" s="50">
        <v>7.9</v>
      </c>
      <c r="Y32" s="50">
        <v>7.9</v>
      </c>
      <c r="Z32" s="50">
        <v>7.9</v>
      </c>
      <c r="AA32" s="50">
        <v>7.9</v>
      </c>
      <c r="AB32" s="50">
        <v>7.9</v>
      </c>
      <c r="AC32" s="50">
        <v>7.9</v>
      </c>
      <c r="AD32" s="50">
        <v>7.9</v>
      </c>
      <c r="AE32" s="50">
        <v>7.9</v>
      </c>
      <c r="AF32" s="50">
        <v>7.9</v>
      </c>
      <c r="AG32" s="69">
        <v>20</v>
      </c>
      <c r="AH32" s="56">
        <f t="shared" si="2"/>
        <v>7.9</v>
      </c>
      <c r="AI32" s="57">
        <f t="shared" si="3"/>
        <v>7.7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200</v>
      </c>
      <c r="F34" s="63">
        <v>200</v>
      </c>
      <c r="G34" s="63">
        <v>200</v>
      </c>
      <c r="H34" s="63">
        <v>200</v>
      </c>
      <c r="I34" s="63">
        <v>200</v>
      </c>
      <c r="J34" s="63">
        <v>200</v>
      </c>
      <c r="K34" s="63">
        <v>200</v>
      </c>
      <c r="L34" s="50">
        <v>200</v>
      </c>
      <c r="M34" s="50">
        <v>200</v>
      </c>
      <c r="N34" s="50">
        <v>200</v>
      </c>
      <c r="O34" s="50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200</v>
      </c>
      <c r="AD34" s="63">
        <v>200</v>
      </c>
      <c r="AE34" s="63">
        <v>200</v>
      </c>
      <c r="AF34" s="63">
        <v>200</v>
      </c>
      <c r="AG34" s="69">
        <v>85</v>
      </c>
      <c r="AH34" s="56">
        <f t="shared" si="2"/>
        <v>200</v>
      </c>
      <c r="AI34" s="57">
        <f t="shared" si="3"/>
        <v>200</v>
      </c>
      <c r="AK34" s="58"/>
    </row>
    <row r="35" spans="1:88" ht="15.75" thickBot="1" x14ac:dyDescent="0.3">
      <c r="A35" s="71" t="s">
        <v>43</v>
      </c>
      <c r="B35" s="63">
        <v>146.5</v>
      </c>
      <c r="C35" s="63">
        <v>146.5</v>
      </c>
      <c r="D35" s="63">
        <v>140</v>
      </c>
      <c r="E35" s="63">
        <v>139</v>
      </c>
      <c r="F35" s="63">
        <v>138</v>
      </c>
      <c r="G35" s="63">
        <v>138</v>
      </c>
      <c r="H35" s="63">
        <v>138</v>
      </c>
      <c r="I35" s="63">
        <v>138</v>
      </c>
      <c r="J35" s="63">
        <f>75+72</f>
        <v>147</v>
      </c>
      <c r="K35" s="63">
        <v>149</v>
      </c>
      <c r="L35" s="50">
        <v>146.30000000000001</v>
      </c>
      <c r="M35" s="50">
        <v>146.9</v>
      </c>
      <c r="N35" s="72">
        <f>74.9+72.7</f>
        <v>147.60000000000002</v>
      </c>
      <c r="O35" s="72">
        <v>147.6</v>
      </c>
      <c r="P35" s="72">
        <v>147</v>
      </c>
      <c r="Q35" s="72">
        <f>75+73.2</f>
        <v>148.19999999999999</v>
      </c>
      <c r="R35" s="72">
        <f>75+73.6</f>
        <v>148.6</v>
      </c>
      <c r="S35" s="72">
        <f>75.1+73.3</f>
        <v>148.39999999999998</v>
      </c>
      <c r="T35" s="72">
        <v>148.1</v>
      </c>
      <c r="U35" s="72">
        <v>147</v>
      </c>
      <c r="V35" s="72">
        <v>145.19999999999999</v>
      </c>
      <c r="W35" s="72">
        <v>145.19999999999999</v>
      </c>
      <c r="X35" s="72">
        <v>144.4</v>
      </c>
      <c r="Y35" s="72">
        <v>142.80000000000001</v>
      </c>
      <c r="Z35" s="72">
        <v>144</v>
      </c>
      <c r="AA35" s="72">
        <f>74.1+71.1</f>
        <v>145.19999999999999</v>
      </c>
      <c r="AB35" s="72">
        <f>74.1+71.1</f>
        <v>145.19999999999999</v>
      </c>
      <c r="AC35" s="72">
        <f>74.1+71.1</f>
        <v>145.19999999999999</v>
      </c>
      <c r="AD35" s="72">
        <f>75.2+71.8</f>
        <v>147</v>
      </c>
      <c r="AE35" s="72">
        <f>75.2+71.8</f>
        <v>147</v>
      </c>
      <c r="AF35" s="72">
        <f>75.6+72.5</f>
        <v>148.1</v>
      </c>
      <c r="AG35" s="69">
        <v>240</v>
      </c>
      <c r="AH35" s="56">
        <f t="shared" si="2"/>
        <v>149</v>
      </c>
      <c r="AI35" s="57">
        <f t="shared" si="3"/>
        <v>138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631.59999999999991</v>
      </c>
      <c r="C36" s="74">
        <f t="shared" si="4"/>
        <v>631.59999999999991</v>
      </c>
      <c r="D36" s="74">
        <f t="shared" si="4"/>
        <v>635.07999999999993</v>
      </c>
      <c r="E36" s="74">
        <f t="shared" si="4"/>
        <v>635.07999999999993</v>
      </c>
      <c r="F36" s="74">
        <f t="shared" si="4"/>
        <v>635.07999999999993</v>
      </c>
      <c r="G36" s="74">
        <f t="shared" si="4"/>
        <v>635.07999999999993</v>
      </c>
      <c r="H36" s="74">
        <f t="shared" si="4"/>
        <v>636.07999999999993</v>
      </c>
      <c r="I36" s="74">
        <f t="shared" si="4"/>
        <v>655.07999999999993</v>
      </c>
      <c r="J36" s="74">
        <f t="shared" si="4"/>
        <v>690.07999999999993</v>
      </c>
      <c r="K36" s="74">
        <f t="shared" si="4"/>
        <v>722.08</v>
      </c>
      <c r="L36" s="74">
        <f t="shared" si="4"/>
        <v>750.08</v>
      </c>
      <c r="M36" s="74">
        <f t="shared" si="4"/>
        <v>722.08</v>
      </c>
      <c r="N36" s="74">
        <f t="shared" si="4"/>
        <v>739.18000000000006</v>
      </c>
      <c r="O36" s="74">
        <f t="shared" si="4"/>
        <v>739.18000000000006</v>
      </c>
      <c r="P36" s="74">
        <f t="shared" si="4"/>
        <v>733.50000000000011</v>
      </c>
      <c r="Q36" s="74">
        <f t="shared" si="4"/>
        <v>712.90000000000009</v>
      </c>
      <c r="R36" s="74">
        <f t="shared" si="4"/>
        <v>722.9</v>
      </c>
      <c r="S36" s="74">
        <f t="shared" si="4"/>
        <v>742.9</v>
      </c>
      <c r="T36" s="74">
        <f t="shared" si="4"/>
        <v>766.6</v>
      </c>
      <c r="U36" s="74">
        <f t="shared" si="4"/>
        <v>782.6</v>
      </c>
      <c r="V36" s="74">
        <f t="shared" si="4"/>
        <v>808.09999999999991</v>
      </c>
      <c r="W36" s="74">
        <f t="shared" si="4"/>
        <v>929.30000000000007</v>
      </c>
      <c r="X36" s="74">
        <f t="shared" si="4"/>
        <v>883.6</v>
      </c>
      <c r="Y36" s="74">
        <f t="shared" si="4"/>
        <v>846.59999999999991</v>
      </c>
      <c r="Z36" s="74">
        <f t="shared" si="4"/>
        <v>829.09999999999991</v>
      </c>
      <c r="AA36" s="74">
        <f t="shared" si="4"/>
        <v>750.3</v>
      </c>
      <c r="AB36" s="74">
        <f t="shared" si="4"/>
        <v>730.30000000000007</v>
      </c>
      <c r="AC36" s="74">
        <f t="shared" si="4"/>
        <v>700.3</v>
      </c>
      <c r="AD36" s="74">
        <f t="shared" si="4"/>
        <v>652.79999999999995</v>
      </c>
      <c r="AE36" s="74">
        <f t="shared" si="4"/>
        <v>619.79999999999995</v>
      </c>
      <c r="AF36" s="74">
        <f t="shared" si="4"/>
        <v>619.70000000000005</v>
      </c>
      <c r="AG36" s="69">
        <f>SUM(AG11:AG35)</f>
        <v>1431.83</v>
      </c>
      <c r="AH36" s="56">
        <f t="shared" si="2"/>
        <v>929.30000000000007</v>
      </c>
      <c r="AI36" s="57">
        <f t="shared" si="3"/>
        <v>619.70000000000005</v>
      </c>
      <c r="AK36" s="58"/>
    </row>
    <row r="37" spans="1:88" x14ac:dyDescent="0.25">
      <c r="A37" s="59" t="s">
        <v>45</v>
      </c>
      <c r="B37" s="63">
        <v>101.4</v>
      </c>
      <c r="C37" s="63">
        <v>101.4</v>
      </c>
      <c r="D37" s="63">
        <v>91.5</v>
      </c>
      <c r="E37" s="63">
        <v>90</v>
      </c>
      <c r="F37" s="63">
        <v>101</v>
      </c>
      <c r="G37" s="63">
        <v>100</v>
      </c>
      <c r="H37" s="63">
        <v>120</v>
      </c>
      <c r="I37" s="63">
        <v>122</v>
      </c>
      <c r="J37" s="63">
        <v>144</v>
      </c>
      <c r="K37" s="63">
        <v>145.19999999999999</v>
      </c>
      <c r="L37" s="52">
        <v>145.19999999999999</v>
      </c>
      <c r="M37" s="52">
        <v>145.30000000000001</v>
      </c>
      <c r="N37" s="50">
        <v>141.69999999999999</v>
      </c>
      <c r="O37" s="50">
        <v>141.80000000000001</v>
      </c>
      <c r="P37" s="50">
        <v>141.80000000000001</v>
      </c>
      <c r="Q37" s="50">
        <v>131.4</v>
      </c>
      <c r="R37" s="50">
        <v>131.69999999999999</v>
      </c>
      <c r="S37" s="50">
        <v>133.80000000000001</v>
      </c>
      <c r="T37" s="50">
        <v>136.1</v>
      </c>
      <c r="U37" s="50">
        <v>144.9</v>
      </c>
      <c r="V37" s="50">
        <v>145.1</v>
      </c>
      <c r="W37" s="50">
        <v>145.1</v>
      </c>
      <c r="X37" s="50">
        <v>145.1</v>
      </c>
      <c r="Y37" s="50">
        <v>145.1</v>
      </c>
      <c r="Z37" s="50">
        <v>145.1</v>
      </c>
      <c r="AA37" s="50">
        <v>145.5</v>
      </c>
      <c r="AB37" s="50">
        <v>145.5</v>
      </c>
      <c r="AC37" s="50">
        <v>145.5</v>
      </c>
      <c r="AD37" s="50">
        <v>100</v>
      </c>
      <c r="AE37" s="49">
        <v>70.8</v>
      </c>
      <c r="AF37" s="49">
        <v>80</v>
      </c>
      <c r="AG37" s="64">
        <v>144</v>
      </c>
      <c r="AH37" s="56">
        <f t="shared" si="2"/>
        <v>145.5</v>
      </c>
      <c r="AI37" s="57">
        <f t="shared" si="3"/>
        <v>70.8</v>
      </c>
      <c r="AK37" s="58"/>
    </row>
    <row r="38" spans="1:88" x14ac:dyDescent="0.25">
      <c r="A38" s="68" t="s">
        <v>46</v>
      </c>
      <c r="B38" s="63">
        <v>35</v>
      </c>
      <c r="C38" s="63">
        <v>35</v>
      </c>
      <c r="D38" s="63">
        <v>35</v>
      </c>
      <c r="E38" s="63">
        <v>35</v>
      </c>
      <c r="F38" s="63">
        <v>35</v>
      </c>
      <c r="G38" s="63">
        <v>35</v>
      </c>
      <c r="H38" s="63">
        <v>35</v>
      </c>
      <c r="I38" s="63">
        <v>35</v>
      </c>
      <c r="J38" s="63">
        <v>35</v>
      </c>
      <c r="K38" s="63">
        <v>35</v>
      </c>
      <c r="L38" s="52">
        <v>35.4</v>
      </c>
      <c r="M38" s="52">
        <v>35.4</v>
      </c>
      <c r="N38" s="52">
        <v>35.4</v>
      </c>
      <c r="O38" s="52">
        <v>35.4</v>
      </c>
      <c r="P38" s="52">
        <v>35.4</v>
      </c>
      <c r="Q38" s="52">
        <v>35.5</v>
      </c>
      <c r="R38" s="52">
        <v>35.4</v>
      </c>
      <c r="S38" s="52">
        <v>35.4</v>
      </c>
      <c r="T38" s="52">
        <v>35.4</v>
      </c>
      <c r="U38" s="52">
        <v>35.4</v>
      </c>
      <c r="V38" s="52">
        <v>35.4</v>
      </c>
      <c r="W38" s="52">
        <v>35.4</v>
      </c>
      <c r="X38" s="52">
        <v>35.4</v>
      </c>
      <c r="Y38" s="52">
        <v>35.4</v>
      </c>
      <c r="Z38" s="52">
        <v>35.4</v>
      </c>
      <c r="AA38" s="52">
        <v>35.6</v>
      </c>
      <c r="AB38" s="52">
        <v>25</v>
      </c>
      <c r="AC38" s="52">
        <v>25</v>
      </c>
      <c r="AD38" s="52">
        <v>25.5</v>
      </c>
      <c r="AE38" s="63">
        <v>25.4</v>
      </c>
      <c r="AF38" s="63">
        <v>26.6</v>
      </c>
      <c r="AG38" s="69">
        <v>70</v>
      </c>
      <c r="AH38" s="56">
        <f t="shared" si="2"/>
        <v>35.6</v>
      </c>
      <c r="AI38" s="57">
        <f t="shared" si="3"/>
        <v>25</v>
      </c>
      <c r="AK38" s="58"/>
    </row>
    <row r="39" spans="1:88" x14ac:dyDescent="0.25">
      <c r="A39" s="68" t="s">
        <v>47</v>
      </c>
      <c r="B39" s="63">
        <v>36</v>
      </c>
      <c r="C39" s="63">
        <v>36</v>
      </c>
      <c r="D39" s="63">
        <v>36.299999999999997</v>
      </c>
      <c r="E39" s="63">
        <v>36.6</v>
      </c>
      <c r="F39" s="63">
        <v>36.6</v>
      </c>
      <c r="G39" s="63">
        <v>36.6</v>
      </c>
      <c r="H39" s="63">
        <v>69</v>
      </c>
      <c r="I39" s="63">
        <v>69</v>
      </c>
      <c r="J39" s="63">
        <v>69</v>
      </c>
      <c r="K39" s="63">
        <v>69</v>
      </c>
      <c r="L39" s="52">
        <v>69.3</v>
      </c>
      <c r="M39" s="52">
        <v>62.1</v>
      </c>
      <c r="N39" s="52">
        <v>61.4</v>
      </c>
      <c r="O39" s="52">
        <v>61.7</v>
      </c>
      <c r="P39" s="52">
        <v>69.099999999999994</v>
      </c>
      <c r="Q39" s="52">
        <v>68.8</v>
      </c>
      <c r="R39" s="52">
        <v>68.900000000000006</v>
      </c>
      <c r="S39" s="52">
        <v>69.099999999999994</v>
      </c>
      <c r="T39" s="52">
        <v>69.599999999999994</v>
      </c>
      <c r="U39" s="52">
        <v>70.099999999999994</v>
      </c>
      <c r="V39" s="52">
        <v>70.2</v>
      </c>
      <c r="W39" s="52">
        <v>70.2</v>
      </c>
      <c r="X39" s="52">
        <v>70.2</v>
      </c>
      <c r="Y39" s="52">
        <v>70.2</v>
      </c>
      <c r="Z39" s="52">
        <v>70.2</v>
      </c>
      <c r="AA39" s="52">
        <v>61.9</v>
      </c>
      <c r="AB39" s="52">
        <v>55</v>
      </c>
      <c r="AC39" s="52">
        <v>55</v>
      </c>
      <c r="AD39" s="52">
        <v>36.9</v>
      </c>
      <c r="AE39" s="63">
        <v>36.799999999999997</v>
      </c>
      <c r="AF39" s="63">
        <v>37.1</v>
      </c>
      <c r="AG39" s="69">
        <v>69</v>
      </c>
      <c r="AH39" s="56">
        <f t="shared" si="2"/>
        <v>70.2</v>
      </c>
      <c r="AI39" s="57">
        <f t="shared" si="3"/>
        <v>36</v>
      </c>
      <c r="AK39" s="58"/>
    </row>
    <row r="40" spans="1:88" x14ac:dyDescent="0.25">
      <c r="A40" s="68" t="s">
        <v>48</v>
      </c>
      <c r="B40" s="63">
        <v>30</v>
      </c>
      <c r="C40" s="63">
        <v>25</v>
      </c>
      <c r="D40" s="63">
        <v>25</v>
      </c>
      <c r="E40" s="63">
        <v>24</v>
      </c>
      <c r="F40" s="63">
        <v>30</v>
      </c>
      <c r="G40" s="63">
        <v>30</v>
      </c>
      <c r="H40" s="63">
        <v>30</v>
      </c>
      <c r="I40" s="63">
        <v>50</v>
      </c>
      <c r="J40" s="63">
        <v>50</v>
      </c>
      <c r="K40" s="63">
        <v>50</v>
      </c>
      <c r="L40" s="52">
        <v>61.4</v>
      </c>
      <c r="M40" s="52">
        <v>55.7</v>
      </c>
      <c r="N40" s="52">
        <v>55.4</v>
      </c>
      <c r="O40" s="52">
        <v>49.4</v>
      </c>
      <c r="P40" s="52">
        <v>60.2</v>
      </c>
      <c r="Q40" s="52">
        <v>60.2</v>
      </c>
      <c r="R40" s="52">
        <v>60.2</v>
      </c>
      <c r="S40" s="52">
        <v>31</v>
      </c>
      <c r="T40" s="52">
        <v>31</v>
      </c>
      <c r="U40" s="52">
        <v>40.6</v>
      </c>
      <c r="V40" s="52">
        <v>60.5</v>
      </c>
      <c r="W40" s="52">
        <v>60.5</v>
      </c>
      <c r="X40" s="52">
        <v>60.5</v>
      </c>
      <c r="Y40" s="52">
        <v>60.5</v>
      </c>
      <c r="Z40" s="52">
        <v>61</v>
      </c>
      <c r="AA40" s="52">
        <v>52.2</v>
      </c>
      <c r="AB40" s="52">
        <v>52.2</v>
      </c>
      <c r="AC40" s="52">
        <v>52.2</v>
      </c>
      <c r="AD40" s="52">
        <v>19.600000000000001</v>
      </c>
      <c r="AE40" s="63">
        <v>19.600000000000001</v>
      </c>
      <c r="AF40" s="63">
        <v>20.7</v>
      </c>
      <c r="AG40" s="69">
        <v>60</v>
      </c>
      <c r="AH40" s="56">
        <f t="shared" si="2"/>
        <v>61.4</v>
      </c>
      <c r="AI40" s="57">
        <f t="shared" si="3"/>
        <v>19.600000000000001</v>
      </c>
      <c r="AK40" s="58"/>
    </row>
    <row r="41" spans="1:88" x14ac:dyDescent="0.25">
      <c r="A41" s="68" t="s">
        <v>49</v>
      </c>
      <c r="B41" s="63">
        <v>14.9</v>
      </c>
      <c r="C41" s="63">
        <v>14.9</v>
      </c>
      <c r="D41" s="63">
        <v>14.9</v>
      </c>
      <c r="E41" s="63">
        <v>15</v>
      </c>
      <c r="F41" s="63">
        <v>15</v>
      </c>
      <c r="G41" s="63">
        <v>0</v>
      </c>
      <c r="H41" s="63">
        <v>15</v>
      </c>
      <c r="I41" s="63">
        <v>15</v>
      </c>
      <c r="J41" s="63">
        <v>15</v>
      </c>
      <c r="K41" s="63">
        <v>15</v>
      </c>
      <c r="L41" s="52">
        <v>14.8</v>
      </c>
      <c r="M41" s="52">
        <v>14.8</v>
      </c>
      <c r="N41" s="50">
        <v>14.9</v>
      </c>
      <c r="O41" s="50">
        <v>14.9</v>
      </c>
      <c r="P41" s="50">
        <v>14.9</v>
      </c>
      <c r="Q41" s="50">
        <v>14.9</v>
      </c>
      <c r="R41" s="50">
        <v>14.8</v>
      </c>
      <c r="S41" s="50">
        <v>14.9</v>
      </c>
      <c r="T41" s="50">
        <v>15</v>
      </c>
      <c r="U41" s="50">
        <v>15</v>
      </c>
      <c r="V41" s="50">
        <v>15</v>
      </c>
      <c r="W41" s="50">
        <v>15</v>
      </c>
      <c r="X41" s="50">
        <v>15</v>
      </c>
      <c r="Y41" s="50">
        <v>15</v>
      </c>
      <c r="Z41" s="50">
        <v>15</v>
      </c>
      <c r="AA41" s="52">
        <v>14.9</v>
      </c>
      <c r="AB41" s="52">
        <v>14.9</v>
      </c>
      <c r="AC41" s="52">
        <v>14.9</v>
      </c>
      <c r="AD41" s="52">
        <v>14.9</v>
      </c>
      <c r="AE41" s="63">
        <v>0</v>
      </c>
      <c r="AF41" s="63">
        <v>14.9</v>
      </c>
      <c r="AG41" s="69">
        <v>30</v>
      </c>
      <c r="AH41" s="56">
        <f t="shared" si="2"/>
        <v>15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2">
        <v>0</v>
      </c>
      <c r="M42" s="52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17.600000000000001</v>
      </c>
      <c r="C43" s="75">
        <v>17.600000000000001</v>
      </c>
      <c r="D43" s="75">
        <v>17.600000000000001</v>
      </c>
      <c r="E43" s="75">
        <v>17</v>
      </c>
      <c r="F43" s="75">
        <v>17</v>
      </c>
      <c r="G43" s="75">
        <v>14.6</v>
      </c>
      <c r="H43" s="75">
        <v>14.6</v>
      </c>
      <c r="I43" s="75">
        <v>14.6</v>
      </c>
      <c r="J43" s="75">
        <v>14.6</v>
      </c>
      <c r="K43" s="75">
        <v>14.6</v>
      </c>
      <c r="L43" s="52">
        <v>17.3</v>
      </c>
      <c r="M43" s="52">
        <v>17.3</v>
      </c>
      <c r="N43" s="50">
        <v>17.7</v>
      </c>
      <c r="O43" s="50">
        <v>16</v>
      </c>
      <c r="P43" s="50">
        <v>14.4</v>
      </c>
      <c r="Q43" s="50">
        <v>17.3</v>
      </c>
      <c r="R43" s="50">
        <v>18.100000000000001</v>
      </c>
      <c r="S43" s="50">
        <v>18</v>
      </c>
      <c r="T43" s="50">
        <v>15</v>
      </c>
      <c r="U43" s="50">
        <v>15</v>
      </c>
      <c r="V43" s="50">
        <v>15</v>
      </c>
      <c r="W43" s="50">
        <v>15</v>
      </c>
      <c r="X43" s="50">
        <v>15</v>
      </c>
      <c r="Y43" s="50">
        <v>15</v>
      </c>
      <c r="Z43" s="50">
        <v>18</v>
      </c>
      <c r="AA43" s="50">
        <v>17.899999999999999</v>
      </c>
      <c r="AB43" s="50">
        <v>17.899999999999999</v>
      </c>
      <c r="AC43" s="50">
        <v>17.899999999999999</v>
      </c>
      <c r="AD43" s="50">
        <v>17.899999999999999</v>
      </c>
      <c r="AE43" s="63">
        <v>17.899999999999999</v>
      </c>
      <c r="AF43" s="63">
        <v>17.899999999999999</v>
      </c>
      <c r="AG43" s="69">
        <v>24</v>
      </c>
      <c r="AH43" s="56">
        <f t="shared" si="2"/>
        <v>18.100000000000001</v>
      </c>
      <c r="AI43" s="57">
        <f t="shared" si="3"/>
        <v>14.4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2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13</v>
      </c>
      <c r="D45" s="63">
        <v>13</v>
      </c>
      <c r="E45" s="63">
        <v>13</v>
      </c>
      <c r="F45" s="63">
        <v>13</v>
      </c>
      <c r="G45" s="63">
        <v>10</v>
      </c>
      <c r="H45" s="63">
        <v>10</v>
      </c>
      <c r="I45" s="63">
        <v>10</v>
      </c>
      <c r="J45" s="63">
        <v>10</v>
      </c>
      <c r="K45" s="63">
        <v>10</v>
      </c>
      <c r="L45" s="52">
        <v>10</v>
      </c>
      <c r="M45" s="52">
        <v>10</v>
      </c>
      <c r="N45" s="52">
        <v>10</v>
      </c>
      <c r="O45" s="52">
        <v>10</v>
      </c>
      <c r="P45" s="52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63">
        <v>13</v>
      </c>
      <c r="AF45" s="63">
        <v>13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12</v>
      </c>
      <c r="C46" s="75">
        <v>12</v>
      </c>
      <c r="D46" s="75">
        <v>12</v>
      </c>
      <c r="E46" s="75">
        <v>12</v>
      </c>
      <c r="F46" s="75">
        <v>12</v>
      </c>
      <c r="G46" s="75">
        <v>12</v>
      </c>
      <c r="H46" s="75">
        <v>12</v>
      </c>
      <c r="I46" s="75">
        <v>12</v>
      </c>
      <c r="J46" s="75">
        <v>12</v>
      </c>
      <c r="K46" s="75">
        <v>12</v>
      </c>
      <c r="L46" s="52">
        <v>12</v>
      </c>
      <c r="M46" s="52">
        <v>12</v>
      </c>
      <c r="N46" s="52">
        <v>9</v>
      </c>
      <c r="O46" s="52">
        <v>9</v>
      </c>
      <c r="P46" s="52">
        <v>7</v>
      </c>
      <c r="Q46" s="50">
        <v>7</v>
      </c>
      <c r="R46" s="50">
        <v>5</v>
      </c>
      <c r="S46" s="50">
        <v>5</v>
      </c>
      <c r="T46" s="50">
        <v>5</v>
      </c>
      <c r="U46" s="50">
        <v>5</v>
      </c>
      <c r="V46" s="50">
        <v>5</v>
      </c>
      <c r="W46" s="50">
        <v>12</v>
      </c>
      <c r="X46" s="50">
        <v>10</v>
      </c>
      <c r="Y46" s="50">
        <v>10</v>
      </c>
      <c r="Z46" s="50">
        <v>10</v>
      </c>
      <c r="AA46" s="50">
        <v>10</v>
      </c>
      <c r="AB46" s="50">
        <v>10</v>
      </c>
      <c r="AC46" s="50">
        <v>10</v>
      </c>
      <c r="AD46" s="50">
        <v>10</v>
      </c>
      <c r="AE46" s="63">
        <v>10</v>
      </c>
      <c r="AF46" s="63">
        <v>10</v>
      </c>
      <c r="AG46" s="69">
        <v>14</v>
      </c>
      <c r="AH46" s="56">
        <f t="shared" si="2"/>
        <v>12</v>
      </c>
      <c r="AI46" s="57">
        <f t="shared" si="3"/>
        <v>5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2">
        <v>9.6</v>
      </c>
      <c r="M47" s="52">
        <v>9.6</v>
      </c>
      <c r="N47" s="52">
        <v>9.6</v>
      </c>
      <c r="O47" s="52">
        <v>9.6</v>
      </c>
      <c r="P47" s="52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6.2</v>
      </c>
      <c r="C48" s="63">
        <v>6.2</v>
      </c>
      <c r="D48" s="63">
        <v>6.2</v>
      </c>
      <c r="E48" s="63">
        <v>6.2</v>
      </c>
      <c r="F48" s="63">
        <v>6.2</v>
      </c>
      <c r="G48" s="63">
        <v>6.2</v>
      </c>
      <c r="H48" s="63">
        <v>6.2</v>
      </c>
      <c r="I48" s="63">
        <v>6.2</v>
      </c>
      <c r="J48" s="63">
        <v>6.2</v>
      </c>
      <c r="K48" s="63">
        <v>6.2</v>
      </c>
      <c r="L48" s="52">
        <v>6.2</v>
      </c>
      <c r="M48" s="52">
        <v>6.2</v>
      </c>
      <c r="N48" s="52">
        <v>6.2</v>
      </c>
      <c r="O48" s="52">
        <v>6.2</v>
      </c>
      <c r="P48" s="52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3">
        <v>6.2</v>
      </c>
      <c r="AF48" s="63">
        <v>6.2</v>
      </c>
      <c r="AG48" s="69">
        <v>6.2</v>
      </c>
      <c r="AH48" s="56">
        <f t="shared" si="2"/>
        <v>6.2</v>
      </c>
      <c r="AI48" s="57">
        <f t="shared" si="3"/>
        <v>6.2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279.24</v>
      </c>
      <c r="C50" s="74">
        <f t="shared" si="6"/>
        <v>274.24</v>
      </c>
      <c r="D50" s="74">
        <f t="shared" si="6"/>
        <v>264.64000000000004</v>
      </c>
      <c r="E50" s="74">
        <f t="shared" si="6"/>
        <v>261.94</v>
      </c>
      <c r="F50" s="74">
        <f t="shared" si="6"/>
        <v>278.94000000000005</v>
      </c>
      <c r="G50" s="74">
        <f t="shared" si="6"/>
        <v>257.53999999999996</v>
      </c>
      <c r="H50" s="74">
        <f t="shared" si="6"/>
        <v>324.94000000000005</v>
      </c>
      <c r="I50" s="74">
        <f t="shared" si="6"/>
        <v>346.94000000000005</v>
      </c>
      <c r="J50" s="74">
        <f t="shared" si="6"/>
        <v>368.94000000000005</v>
      </c>
      <c r="K50" s="74">
        <f t="shared" si="6"/>
        <v>370.14000000000004</v>
      </c>
      <c r="L50" s="74">
        <f t="shared" si="6"/>
        <v>384.74</v>
      </c>
      <c r="M50" s="74">
        <f t="shared" si="6"/>
        <v>371.94000000000005</v>
      </c>
      <c r="N50" s="74">
        <f t="shared" si="6"/>
        <v>364.84</v>
      </c>
      <c r="O50" s="74">
        <f t="shared" si="6"/>
        <v>357.54</v>
      </c>
      <c r="P50" s="74">
        <f t="shared" si="6"/>
        <v>375.14</v>
      </c>
      <c r="Q50" s="74">
        <f t="shared" si="6"/>
        <v>367.44</v>
      </c>
      <c r="R50" s="74">
        <f t="shared" si="6"/>
        <v>366.44000000000005</v>
      </c>
      <c r="S50" s="74">
        <f t="shared" si="6"/>
        <v>339.54</v>
      </c>
      <c r="T50" s="74">
        <f t="shared" si="6"/>
        <v>339.44000000000005</v>
      </c>
      <c r="U50" s="74">
        <f t="shared" si="6"/>
        <v>358.34000000000003</v>
      </c>
      <c r="V50" s="74">
        <f t="shared" si="6"/>
        <v>378.54</v>
      </c>
      <c r="W50" s="74">
        <f t="shared" si="6"/>
        <v>385.54</v>
      </c>
      <c r="X50" s="74">
        <f t="shared" si="6"/>
        <v>383.54</v>
      </c>
      <c r="Y50" s="74">
        <f t="shared" si="6"/>
        <v>383.54</v>
      </c>
      <c r="Z50" s="74">
        <f t="shared" si="6"/>
        <v>387.04</v>
      </c>
      <c r="AA50" s="74">
        <f t="shared" si="6"/>
        <v>370.34</v>
      </c>
      <c r="AB50" s="74">
        <f t="shared" si="6"/>
        <v>352.84</v>
      </c>
      <c r="AC50" s="74">
        <f t="shared" si="6"/>
        <v>352.84</v>
      </c>
      <c r="AD50" s="74">
        <f t="shared" si="6"/>
        <v>257.14</v>
      </c>
      <c r="AE50" s="74">
        <f t="shared" si="6"/>
        <v>212.83999999999997</v>
      </c>
      <c r="AF50" s="74">
        <f t="shared" si="6"/>
        <v>239.53999999999996</v>
      </c>
      <c r="AG50" s="79">
        <f>SUM(AG37:AG49)</f>
        <v>489.91</v>
      </c>
      <c r="AH50" s="56">
        <f t="shared" si="2"/>
        <v>387.04</v>
      </c>
      <c r="AI50" s="57">
        <f t="shared" si="3"/>
        <v>212.83999999999997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40</v>
      </c>
      <c r="W51" s="50">
        <v>59.5</v>
      </c>
      <c r="X51" s="50">
        <v>40</v>
      </c>
      <c r="Y51" s="50">
        <v>10.1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59.5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2">
        <v>5.3</v>
      </c>
      <c r="W52" s="52">
        <v>25.1</v>
      </c>
      <c r="X52" s="52">
        <v>15.5</v>
      </c>
      <c r="Y52" s="52">
        <v>11.4</v>
      </c>
      <c r="Z52" s="52">
        <v>5.3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25.1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2">
        <v>0</v>
      </c>
      <c r="Q53" s="82">
        <v>0</v>
      </c>
      <c r="R53" s="50">
        <v>0</v>
      </c>
      <c r="S53" s="50">
        <v>0</v>
      </c>
      <c r="T53" s="50">
        <v>0</v>
      </c>
      <c r="U53" s="50">
        <v>0</v>
      </c>
      <c r="V53" s="82">
        <v>1.9</v>
      </c>
      <c r="W53" s="82">
        <v>9.1999999999999993</v>
      </c>
      <c r="X53" s="82">
        <v>5.7</v>
      </c>
      <c r="Y53" s="82">
        <v>4.2</v>
      </c>
      <c r="Z53" s="82">
        <v>1.9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9.1999999999999993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>SUM(H51:H53)</f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47.199999999999996</v>
      </c>
      <c r="W54" s="74">
        <f t="shared" si="7"/>
        <v>93.8</v>
      </c>
      <c r="X54" s="74">
        <f t="shared" si="7"/>
        <v>61.2</v>
      </c>
      <c r="Y54" s="74">
        <f t="shared" si="7"/>
        <v>25.7</v>
      </c>
      <c r="Z54" s="74">
        <f t="shared" si="7"/>
        <v>7.1999999999999993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93.8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-38</v>
      </c>
      <c r="C57" s="52">
        <v>-47</v>
      </c>
      <c r="D57" s="52">
        <v>-45.6</v>
      </c>
      <c r="E57" s="52">
        <v>-55.6</v>
      </c>
      <c r="F57" s="52">
        <v>-25</v>
      </c>
      <c r="G57" s="50">
        <v>-40</v>
      </c>
      <c r="H57" s="50">
        <v>-25</v>
      </c>
      <c r="I57" s="50">
        <v>0</v>
      </c>
      <c r="J57" s="50">
        <v>-30</v>
      </c>
      <c r="K57" s="50">
        <v>-20</v>
      </c>
      <c r="L57" s="50">
        <v>-29.1</v>
      </c>
      <c r="M57" s="50">
        <v>-4.8</v>
      </c>
      <c r="N57" s="52">
        <v>-29.5</v>
      </c>
      <c r="O57" s="52">
        <v>-34.9</v>
      </c>
      <c r="P57" s="52">
        <v>-36</v>
      </c>
      <c r="Q57" s="52">
        <v>-23.3</v>
      </c>
      <c r="R57" s="52">
        <v>-7.7</v>
      </c>
      <c r="S57" s="52">
        <v>-1.4</v>
      </c>
      <c r="T57" s="52">
        <v>-3.6</v>
      </c>
      <c r="U57" s="52">
        <v>-36.9</v>
      </c>
      <c r="V57" s="52">
        <v>-25.4</v>
      </c>
      <c r="W57" s="85">
        <v>-16.3</v>
      </c>
      <c r="X57" s="85">
        <v>-9.9</v>
      </c>
      <c r="Y57" s="85">
        <v>-10.1</v>
      </c>
      <c r="Z57" s="85">
        <v>-15.3</v>
      </c>
      <c r="AA57" s="52">
        <v>-21</v>
      </c>
      <c r="AB57" s="52">
        <v>0</v>
      </c>
      <c r="AC57" s="52">
        <v>-15</v>
      </c>
      <c r="AD57" s="52">
        <v>-13</v>
      </c>
      <c r="AE57" s="52">
        <v>-4</v>
      </c>
      <c r="AF57" s="52">
        <v>-13</v>
      </c>
      <c r="AG57" s="86"/>
      <c r="AH57" s="56">
        <f t="shared" si="2"/>
        <v>0</v>
      </c>
      <c r="AI57" s="57">
        <f t="shared" si="3"/>
        <v>-55.6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52">
        <v>0</v>
      </c>
      <c r="O59" s="52">
        <v>0</v>
      </c>
      <c r="P59" s="50">
        <v>0</v>
      </c>
      <c r="Q59" s="50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60">
        <v>0</v>
      </c>
      <c r="C60" s="60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62">
        <v>0</v>
      </c>
      <c r="Q60" s="6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2">
        <v>0</v>
      </c>
      <c r="O61" s="52">
        <v>0</v>
      </c>
      <c r="P61" s="62">
        <v>0</v>
      </c>
      <c r="Q61" s="6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52">
        <v>0</v>
      </c>
      <c r="O62" s="52">
        <v>0</v>
      </c>
      <c r="P62" s="60">
        <v>0</v>
      </c>
      <c r="Q62" s="60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52">
        <v>0</v>
      </c>
      <c r="O63" s="52">
        <v>0</v>
      </c>
      <c r="P63" s="60">
        <v>0</v>
      </c>
      <c r="Q63" s="60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65">
        <v>0</v>
      </c>
      <c r="Q64" s="65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2">
        <v>0</v>
      </c>
      <c r="O65" s="52">
        <v>0</v>
      </c>
      <c r="P65" s="65">
        <v>0</v>
      </c>
      <c r="Q65" s="65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-38</v>
      </c>
      <c r="C66" s="74">
        <f t="shared" ref="C66:AF66" si="8">SUM(C55:C65)</f>
        <v>-47</v>
      </c>
      <c r="D66" s="74">
        <f t="shared" si="8"/>
        <v>-45.6</v>
      </c>
      <c r="E66" s="74">
        <f t="shared" si="8"/>
        <v>-55.6</v>
      </c>
      <c r="F66" s="74">
        <f t="shared" si="8"/>
        <v>-25</v>
      </c>
      <c r="G66" s="74">
        <f t="shared" si="8"/>
        <v>-40</v>
      </c>
      <c r="H66" s="74">
        <f t="shared" si="8"/>
        <v>-25</v>
      </c>
      <c r="I66" s="74">
        <f t="shared" si="8"/>
        <v>0</v>
      </c>
      <c r="J66" s="74">
        <f t="shared" si="8"/>
        <v>-30</v>
      </c>
      <c r="K66" s="74">
        <f t="shared" si="8"/>
        <v>-20</v>
      </c>
      <c r="L66" s="74">
        <f t="shared" si="8"/>
        <v>-29.1</v>
      </c>
      <c r="M66" s="74">
        <f t="shared" si="8"/>
        <v>-4.8</v>
      </c>
      <c r="N66" s="74">
        <f t="shared" si="8"/>
        <v>-29.5</v>
      </c>
      <c r="O66" s="74">
        <f t="shared" si="8"/>
        <v>-34.9</v>
      </c>
      <c r="P66" s="74">
        <f t="shared" si="8"/>
        <v>-36</v>
      </c>
      <c r="Q66" s="74">
        <f t="shared" si="8"/>
        <v>-23.3</v>
      </c>
      <c r="R66" s="74">
        <f t="shared" si="8"/>
        <v>-7.7</v>
      </c>
      <c r="S66" s="74">
        <f t="shared" si="8"/>
        <v>-1.4</v>
      </c>
      <c r="T66" s="74">
        <f t="shared" si="8"/>
        <v>-3.6</v>
      </c>
      <c r="U66" s="74">
        <f t="shared" si="8"/>
        <v>-36.9</v>
      </c>
      <c r="V66" s="74">
        <f t="shared" si="8"/>
        <v>-25.4</v>
      </c>
      <c r="W66" s="74">
        <f t="shared" si="8"/>
        <v>-16.3</v>
      </c>
      <c r="X66" s="74">
        <f t="shared" si="8"/>
        <v>-9.9</v>
      </c>
      <c r="Y66" s="74">
        <f t="shared" si="8"/>
        <v>-10.1</v>
      </c>
      <c r="Z66" s="74">
        <f t="shared" si="8"/>
        <v>-15.3</v>
      </c>
      <c r="AA66" s="74">
        <f t="shared" si="8"/>
        <v>-21</v>
      </c>
      <c r="AB66" s="74">
        <f t="shared" si="8"/>
        <v>0</v>
      </c>
      <c r="AC66" s="74">
        <f t="shared" si="8"/>
        <v>-15</v>
      </c>
      <c r="AD66" s="74">
        <f t="shared" si="8"/>
        <v>-13</v>
      </c>
      <c r="AE66" s="74">
        <f t="shared" si="8"/>
        <v>-4</v>
      </c>
      <c r="AF66" s="74">
        <f t="shared" si="8"/>
        <v>-13</v>
      </c>
      <c r="AG66" s="79">
        <f>SUM(AG55:AG65)</f>
        <v>0</v>
      </c>
      <c r="AH66" s="56">
        <f t="shared" si="2"/>
        <v>0</v>
      </c>
      <c r="AI66" s="57">
        <f t="shared" si="3"/>
        <v>-55.6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872.83999999999992</v>
      </c>
      <c r="C71" s="90">
        <f t="shared" ref="C71:AG71" si="10">C66+C54+C50+C36+C70</f>
        <v>858.83999999999992</v>
      </c>
      <c r="D71" s="90">
        <f t="shared" si="10"/>
        <v>854.12</v>
      </c>
      <c r="E71" s="90">
        <f t="shared" si="10"/>
        <v>841.42</v>
      </c>
      <c r="F71" s="90">
        <f t="shared" si="10"/>
        <v>889.02</v>
      </c>
      <c r="G71" s="90">
        <f t="shared" si="10"/>
        <v>852.61999999999989</v>
      </c>
      <c r="H71" s="90">
        <f t="shared" si="10"/>
        <v>936.02</v>
      </c>
      <c r="I71" s="90">
        <f t="shared" si="10"/>
        <v>1002.02</v>
      </c>
      <c r="J71" s="90">
        <f t="shared" si="10"/>
        <v>1029.02</v>
      </c>
      <c r="K71" s="90">
        <f t="shared" si="10"/>
        <v>1072.22</v>
      </c>
      <c r="L71" s="90">
        <f t="shared" si="10"/>
        <v>1105.72</v>
      </c>
      <c r="M71" s="90">
        <f t="shared" si="10"/>
        <v>1089.22</v>
      </c>
      <c r="N71" s="90">
        <f t="shared" si="10"/>
        <v>1074.52</v>
      </c>
      <c r="O71" s="90">
        <f t="shared" si="10"/>
        <v>1061.8200000000002</v>
      </c>
      <c r="P71" s="90">
        <f t="shared" si="10"/>
        <v>1072.6400000000001</v>
      </c>
      <c r="Q71" s="90">
        <f t="shared" si="10"/>
        <v>1057.04</v>
      </c>
      <c r="R71" s="90">
        <f t="shared" si="10"/>
        <v>1081.6400000000001</v>
      </c>
      <c r="S71" s="90">
        <f t="shared" si="10"/>
        <v>1081.04</v>
      </c>
      <c r="T71" s="90">
        <f t="shared" si="10"/>
        <v>1102.44</v>
      </c>
      <c r="U71" s="90">
        <f t="shared" si="10"/>
        <v>1104.04</v>
      </c>
      <c r="V71" s="90">
        <f t="shared" si="10"/>
        <v>1208.44</v>
      </c>
      <c r="W71" s="90">
        <f t="shared" si="10"/>
        <v>1392.3400000000001</v>
      </c>
      <c r="X71" s="90">
        <f t="shared" si="10"/>
        <v>1318.44</v>
      </c>
      <c r="Y71" s="90">
        <f t="shared" si="10"/>
        <v>1245.74</v>
      </c>
      <c r="Z71" s="90">
        <f t="shared" si="10"/>
        <v>1208.04</v>
      </c>
      <c r="AA71" s="90">
        <f t="shared" si="10"/>
        <v>1099.6399999999999</v>
      </c>
      <c r="AB71" s="90">
        <f t="shared" si="10"/>
        <v>1083.1400000000001</v>
      </c>
      <c r="AC71" s="90">
        <f t="shared" si="10"/>
        <v>1038.1399999999999</v>
      </c>
      <c r="AD71" s="90">
        <f t="shared" si="10"/>
        <v>896.93999999999994</v>
      </c>
      <c r="AE71" s="90">
        <f t="shared" si="10"/>
        <v>828.63999999999987</v>
      </c>
      <c r="AF71" s="90">
        <f t="shared" si="10"/>
        <v>846.24</v>
      </c>
      <c r="AG71" s="90">
        <f t="shared" si="10"/>
        <v>2083.14</v>
      </c>
      <c r="AH71" s="56">
        <f t="shared" si="2"/>
        <v>1392.3400000000001</v>
      </c>
      <c r="AI71" s="57">
        <f t="shared" si="3"/>
        <v>828.63999999999987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872.83999999999992</v>
      </c>
      <c r="C73" s="90">
        <f t="shared" ref="C73:AF73" si="11">C70+C66+C54+C50+C36+C72</f>
        <v>858.83999999999992</v>
      </c>
      <c r="D73" s="90">
        <f t="shared" si="11"/>
        <v>854.12</v>
      </c>
      <c r="E73" s="90">
        <f t="shared" si="11"/>
        <v>841.42</v>
      </c>
      <c r="F73" s="90">
        <f t="shared" si="11"/>
        <v>889.02</v>
      </c>
      <c r="G73" s="90">
        <f t="shared" si="11"/>
        <v>852.61999999999989</v>
      </c>
      <c r="H73" s="90">
        <f t="shared" si="11"/>
        <v>936.02</v>
      </c>
      <c r="I73" s="90">
        <f t="shared" si="11"/>
        <v>1002.02</v>
      </c>
      <c r="J73" s="90">
        <f t="shared" si="11"/>
        <v>1029.02</v>
      </c>
      <c r="K73" s="90">
        <f t="shared" si="11"/>
        <v>1072.22</v>
      </c>
      <c r="L73" s="90">
        <f t="shared" si="11"/>
        <v>1105.72</v>
      </c>
      <c r="M73" s="90">
        <f t="shared" si="11"/>
        <v>1089.22</v>
      </c>
      <c r="N73" s="90">
        <f t="shared" si="11"/>
        <v>1074.52</v>
      </c>
      <c r="O73" s="90">
        <f t="shared" si="11"/>
        <v>1061.8200000000002</v>
      </c>
      <c r="P73" s="90">
        <f t="shared" si="11"/>
        <v>1072.6400000000001</v>
      </c>
      <c r="Q73" s="90">
        <f t="shared" si="11"/>
        <v>1057.04</v>
      </c>
      <c r="R73" s="90">
        <f t="shared" si="11"/>
        <v>1081.6400000000001</v>
      </c>
      <c r="S73" s="90">
        <f t="shared" si="11"/>
        <v>1081.04</v>
      </c>
      <c r="T73" s="90">
        <f t="shared" si="11"/>
        <v>1102.44</v>
      </c>
      <c r="U73" s="90">
        <f t="shared" si="11"/>
        <v>1104.04</v>
      </c>
      <c r="V73" s="90">
        <f t="shared" si="11"/>
        <v>1208.44</v>
      </c>
      <c r="W73" s="90">
        <f t="shared" si="11"/>
        <v>1392.3400000000001</v>
      </c>
      <c r="X73" s="90">
        <f t="shared" si="11"/>
        <v>1318.44</v>
      </c>
      <c r="Y73" s="90">
        <f t="shared" si="11"/>
        <v>1245.74</v>
      </c>
      <c r="Z73" s="90">
        <f t="shared" si="11"/>
        <v>1208.04</v>
      </c>
      <c r="AA73" s="90">
        <f t="shared" si="11"/>
        <v>1099.6399999999999</v>
      </c>
      <c r="AB73" s="90">
        <f t="shared" si="11"/>
        <v>1083.1400000000001</v>
      </c>
      <c r="AC73" s="90">
        <f t="shared" si="11"/>
        <v>1038.1399999999999</v>
      </c>
      <c r="AD73" s="90">
        <f t="shared" si="11"/>
        <v>896.93999999999994</v>
      </c>
      <c r="AE73" s="90">
        <f t="shared" si="11"/>
        <v>828.63999999999987</v>
      </c>
      <c r="AF73" s="90">
        <f t="shared" si="11"/>
        <v>846.24</v>
      </c>
      <c r="AG73" s="79">
        <f>AG70+AG66+AG54+AG50+AG36+AG72</f>
        <v>2083.14</v>
      </c>
      <c r="AH73" s="56">
        <f t="shared" si="2"/>
        <v>1392.3400000000001</v>
      </c>
      <c r="AI73" s="57">
        <f t="shared" si="3"/>
        <v>828.63999999999987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38</v>
      </c>
      <c r="C77" s="60">
        <f t="shared" ref="C77:AF77" si="15">IF(C57&lt;0,C57*-1,0)</f>
        <v>47</v>
      </c>
      <c r="D77" s="60">
        <f t="shared" si="15"/>
        <v>45.6</v>
      </c>
      <c r="E77" s="60">
        <f t="shared" si="15"/>
        <v>55.6</v>
      </c>
      <c r="F77" s="60">
        <f t="shared" si="15"/>
        <v>25</v>
      </c>
      <c r="G77" s="60">
        <f t="shared" si="15"/>
        <v>40</v>
      </c>
      <c r="H77" s="60">
        <f t="shared" si="15"/>
        <v>25</v>
      </c>
      <c r="I77" s="60">
        <f t="shared" si="15"/>
        <v>0</v>
      </c>
      <c r="J77" s="60">
        <f t="shared" si="15"/>
        <v>30</v>
      </c>
      <c r="K77" s="60">
        <f t="shared" si="15"/>
        <v>20</v>
      </c>
      <c r="L77" s="60">
        <f t="shared" si="15"/>
        <v>29.1</v>
      </c>
      <c r="M77" s="60">
        <f t="shared" si="15"/>
        <v>4.8</v>
      </c>
      <c r="N77" s="60">
        <f t="shared" si="15"/>
        <v>29.5</v>
      </c>
      <c r="O77" s="60">
        <f t="shared" si="15"/>
        <v>34.9</v>
      </c>
      <c r="P77" s="60">
        <f t="shared" si="15"/>
        <v>36</v>
      </c>
      <c r="Q77" s="60">
        <f t="shared" si="15"/>
        <v>23.3</v>
      </c>
      <c r="R77" s="60">
        <f t="shared" si="15"/>
        <v>7.7</v>
      </c>
      <c r="S77" s="60">
        <f t="shared" si="15"/>
        <v>1.4</v>
      </c>
      <c r="T77" s="60">
        <f t="shared" si="15"/>
        <v>3.6</v>
      </c>
      <c r="U77" s="60">
        <f t="shared" si="15"/>
        <v>36.9</v>
      </c>
      <c r="V77" s="60">
        <f t="shared" si="15"/>
        <v>25.4</v>
      </c>
      <c r="W77" s="60">
        <f t="shared" si="15"/>
        <v>16.3</v>
      </c>
      <c r="X77" s="60">
        <f t="shared" si="15"/>
        <v>9.9</v>
      </c>
      <c r="Y77" s="60">
        <f t="shared" si="15"/>
        <v>10.1</v>
      </c>
      <c r="Z77" s="60">
        <f t="shared" si="15"/>
        <v>15.3</v>
      </c>
      <c r="AA77" s="60">
        <f t="shared" si="15"/>
        <v>21</v>
      </c>
      <c r="AB77" s="60">
        <f t="shared" si="15"/>
        <v>0</v>
      </c>
      <c r="AC77" s="60">
        <f t="shared" si="15"/>
        <v>15</v>
      </c>
      <c r="AD77" s="60">
        <f t="shared" si="15"/>
        <v>13</v>
      </c>
      <c r="AE77" s="60">
        <f t="shared" si="15"/>
        <v>4</v>
      </c>
      <c r="AF77" s="60">
        <f t="shared" si="15"/>
        <v>13</v>
      </c>
      <c r="AG77" s="93"/>
      <c r="AH77" s="56">
        <f t="shared" ref="AH77:AH89" si="16">MAX(B77:AF77)</f>
        <v>55.6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38</v>
      </c>
      <c r="C80" s="74">
        <f t="shared" si="19"/>
        <v>47</v>
      </c>
      <c r="D80" s="74">
        <f t="shared" si="19"/>
        <v>45.6</v>
      </c>
      <c r="E80" s="74">
        <f t="shared" si="19"/>
        <v>55.6</v>
      </c>
      <c r="F80" s="74">
        <f t="shared" si="19"/>
        <v>25</v>
      </c>
      <c r="G80" s="74">
        <f t="shared" si="19"/>
        <v>40</v>
      </c>
      <c r="H80" s="74">
        <f t="shared" si="19"/>
        <v>25</v>
      </c>
      <c r="I80" s="74">
        <f t="shared" si="19"/>
        <v>0</v>
      </c>
      <c r="J80" s="74">
        <f t="shared" si="19"/>
        <v>30</v>
      </c>
      <c r="K80" s="74">
        <f t="shared" si="19"/>
        <v>20</v>
      </c>
      <c r="L80" s="74">
        <f t="shared" si="19"/>
        <v>29.1</v>
      </c>
      <c r="M80" s="74">
        <f t="shared" si="19"/>
        <v>4.8</v>
      </c>
      <c r="N80" s="74">
        <f t="shared" si="19"/>
        <v>29.5</v>
      </c>
      <c r="O80" s="74">
        <f t="shared" si="19"/>
        <v>34.9</v>
      </c>
      <c r="P80" s="74">
        <f t="shared" si="19"/>
        <v>36</v>
      </c>
      <c r="Q80" s="74">
        <f t="shared" si="19"/>
        <v>23.3</v>
      </c>
      <c r="R80" s="74">
        <f t="shared" si="19"/>
        <v>7.7</v>
      </c>
      <c r="S80" s="74">
        <f t="shared" si="19"/>
        <v>1.4</v>
      </c>
      <c r="T80" s="74">
        <f t="shared" si="19"/>
        <v>3.6</v>
      </c>
      <c r="U80" s="74">
        <f t="shared" si="19"/>
        <v>36.9</v>
      </c>
      <c r="V80" s="74">
        <f t="shared" si="19"/>
        <v>25.4</v>
      </c>
      <c r="W80" s="74">
        <f t="shared" si="19"/>
        <v>16.3</v>
      </c>
      <c r="X80" s="74">
        <f t="shared" si="19"/>
        <v>9.9</v>
      </c>
      <c r="Y80" s="74">
        <f t="shared" si="19"/>
        <v>10.1</v>
      </c>
      <c r="Z80" s="74">
        <f t="shared" si="19"/>
        <v>15.3</v>
      </c>
      <c r="AA80" s="74">
        <f t="shared" si="19"/>
        <v>21</v>
      </c>
      <c r="AB80" s="74">
        <f t="shared" si="19"/>
        <v>0</v>
      </c>
      <c r="AC80" s="74">
        <f t="shared" si="19"/>
        <v>15</v>
      </c>
      <c r="AD80" s="74">
        <f t="shared" si="19"/>
        <v>13</v>
      </c>
      <c r="AE80" s="74">
        <f t="shared" si="19"/>
        <v>4</v>
      </c>
      <c r="AF80" s="74">
        <f t="shared" si="19"/>
        <v>13</v>
      </c>
      <c r="AG80" s="79">
        <f t="shared" si="19"/>
        <v>0</v>
      </c>
      <c r="AH80" s="56">
        <f t="shared" si="16"/>
        <v>55.6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1821.6799999999998</v>
      </c>
      <c r="C81" s="74">
        <f t="shared" si="20"/>
        <v>1811.6799999999998</v>
      </c>
      <c r="D81" s="74">
        <f t="shared" si="20"/>
        <v>1799.4399999999998</v>
      </c>
      <c r="E81" s="74">
        <f t="shared" si="20"/>
        <v>1794.0399999999997</v>
      </c>
      <c r="F81" s="74">
        <f t="shared" si="20"/>
        <v>1828.04</v>
      </c>
      <c r="G81" s="74">
        <f t="shared" si="20"/>
        <v>1785.2399999999998</v>
      </c>
      <c r="H81" s="74">
        <f t="shared" si="20"/>
        <v>1922.04</v>
      </c>
      <c r="I81" s="74">
        <f t="shared" si="20"/>
        <v>2004.04</v>
      </c>
      <c r="J81" s="74">
        <f t="shared" si="20"/>
        <v>2118.04</v>
      </c>
      <c r="K81" s="74">
        <f t="shared" si="20"/>
        <v>2184.44</v>
      </c>
      <c r="L81" s="74">
        <f t="shared" si="20"/>
        <v>2269.64</v>
      </c>
      <c r="M81" s="74">
        <f t="shared" si="20"/>
        <v>2188.0400000000004</v>
      </c>
      <c r="N81" s="74">
        <f t="shared" si="20"/>
        <v>2208.04</v>
      </c>
      <c r="O81" s="74">
        <f t="shared" si="20"/>
        <v>2193.4400000000005</v>
      </c>
      <c r="P81" s="74">
        <f t="shared" si="20"/>
        <v>2217.2800000000002</v>
      </c>
      <c r="Q81" s="74">
        <f t="shared" si="20"/>
        <v>2160.6800000000003</v>
      </c>
      <c r="R81" s="74">
        <f t="shared" si="20"/>
        <v>2178.6799999999998</v>
      </c>
      <c r="S81" s="74">
        <f t="shared" si="20"/>
        <v>2164.88</v>
      </c>
      <c r="T81" s="74">
        <f t="shared" si="20"/>
        <v>2212.08</v>
      </c>
      <c r="U81" s="74">
        <f t="shared" si="20"/>
        <v>2281.88</v>
      </c>
      <c r="V81" s="74">
        <f t="shared" si="20"/>
        <v>2467.6800000000003</v>
      </c>
      <c r="W81" s="74">
        <f t="shared" si="20"/>
        <v>2817.2800000000007</v>
      </c>
      <c r="X81" s="74">
        <f t="shared" si="20"/>
        <v>2656.6800000000003</v>
      </c>
      <c r="Y81" s="74">
        <f t="shared" si="20"/>
        <v>2511.6799999999998</v>
      </c>
      <c r="Z81" s="74">
        <f t="shared" si="20"/>
        <v>2446.6800000000003</v>
      </c>
      <c r="AA81" s="74">
        <f t="shared" si="20"/>
        <v>2241.2799999999997</v>
      </c>
      <c r="AB81" s="74">
        <f t="shared" si="20"/>
        <v>2166.2800000000002</v>
      </c>
      <c r="AC81" s="74">
        <f t="shared" si="20"/>
        <v>2106.2799999999997</v>
      </c>
      <c r="AD81" s="74">
        <f t="shared" si="20"/>
        <v>1819.8799999999999</v>
      </c>
      <c r="AE81" s="74">
        <f t="shared" si="20"/>
        <v>1665.2799999999997</v>
      </c>
      <c r="AF81" s="74">
        <f t="shared" si="20"/>
        <v>1718.48</v>
      </c>
      <c r="AG81" s="79">
        <f t="shared" si="20"/>
        <v>4238.08</v>
      </c>
      <c r="AH81" s="56">
        <f t="shared" si="16"/>
        <v>2817.2800000000007</v>
      </c>
      <c r="AI81" s="57">
        <f t="shared" si="17"/>
        <v>1665.2799999999997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50.015999999999998</v>
      </c>
      <c r="C82" s="96">
        <v>50.015999999999998</v>
      </c>
      <c r="D82" s="96">
        <v>49.993000000000002</v>
      </c>
      <c r="E82" s="96">
        <v>49.993000000000002</v>
      </c>
      <c r="F82" s="96">
        <v>49.972999999999999</v>
      </c>
      <c r="G82" s="96">
        <v>50.052</v>
      </c>
      <c r="H82" s="96">
        <v>49.991999999999997</v>
      </c>
      <c r="I82" s="96">
        <v>50.02</v>
      </c>
      <c r="J82" s="96">
        <v>50</v>
      </c>
      <c r="K82" s="96">
        <v>49.935000000000002</v>
      </c>
      <c r="L82" s="96">
        <v>49.96</v>
      </c>
      <c r="M82" s="96">
        <v>49.96</v>
      </c>
      <c r="N82" s="96">
        <v>49.898000000000003</v>
      </c>
      <c r="O82" s="96">
        <v>50.05</v>
      </c>
      <c r="P82" s="96">
        <v>49.957999999999998</v>
      </c>
      <c r="Q82" s="96">
        <v>49.942999999999998</v>
      </c>
      <c r="R82" s="96">
        <v>50.015000000000001</v>
      </c>
      <c r="S82" s="96">
        <v>50.101999999999997</v>
      </c>
      <c r="T82" s="96">
        <v>50.04</v>
      </c>
      <c r="U82" s="96">
        <v>49.999000000000002</v>
      </c>
      <c r="V82" s="96">
        <v>50.088999999999999</v>
      </c>
      <c r="W82" s="96">
        <v>50.11</v>
      </c>
      <c r="X82" s="96">
        <v>49.981000000000002</v>
      </c>
      <c r="Y82" s="96">
        <v>50.055999999999997</v>
      </c>
      <c r="Z82" s="96">
        <v>50.014000000000003</v>
      </c>
      <c r="AA82" s="96">
        <v>50.1</v>
      </c>
      <c r="AB82" s="96">
        <v>50.03</v>
      </c>
      <c r="AC82" s="96">
        <v>50.048000000000002</v>
      </c>
      <c r="AD82" s="96">
        <v>50</v>
      </c>
      <c r="AE82" s="96">
        <v>50</v>
      </c>
      <c r="AF82" s="97">
        <v>49.91</v>
      </c>
      <c r="AG82" s="98"/>
      <c r="AH82" s="56">
        <f t="shared" si="16"/>
        <v>50.11</v>
      </c>
      <c r="AI82" s="57">
        <f t="shared" si="17"/>
        <v>49.898000000000003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126.8</v>
      </c>
      <c r="C83" s="52">
        <v>126.8</v>
      </c>
      <c r="D83" s="52">
        <v>127</v>
      </c>
      <c r="E83" s="52">
        <v>127</v>
      </c>
      <c r="F83" s="52">
        <v>126</v>
      </c>
      <c r="G83" s="52">
        <v>126.3</v>
      </c>
      <c r="H83" s="52">
        <v>124.2</v>
      </c>
      <c r="I83" s="52">
        <v>125</v>
      </c>
      <c r="J83" s="52">
        <v>125.3</v>
      </c>
      <c r="K83" s="52">
        <v>123.2</v>
      </c>
      <c r="L83" s="52">
        <v>123.7</v>
      </c>
      <c r="M83" s="52">
        <v>123.1</v>
      </c>
      <c r="N83" s="52">
        <v>123.4</v>
      </c>
      <c r="O83" s="52">
        <v>124.1</v>
      </c>
      <c r="P83" s="52">
        <v>122.8</v>
      </c>
      <c r="Q83" s="52">
        <v>124.7</v>
      </c>
      <c r="R83" s="52">
        <v>123.7</v>
      </c>
      <c r="S83" s="52">
        <v>122.1</v>
      </c>
      <c r="T83" s="100">
        <v>121.2</v>
      </c>
      <c r="U83" s="100">
        <v>124.3</v>
      </c>
      <c r="V83" s="100">
        <v>124.9</v>
      </c>
      <c r="W83" s="100">
        <v>125</v>
      </c>
      <c r="X83" s="100">
        <v>125.1</v>
      </c>
      <c r="Y83" s="100">
        <v>126.5</v>
      </c>
      <c r="Z83" s="100">
        <v>125.9</v>
      </c>
      <c r="AA83" s="52">
        <v>126.5</v>
      </c>
      <c r="AB83" s="52">
        <v>125.4</v>
      </c>
      <c r="AC83" s="52">
        <v>126.7</v>
      </c>
      <c r="AD83" s="52">
        <v>125.8</v>
      </c>
      <c r="AE83" s="52">
        <v>127</v>
      </c>
      <c r="AF83" s="101">
        <v>126.1</v>
      </c>
      <c r="AG83" s="102"/>
      <c r="AH83" s="56">
        <f t="shared" si="16"/>
        <v>127</v>
      </c>
      <c r="AI83" s="57">
        <f t="shared" si="17"/>
        <v>121.2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130.4</v>
      </c>
      <c r="C84" s="52">
        <v>130.4</v>
      </c>
      <c r="D84" s="52">
        <v>130.4</v>
      </c>
      <c r="E84" s="52">
        <v>130.4</v>
      </c>
      <c r="F84" s="52">
        <v>129.4</v>
      </c>
      <c r="G84" s="52">
        <v>129.4</v>
      </c>
      <c r="H84" s="52">
        <v>127.7</v>
      </c>
      <c r="I84" s="52">
        <v>127.6</v>
      </c>
      <c r="J84" s="52">
        <v>128.30000000000001</v>
      </c>
      <c r="K84" s="52">
        <v>126.5</v>
      </c>
      <c r="L84" s="52">
        <v>127</v>
      </c>
      <c r="M84" s="52">
        <v>126.7</v>
      </c>
      <c r="N84" s="52">
        <v>127.1</v>
      </c>
      <c r="O84" s="52">
        <v>127.3</v>
      </c>
      <c r="P84" s="52">
        <v>126.7</v>
      </c>
      <c r="Q84" s="52">
        <v>128.1</v>
      </c>
      <c r="R84" s="52">
        <v>127.5</v>
      </c>
      <c r="S84" s="52">
        <v>125.7</v>
      </c>
      <c r="T84" s="100">
        <v>124.6</v>
      </c>
      <c r="U84" s="100">
        <v>127.1</v>
      </c>
      <c r="V84" s="100">
        <v>128</v>
      </c>
      <c r="W84" s="100">
        <v>127.7</v>
      </c>
      <c r="X84" s="100">
        <v>127.7</v>
      </c>
      <c r="Y84" s="100">
        <v>128.9</v>
      </c>
      <c r="Z84" s="100">
        <v>128.30000000000001</v>
      </c>
      <c r="AA84" s="52">
        <v>129.5</v>
      </c>
      <c r="AB84" s="52">
        <v>128.69999999999999</v>
      </c>
      <c r="AC84" s="52">
        <v>129.9</v>
      </c>
      <c r="AD84" s="52">
        <v>129.6</v>
      </c>
      <c r="AE84" s="52">
        <v>130.69999999999999</v>
      </c>
      <c r="AF84" s="101">
        <v>130.19999999999999</v>
      </c>
      <c r="AG84" s="102"/>
      <c r="AH84" s="56">
        <f t="shared" si="16"/>
        <v>130.69999999999999</v>
      </c>
      <c r="AI84" s="57">
        <f t="shared" si="17"/>
        <v>124.6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52">
        <v>130</v>
      </c>
      <c r="AB85" s="52">
        <v>130.1</v>
      </c>
      <c r="AC85" s="52">
        <v>131.1</v>
      </c>
      <c r="AD85" s="52">
        <v>129.4</v>
      </c>
      <c r="AE85" s="52">
        <v>127.8</v>
      </c>
      <c r="AF85" s="101">
        <v>128.30000000000001</v>
      </c>
      <c r="AG85" s="102"/>
      <c r="AH85" s="56">
        <f t="shared" si="16"/>
        <v>131.1</v>
      </c>
      <c r="AI85" s="57">
        <f t="shared" si="17"/>
        <v>127.8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>
        <v>131.4</v>
      </c>
      <c r="C86" s="52">
        <v>131.4</v>
      </c>
      <c r="D86" s="52">
        <v>131.30000000000001</v>
      </c>
      <c r="E86" s="52">
        <v>131.30000000000001</v>
      </c>
      <c r="F86" s="52">
        <v>130.80000000000001</v>
      </c>
      <c r="G86" s="52">
        <v>129.30000000000001</v>
      </c>
      <c r="H86" s="52">
        <v>131.69999999999999</v>
      </c>
      <c r="I86" s="52">
        <v>127.3</v>
      </c>
      <c r="J86" s="52">
        <v>130.1</v>
      </c>
      <c r="K86" s="52">
        <v>130</v>
      </c>
      <c r="L86" s="52">
        <v>131.30000000000001</v>
      </c>
      <c r="M86" s="52">
        <v>129.5</v>
      </c>
      <c r="N86" s="52">
        <v>131.5</v>
      </c>
      <c r="O86" s="52">
        <v>131.1</v>
      </c>
      <c r="P86" s="52">
        <v>132.1</v>
      </c>
      <c r="Q86" s="52">
        <v>134.19999999999999</v>
      </c>
      <c r="R86" s="52">
        <v>134</v>
      </c>
      <c r="S86" s="52">
        <v>132.9</v>
      </c>
      <c r="T86" s="52">
        <v>132</v>
      </c>
      <c r="U86" s="52">
        <v>131.30000000000001</v>
      </c>
      <c r="V86" s="52">
        <v>130.5</v>
      </c>
      <c r="W86" s="100">
        <v>132.5</v>
      </c>
      <c r="X86" s="100">
        <v>133.19999999999999</v>
      </c>
      <c r="Y86" s="100">
        <v>131.9</v>
      </c>
      <c r="Z86" s="100">
        <v>131.69999999999999</v>
      </c>
      <c r="AA86" s="52">
        <v>133.1</v>
      </c>
      <c r="AB86" s="52">
        <v>133.30000000000001</v>
      </c>
      <c r="AC86" s="52">
        <v>134.30000000000001</v>
      </c>
      <c r="AD86" s="52">
        <v>133.80000000000001</v>
      </c>
      <c r="AE86" s="52">
        <v>132.5</v>
      </c>
      <c r="AF86" s="101">
        <v>132.6</v>
      </c>
      <c r="AG86" s="102"/>
      <c r="AH86" s="56">
        <f t="shared" si="16"/>
        <v>134.30000000000001</v>
      </c>
      <c r="AI86" s="57">
        <f t="shared" si="17"/>
        <v>127.3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135.19999999999999</v>
      </c>
      <c r="C87" s="104">
        <v>135.19999999999999</v>
      </c>
      <c r="D87" s="104">
        <v>133.1</v>
      </c>
      <c r="E87" s="104">
        <v>133.1</v>
      </c>
      <c r="F87" s="104">
        <v>134</v>
      </c>
      <c r="G87" s="104">
        <v>133.80000000000001</v>
      </c>
      <c r="H87" s="104">
        <v>132.4</v>
      </c>
      <c r="I87" s="104">
        <v>132.30000000000001</v>
      </c>
      <c r="J87" s="104">
        <v>132</v>
      </c>
      <c r="K87" s="104">
        <v>131.30000000000001</v>
      </c>
      <c r="L87" s="104">
        <v>131.69999999999999</v>
      </c>
      <c r="M87" s="104">
        <v>134.30000000000001</v>
      </c>
      <c r="N87" s="104">
        <v>134</v>
      </c>
      <c r="O87" s="104">
        <v>135.9</v>
      </c>
      <c r="P87" s="104">
        <v>133.5</v>
      </c>
      <c r="Q87" s="104">
        <v>134.5</v>
      </c>
      <c r="R87" s="104">
        <v>132.1</v>
      </c>
      <c r="S87" s="104">
        <v>133.80000000000001</v>
      </c>
      <c r="T87" s="104">
        <v>132.9</v>
      </c>
      <c r="U87" s="104">
        <v>135.9</v>
      </c>
      <c r="V87" s="104">
        <v>133.1</v>
      </c>
      <c r="W87" s="100">
        <v>132.80000000000001</v>
      </c>
      <c r="X87" s="100">
        <v>131.9</v>
      </c>
      <c r="Y87" s="100">
        <v>133.30000000000001</v>
      </c>
      <c r="Z87" s="100">
        <v>133.30000000000001</v>
      </c>
      <c r="AA87" s="104">
        <v>133.5</v>
      </c>
      <c r="AB87" s="104">
        <v>132.30000000000001</v>
      </c>
      <c r="AC87" s="104">
        <v>134.6</v>
      </c>
      <c r="AD87" s="104">
        <v>132.4</v>
      </c>
      <c r="AE87" s="104">
        <v>130.19999999999999</v>
      </c>
      <c r="AF87" s="105">
        <v>133.1</v>
      </c>
      <c r="AG87" s="106"/>
      <c r="AH87" s="56">
        <f t="shared" si="16"/>
        <v>135.9</v>
      </c>
      <c r="AI87" s="57">
        <f t="shared" si="17"/>
        <v>130.19999999999999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134.19999999999999</v>
      </c>
      <c r="C88" s="52">
        <v>134.19999999999999</v>
      </c>
      <c r="D88" s="52">
        <v>132.80000000000001</v>
      </c>
      <c r="E88" s="52">
        <v>132.80000000000001</v>
      </c>
      <c r="F88" s="52">
        <v>135.19999999999999</v>
      </c>
      <c r="G88" s="52">
        <v>136</v>
      </c>
      <c r="H88" s="52">
        <v>131.9</v>
      </c>
      <c r="I88" s="52">
        <v>129.80000000000001</v>
      </c>
      <c r="J88" s="52">
        <v>129</v>
      </c>
      <c r="K88" s="52">
        <v>128.19999999999999</v>
      </c>
      <c r="L88" s="52">
        <v>127.9</v>
      </c>
      <c r="M88" s="52">
        <v>130.80000000000001</v>
      </c>
      <c r="N88" s="52">
        <v>130.9</v>
      </c>
      <c r="O88" s="52">
        <v>132.4</v>
      </c>
      <c r="P88" s="52">
        <v>130.9</v>
      </c>
      <c r="Q88" s="52">
        <v>132.69999999999999</v>
      </c>
      <c r="R88" s="52">
        <v>129</v>
      </c>
      <c r="S88" s="52">
        <v>130.19999999999999</v>
      </c>
      <c r="T88" s="52">
        <v>128.4</v>
      </c>
      <c r="U88" s="52">
        <v>131.6</v>
      </c>
      <c r="V88" s="52">
        <v>128.80000000000001</v>
      </c>
      <c r="W88" s="100">
        <v>131.69999999999999</v>
      </c>
      <c r="X88" s="100">
        <v>131.1</v>
      </c>
      <c r="Y88" s="100">
        <v>134.19999999999999</v>
      </c>
      <c r="Z88" s="100">
        <v>132.6</v>
      </c>
      <c r="AA88" s="52">
        <v>130.9</v>
      </c>
      <c r="AB88" s="52">
        <v>130.4</v>
      </c>
      <c r="AC88" s="52">
        <v>133.6</v>
      </c>
      <c r="AD88" s="52">
        <v>134.1</v>
      </c>
      <c r="AE88" s="52">
        <v>128</v>
      </c>
      <c r="AF88" s="101">
        <v>133.1</v>
      </c>
      <c r="AG88" s="102"/>
      <c r="AH88" s="56">
        <f t="shared" si="16"/>
        <v>136</v>
      </c>
      <c r="AI88" s="57">
        <f t="shared" si="17"/>
        <v>127.9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66.900000000000006</v>
      </c>
      <c r="C89" s="107">
        <v>66.900000000000006</v>
      </c>
      <c r="D89" s="107">
        <v>66.900000000000006</v>
      </c>
      <c r="E89" s="107">
        <v>66.900000000000006</v>
      </c>
      <c r="F89" s="107">
        <v>66.3</v>
      </c>
      <c r="G89" s="107">
        <v>66.3</v>
      </c>
      <c r="H89" s="107">
        <v>65.400000000000006</v>
      </c>
      <c r="I89" s="107">
        <v>65.599999999999994</v>
      </c>
      <c r="J89" s="107">
        <v>65</v>
      </c>
      <c r="K89" s="107">
        <v>65</v>
      </c>
      <c r="L89" s="107">
        <v>65.099999999999994</v>
      </c>
      <c r="M89" s="107">
        <v>64.900000000000006</v>
      </c>
      <c r="N89" s="107">
        <v>64.7</v>
      </c>
      <c r="O89" s="107">
        <v>65.400000000000006</v>
      </c>
      <c r="P89" s="107">
        <v>64.900000000000006</v>
      </c>
      <c r="Q89" s="107">
        <v>65.8</v>
      </c>
      <c r="R89" s="107">
        <v>65.400000000000006</v>
      </c>
      <c r="S89" s="107">
        <v>64.400000000000006</v>
      </c>
      <c r="T89" s="107">
        <v>64</v>
      </c>
      <c r="U89" s="107">
        <v>65.3</v>
      </c>
      <c r="V89" s="107">
        <v>65.7</v>
      </c>
      <c r="W89" s="107">
        <v>65.7</v>
      </c>
      <c r="X89" s="107">
        <v>65.5</v>
      </c>
      <c r="Y89" s="107">
        <v>66</v>
      </c>
      <c r="Z89" s="107">
        <v>65.599999999999994</v>
      </c>
      <c r="AA89" s="107">
        <v>66.3</v>
      </c>
      <c r="AB89" s="107">
        <v>65.900000000000006</v>
      </c>
      <c r="AC89" s="107">
        <v>66.599999999999994</v>
      </c>
      <c r="AD89" s="107">
        <v>66.599999999999994</v>
      </c>
      <c r="AE89" s="107">
        <v>66</v>
      </c>
      <c r="AF89" s="108">
        <v>66.8</v>
      </c>
      <c r="AG89" s="109"/>
      <c r="AH89" s="56">
        <f t="shared" si="16"/>
        <v>66.900000000000006</v>
      </c>
      <c r="AI89" s="57">
        <f t="shared" si="17"/>
        <v>64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117.63999999999997</v>
      </c>
      <c r="C91" s="114">
        <f t="shared" ref="C91:AF91" si="21">SUM(C14,C17,C20:C21,C40,C42:C43,C45,C47,C92:C95,C100,C106,C112,C121,C123,C135,C142,C145:C146,C153,C155,C157,C161:C163,C165:C167,C172,C178:C179,C181:C183,C191,C196)</f>
        <v>112.63999999999997</v>
      </c>
      <c r="D91" s="114">
        <f t="shared" si="21"/>
        <v>110.74</v>
      </c>
      <c r="E91" s="114">
        <f t="shared" si="21"/>
        <v>119.43999999999998</v>
      </c>
      <c r="F91" s="115">
        <f t="shared" si="21"/>
        <v>137.03999999999996</v>
      </c>
      <c r="G91" s="115">
        <f t="shared" si="21"/>
        <v>152.13999999999996</v>
      </c>
      <c r="H91" s="115">
        <f t="shared" si="21"/>
        <v>167.03999999999996</v>
      </c>
      <c r="I91" s="115">
        <f t="shared" si="21"/>
        <v>215.33999999999995</v>
      </c>
      <c r="J91" s="115">
        <f t="shared" si="21"/>
        <v>217.03999999999996</v>
      </c>
      <c r="K91" s="115">
        <f t="shared" si="21"/>
        <v>254.03999999999996</v>
      </c>
      <c r="L91" s="115">
        <f t="shared" si="21"/>
        <v>270.54000000000002</v>
      </c>
      <c r="M91" s="115">
        <f t="shared" si="21"/>
        <v>261.34000000000003</v>
      </c>
      <c r="N91" s="115">
        <f t="shared" si="21"/>
        <v>249.23999999999992</v>
      </c>
      <c r="O91" s="115">
        <f t="shared" si="21"/>
        <v>255.93999999999997</v>
      </c>
      <c r="P91" s="115">
        <f t="shared" si="21"/>
        <v>249.54</v>
      </c>
      <c r="Q91" s="115">
        <f t="shared" si="21"/>
        <v>249.93999999999997</v>
      </c>
      <c r="R91" s="115">
        <f t="shared" si="21"/>
        <v>238.54</v>
      </c>
      <c r="S91" s="115">
        <f t="shared" si="21"/>
        <v>242.63999999999996</v>
      </c>
      <c r="T91" s="115">
        <f t="shared" si="21"/>
        <v>253.83999999999997</v>
      </c>
      <c r="U91" s="115">
        <f t="shared" si="21"/>
        <v>265.54000000000002</v>
      </c>
      <c r="V91" s="115">
        <f t="shared" si="21"/>
        <v>287.44</v>
      </c>
      <c r="W91" s="115">
        <f t="shared" si="21"/>
        <v>344.54000000000008</v>
      </c>
      <c r="X91" s="115">
        <f t="shared" si="21"/>
        <v>332.94000000000005</v>
      </c>
      <c r="Y91" s="115">
        <f t="shared" si="21"/>
        <v>308.74</v>
      </c>
      <c r="Z91" s="115">
        <f t="shared" si="21"/>
        <v>294.24</v>
      </c>
      <c r="AA91" s="115">
        <f t="shared" si="21"/>
        <v>258.54000000000008</v>
      </c>
      <c r="AB91" s="115">
        <f t="shared" si="21"/>
        <v>238.83999999999997</v>
      </c>
      <c r="AC91" s="115">
        <f t="shared" si="21"/>
        <v>237.53999999999996</v>
      </c>
      <c r="AD91" s="115">
        <f t="shared" si="21"/>
        <v>171.93999999999997</v>
      </c>
      <c r="AE91" s="115">
        <f t="shared" si="21"/>
        <v>144.03999999999996</v>
      </c>
      <c r="AF91" s="115">
        <f t="shared" si="21"/>
        <v>129.03999999999996</v>
      </c>
      <c r="AG91" s="116"/>
      <c r="AH91" s="56">
        <f>MAX(B91:AF91)</f>
        <v>344.54000000000008</v>
      </c>
      <c r="AI91" s="57">
        <f>MIN(B91:AF91)</f>
        <v>110.74</v>
      </c>
    </row>
    <row r="92" spans="1:88" x14ac:dyDescent="0.25">
      <c r="A92" s="117" t="s">
        <v>96</v>
      </c>
      <c r="B92" s="60">
        <v>36.700000000000003</v>
      </c>
      <c r="C92" s="60">
        <v>36.700000000000003</v>
      </c>
      <c r="D92" s="60">
        <v>28.8</v>
      </c>
      <c r="E92" s="60">
        <v>30</v>
      </c>
      <c r="F92" s="118">
        <v>33.6</v>
      </c>
      <c r="G92" s="118">
        <v>46</v>
      </c>
      <c r="H92" s="118">
        <v>53.1</v>
      </c>
      <c r="I92" s="118">
        <v>47.2</v>
      </c>
      <c r="J92" s="118">
        <v>40</v>
      </c>
      <c r="K92" s="118">
        <v>39.6</v>
      </c>
      <c r="L92" s="118">
        <v>42</v>
      </c>
      <c r="M92" s="118">
        <v>48.9</v>
      </c>
      <c r="N92" s="118">
        <v>46.6</v>
      </c>
      <c r="O92" s="118">
        <v>47.2</v>
      </c>
      <c r="P92" s="118">
        <v>61</v>
      </c>
      <c r="Q92" s="118">
        <v>56.5</v>
      </c>
      <c r="R92" s="118">
        <v>49.9</v>
      </c>
      <c r="S92" s="118">
        <v>53.1</v>
      </c>
      <c r="T92" s="54">
        <v>51.2</v>
      </c>
      <c r="U92" s="54">
        <v>49.6</v>
      </c>
      <c r="V92" s="54">
        <v>28</v>
      </c>
      <c r="W92" s="118">
        <v>10.9</v>
      </c>
      <c r="X92" s="118">
        <v>15.4</v>
      </c>
      <c r="Y92" s="118">
        <v>27.7</v>
      </c>
      <c r="Z92" s="118">
        <v>35.4</v>
      </c>
      <c r="AA92" s="54">
        <v>41.3</v>
      </c>
      <c r="AB92" s="54">
        <v>46</v>
      </c>
      <c r="AC92" s="54">
        <v>48.6</v>
      </c>
      <c r="AD92" s="54">
        <v>31.4</v>
      </c>
      <c r="AE92" s="54">
        <v>25.9</v>
      </c>
      <c r="AF92" s="119">
        <v>29</v>
      </c>
      <c r="AG92" s="120">
        <v>75</v>
      </c>
      <c r="AH92" s="56">
        <f t="shared" ref="AH92:AH97" si="22">IF(ABS(MAX(B92:AF92))&gt;ABS(MIN(B92:AF92)),MAX(B92:AF92),MIN(B92:AF92))</f>
        <v>61</v>
      </c>
      <c r="AI92" s="121">
        <f t="shared" ref="AI92:AI97" si="23">INDEX($B$9:$AF$9,1,MATCH(AH92,B92:AF92,0))</f>
        <v>0.5</v>
      </c>
    </row>
    <row r="93" spans="1:88" x14ac:dyDescent="0.25">
      <c r="A93" s="122" t="s">
        <v>97</v>
      </c>
      <c r="B93" s="62">
        <v>-93</v>
      </c>
      <c r="C93" s="62">
        <v>-93</v>
      </c>
      <c r="D93" s="62">
        <v>-88</v>
      </c>
      <c r="E93" s="62">
        <v>-79</v>
      </c>
      <c r="F93" s="62">
        <v>-73.599999999999994</v>
      </c>
      <c r="G93" s="62">
        <v>-75</v>
      </c>
      <c r="H93" s="62">
        <v>-65.599999999999994</v>
      </c>
      <c r="I93" s="62">
        <v>-49</v>
      </c>
      <c r="J93" s="62">
        <v>-40</v>
      </c>
      <c r="K93" s="62">
        <v>-49.6</v>
      </c>
      <c r="L93" s="62">
        <v>-49.6</v>
      </c>
      <c r="M93" s="62">
        <f>-23.9-28.6</f>
        <v>-52.5</v>
      </c>
      <c r="N93" s="62">
        <v>-57.4</v>
      </c>
      <c r="O93" s="62">
        <f>-26.4-31.5</f>
        <v>-57.9</v>
      </c>
      <c r="P93" s="62">
        <v>-58.3</v>
      </c>
      <c r="Q93" s="62">
        <v>-55.8</v>
      </c>
      <c r="R93" s="62">
        <v>-61.1</v>
      </c>
      <c r="S93" s="62">
        <v>-45.7</v>
      </c>
      <c r="T93" s="62">
        <v>-41</v>
      </c>
      <c r="U93" s="62">
        <v>-39</v>
      </c>
      <c r="V93" s="62">
        <v>-45</v>
      </c>
      <c r="W93" s="62">
        <v>-22.5</v>
      </c>
      <c r="X93" s="62">
        <v>-28.3</v>
      </c>
      <c r="Y93" s="62">
        <v>-35</v>
      </c>
      <c r="Z93" s="62">
        <v>-42</v>
      </c>
      <c r="AA93" s="52">
        <f>-22.9-27.2</f>
        <v>-50.099999999999994</v>
      </c>
      <c r="AB93" s="52">
        <v>-60</v>
      </c>
      <c r="AC93" s="52">
        <v>-58</v>
      </c>
      <c r="AD93" s="52">
        <f>-27.1-32</f>
        <v>-59.1</v>
      </c>
      <c r="AE93" s="52">
        <f>-31.2-36.6</f>
        <v>-67.8</v>
      </c>
      <c r="AF93" s="123">
        <f>-35.5-41.8</f>
        <v>-77.3</v>
      </c>
      <c r="AG93" s="120">
        <v>240</v>
      </c>
      <c r="AH93" s="56">
        <f t="shared" si="22"/>
        <v>-93</v>
      </c>
      <c r="AI93" s="121">
        <f t="shared" si="23"/>
        <v>4.1666666666666664E-2</v>
      </c>
    </row>
    <row r="94" spans="1:88" x14ac:dyDescent="0.25">
      <c r="A94" s="122" t="s">
        <v>98</v>
      </c>
      <c r="B94" s="62">
        <v>-16.100000000000001</v>
      </c>
      <c r="C94" s="62">
        <v>-16.100000000000001</v>
      </c>
      <c r="D94" s="62">
        <v>-15.1</v>
      </c>
      <c r="E94" s="62">
        <v>-15</v>
      </c>
      <c r="F94" s="62">
        <v>-12.4</v>
      </c>
      <c r="G94" s="62">
        <v>-2.9</v>
      </c>
      <c r="H94" s="62">
        <v>-4.5</v>
      </c>
      <c r="I94" s="62">
        <v>4.0999999999999996</v>
      </c>
      <c r="J94" s="62">
        <v>4</v>
      </c>
      <c r="K94" s="62">
        <v>4</v>
      </c>
      <c r="L94" s="62">
        <v>4</v>
      </c>
      <c r="M94" s="62">
        <v>3.4</v>
      </c>
      <c r="N94" s="62">
        <v>1.2</v>
      </c>
      <c r="O94" s="62">
        <v>0</v>
      </c>
      <c r="P94" s="62">
        <v>1.7</v>
      </c>
      <c r="Q94" s="62">
        <v>2.6</v>
      </c>
      <c r="R94" s="62">
        <v>0.3</v>
      </c>
      <c r="S94" s="62">
        <v>-1.4</v>
      </c>
      <c r="T94" s="62">
        <v>1.1000000000000001</v>
      </c>
      <c r="U94" s="62">
        <v>2.7</v>
      </c>
      <c r="V94" s="62">
        <v>26.5</v>
      </c>
      <c r="W94" s="62">
        <v>38.9</v>
      </c>
      <c r="X94" s="62">
        <v>28.9</v>
      </c>
      <c r="Y94" s="62">
        <v>14.1</v>
      </c>
      <c r="Z94" s="62">
        <v>5.5</v>
      </c>
      <c r="AA94" s="52">
        <v>8.5</v>
      </c>
      <c r="AB94" s="52">
        <v>5.2</v>
      </c>
      <c r="AC94" s="52">
        <v>2.7</v>
      </c>
      <c r="AD94" s="52">
        <v>-5.9</v>
      </c>
      <c r="AE94" s="52">
        <v>-5.7</v>
      </c>
      <c r="AF94" s="123">
        <v>-9.6999999999999993</v>
      </c>
      <c r="AG94" s="120">
        <v>60</v>
      </c>
      <c r="AH94" s="56">
        <f t="shared" si="22"/>
        <v>38.9</v>
      </c>
      <c r="AI94" s="121">
        <f t="shared" si="23"/>
        <v>0.75</v>
      </c>
    </row>
    <row r="95" spans="1:88" x14ac:dyDescent="0.25">
      <c r="A95" s="124" t="s">
        <v>99</v>
      </c>
      <c r="B95" s="65">
        <v>0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47</v>
      </c>
      <c r="L95" s="65">
        <v>47</v>
      </c>
      <c r="M95" s="65">
        <v>40.1</v>
      </c>
      <c r="N95" s="65">
        <v>36.5</v>
      </c>
      <c r="O95" s="65">
        <v>52</v>
      </c>
      <c r="P95" s="65">
        <v>42.9</v>
      </c>
      <c r="Q95" s="65">
        <v>41.5</v>
      </c>
      <c r="R95" s="65">
        <v>43.5</v>
      </c>
      <c r="S95" s="65">
        <v>60</v>
      </c>
      <c r="T95" s="65">
        <v>68.900000000000006</v>
      </c>
      <c r="U95" s="65">
        <v>69</v>
      </c>
      <c r="V95" s="65">
        <v>62.3</v>
      </c>
      <c r="W95" s="65">
        <v>80.400000000000006</v>
      </c>
      <c r="X95" s="65">
        <v>80.099999999999994</v>
      </c>
      <c r="Y95" s="65">
        <v>65.099999999999994</v>
      </c>
      <c r="Z95" s="65">
        <v>58.8</v>
      </c>
      <c r="AA95" s="125">
        <v>31.2</v>
      </c>
      <c r="AB95" s="125">
        <v>20</v>
      </c>
      <c r="AC95" s="125">
        <v>16.600000000000001</v>
      </c>
      <c r="AD95" s="125">
        <v>16.5</v>
      </c>
      <c r="AE95" s="125">
        <v>2.6</v>
      </c>
      <c r="AF95" s="126">
        <v>-3.1</v>
      </c>
      <c r="AG95" s="127">
        <v>120</v>
      </c>
      <c r="AH95" s="56">
        <f t="shared" si="22"/>
        <v>80.400000000000006</v>
      </c>
      <c r="AI95" s="121">
        <f t="shared" si="23"/>
        <v>0.75</v>
      </c>
    </row>
    <row r="96" spans="1:88" x14ac:dyDescent="0.25">
      <c r="A96" s="124" t="s">
        <v>100</v>
      </c>
      <c r="B96" s="65">
        <v>11.5</v>
      </c>
      <c r="C96" s="65">
        <v>11.5</v>
      </c>
      <c r="D96" s="65">
        <v>20</v>
      </c>
      <c r="E96" s="65">
        <v>30</v>
      </c>
      <c r="F96" s="65">
        <v>32</v>
      </c>
      <c r="G96" s="65">
        <v>30</v>
      </c>
      <c r="H96" s="65">
        <v>31</v>
      </c>
      <c r="I96" s="65">
        <v>44</v>
      </c>
      <c r="J96" s="65">
        <v>49</v>
      </c>
      <c r="K96" s="65">
        <v>57.2</v>
      </c>
      <c r="L96" s="65">
        <v>57.2</v>
      </c>
      <c r="M96" s="65">
        <v>52.3</v>
      </c>
      <c r="N96" s="65">
        <v>47.6</v>
      </c>
      <c r="O96" s="65">
        <v>51</v>
      </c>
      <c r="P96" s="65">
        <v>46.5</v>
      </c>
      <c r="Q96" s="65">
        <v>44.9</v>
      </c>
      <c r="R96" s="65">
        <v>47.4</v>
      </c>
      <c r="S96" s="65">
        <v>61.8</v>
      </c>
      <c r="T96" s="65">
        <v>68.900000000000006</v>
      </c>
      <c r="U96" s="65">
        <v>64.3</v>
      </c>
      <c r="V96" s="65">
        <v>62.1</v>
      </c>
      <c r="W96" s="65">
        <v>72.599999999999994</v>
      </c>
      <c r="X96" s="65">
        <v>74.3</v>
      </c>
      <c r="Y96" s="65">
        <v>64.7</v>
      </c>
      <c r="Z96" s="65">
        <v>59.8</v>
      </c>
      <c r="AA96" s="125">
        <v>40.4</v>
      </c>
      <c r="AB96" s="125">
        <v>34</v>
      </c>
      <c r="AC96" s="125">
        <v>35</v>
      </c>
      <c r="AD96" s="125">
        <v>40.4</v>
      </c>
      <c r="AE96" s="125">
        <v>32.799999999999997</v>
      </c>
      <c r="AF96" s="126">
        <v>29.9</v>
      </c>
      <c r="AG96" s="127"/>
      <c r="AH96" s="56">
        <f t="shared" si="22"/>
        <v>74.3</v>
      </c>
      <c r="AI96" s="121">
        <f t="shared" si="23"/>
        <v>0.77083333333333337</v>
      </c>
    </row>
    <row r="97" spans="1:37" ht="15.75" thickBot="1" x14ac:dyDescent="0.3">
      <c r="A97" s="124" t="s">
        <v>101</v>
      </c>
      <c r="B97" s="65">
        <v>35.299999999999997</v>
      </c>
      <c r="C97" s="65">
        <v>35.299999999999997</v>
      </c>
      <c r="D97" s="65">
        <v>51.1</v>
      </c>
      <c r="E97" s="65">
        <v>52</v>
      </c>
      <c r="F97" s="65">
        <v>41.8</v>
      </c>
      <c r="G97" s="65">
        <v>27</v>
      </c>
      <c r="H97" s="65">
        <v>39.200000000000003</v>
      </c>
      <c r="I97" s="65">
        <v>43.4</v>
      </c>
      <c r="J97" s="65">
        <v>42</v>
      </c>
      <c r="K97" s="65">
        <v>49.5</v>
      </c>
      <c r="L97" s="65">
        <v>49.5</v>
      </c>
      <c r="M97" s="65">
        <v>36.9</v>
      </c>
      <c r="N97" s="65">
        <v>34.1</v>
      </c>
      <c r="O97" s="65">
        <v>28.2</v>
      </c>
      <c r="P97" s="65">
        <v>25.8</v>
      </c>
      <c r="Q97" s="65">
        <v>32.299999999999997</v>
      </c>
      <c r="R97" s="65">
        <v>35.200000000000003</v>
      </c>
      <c r="S97" s="65">
        <v>34.299999999999997</v>
      </c>
      <c r="T97" s="65">
        <v>35.700000000000003</v>
      </c>
      <c r="U97" s="65">
        <v>33.4</v>
      </c>
      <c r="V97" s="65">
        <v>51.9</v>
      </c>
      <c r="W97" s="65">
        <v>77</v>
      </c>
      <c r="X97" s="65">
        <v>78.8</v>
      </c>
      <c r="Y97" s="65">
        <v>66</v>
      </c>
      <c r="Z97" s="65">
        <v>60</v>
      </c>
      <c r="AA97" s="125">
        <v>43.3</v>
      </c>
      <c r="AB97" s="125">
        <v>44</v>
      </c>
      <c r="AC97" s="125">
        <v>28</v>
      </c>
      <c r="AD97" s="125">
        <v>41.8</v>
      </c>
      <c r="AE97" s="125">
        <v>52.5</v>
      </c>
      <c r="AF97" s="126">
        <v>46.8</v>
      </c>
      <c r="AG97" s="128"/>
      <c r="AH97" s="56">
        <f t="shared" si="22"/>
        <v>78.8</v>
      </c>
      <c r="AI97" s="121">
        <f t="shared" si="23"/>
        <v>0.77083333333333337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1105.72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10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2078/07/10)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2078/07/10)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872.83999999999992</v>
      </c>
      <c r="U211" s="173">
        <f t="shared" si="52"/>
        <v>858.83999999999992</v>
      </c>
      <c r="V211" s="173">
        <f t="shared" si="52"/>
        <v>854.12</v>
      </c>
      <c r="W211" s="173">
        <f t="shared" si="52"/>
        <v>841.42</v>
      </c>
      <c r="X211" s="173">
        <f t="shared" si="52"/>
        <v>889.02</v>
      </c>
      <c r="Y211" s="173">
        <f t="shared" si="52"/>
        <v>852.61999999999989</v>
      </c>
      <c r="Z211" s="173">
        <f t="shared" si="52"/>
        <v>936.02</v>
      </c>
      <c r="AA211" s="173">
        <f t="shared" si="52"/>
        <v>1002.02</v>
      </c>
      <c r="AB211" s="173">
        <f t="shared" si="52"/>
        <v>1029.02</v>
      </c>
      <c r="AC211" s="173">
        <f t="shared" si="52"/>
        <v>1072.22</v>
      </c>
      <c r="AD211" s="173">
        <f t="shared" si="52"/>
        <v>1105.72</v>
      </c>
      <c r="AE211" s="173">
        <f t="shared" si="52"/>
        <v>1089.22</v>
      </c>
      <c r="AF211" s="173">
        <f t="shared" si="52"/>
        <v>1074.52</v>
      </c>
      <c r="AG211" s="173">
        <f t="shared" si="52"/>
        <v>1061.8200000000002</v>
      </c>
      <c r="AH211" s="173">
        <f t="shared" si="52"/>
        <v>1072.6400000000001</v>
      </c>
      <c r="AI211" s="173">
        <f t="shared" si="52"/>
        <v>1057.04</v>
      </c>
      <c r="AJ211" s="173">
        <f t="shared" si="52"/>
        <v>1081.6400000000001</v>
      </c>
      <c r="AK211" s="173">
        <f t="shared" si="52"/>
        <v>1081.04</v>
      </c>
      <c r="AL211" s="173">
        <f t="shared" si="52"/>
        <v>1102.44</v>
      </c>
      <c r="AM211" s="173">
        <f t="shared" si="52"/>
        <v>1104.04</v>
      </c>
      <c r="AN211" s="173">
        <f t="shared" si="52"/>
        <v>1208.44</v>
      </c>
      <c r="AO211" s="173">
        <f t="shared" si="52"/>
        <v>1392.3400000000001</v>
      </c>
      <c r="AP211" s="173">
        <f t="shared" si="52"/>
        <v>1318.44</v>
      </c>
      <c r="AQ211" s="173">
        <f t="shared" si="52"/>
        <v>1245.74</v>
      </c>
      <c r="AR211" s="173">
        <f t="shared" si="52"/>
        <v>1208.04</v>
      </c>
      <c r="AS211" s="173">
        <f t="shared" si="52"/>
        <v>1099.6399999999999</v>
      </c>
      <c r="AT211" s="173">
        <f t="shared" si="52"/>
        <v>1083.1400000000001</v>
      </c>
      <c r="AU211" s="173">
        <f t="shared" si="52"/>
        <v>1038.1399999999999</v>
      </c>
      <c r="AV211" s="173">
        <f t="shared" si="52"/>
        <v>896.93999999999994</v>
      </c>
      <c r="AW211" s="173">
        <f t="shared" si="52"/>
        <v>828.63999999999987</v>
      </c>
      <c r="AX211" s="173">
        <f t="shared" si="52"/>
        <v>846.24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710" priority="336">
      <formula>S$9&gt;=20/24</formula>
    </cfRule>
    <cfRule type="expression" dxfId="7709" priority="337">
      <formula>AND(S$9&gt;=14/24,S$9&lt;20/24)</formula>
    </cfRule>
    <cfRule type="expression" dxfId="7708" priority="338">
      <formula>AND(S$9&gt;=8/24,S$9&lt;14/24)</formula>
    </cfRule>
    <cfRule type="expression" dxfId="7707" priority="339">
      <formula>S$9&lt;8/24</formula>
    </cfRule>
  </conditionalFormatting>
  <conditionalFormatting sqref="B8:AF10 AA79:AF79 B79:Q79 B80:AF80 C191:AF197 AE55:AF58 B66:AF70 T210:AX210 Q37 Q40 Q38:S39 W83:Z89 AA82:AF89 B72:AF76 B78:AF78 B59:C65 B54:AF54 B55:K58 D59:K59 L55:M59 P15:Q31 P12:Q13 N35:Q35 N11:O13 N15:O19 P58:Q65 N56:O65 N37:P40 N43:Q43 V17:X17 W18:X29 T25:V25 P56:V57 T38:Z40 AA38:AD41 L51:AF53 P11:AF11 Y17:AF29 Q45:Q46">
    <cfRule type="expression" dxfId="7706" priority="332">
      <formula>B$9&gt;=20/24</formula>
    </cfRule>
    <cfRule type="expression" dxfId="7705" priority="333">
      <formula>AND(B$9&gt;=14/24,B$9&lt;20/24)</formula>
    </cfRule>
    <cfRule type="expression" dxfId="7704" priority="334">
      <formula>AND(B$9&gt;=8/24,B$9&lt;14/24)</formula>
    </cfRule>
    <cfRule type="expression" dxfId="7703" priority="335">
      <formula>B$9&lt;8/24</formula>
    </cfRule>
  </conditionalFormatting>
  <conditionalFormatting sqref="B189:AF189">
    <cfRule type="expression" dxfId="7702" priority="328">
      <formula>B$9&gt;=20/24</formula>
    </cfRule>
    <cfRule type="expression" dxfId="7701" priority="329">
      <formula>AND(B$9&gt;=14/24,B$9&lt;20/24)</formula>
    </cfRule>
    <cfRule type="expression" dxfId="7700" priority="330">
      <formula>AND(B$9&gt;=8/24,B$9&lt;14/24)</formula>
    </cfRule>
    <cfRule type="expression" dxfId="7699" priority="331">
      <formula>B$9&lt;8/24</formula>
    </cfRule>
  </conditionalFormatting>
  <conditionalFormatting sqref="AL4:AL6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N55:Q55">
    <cfRule type="expression" dxfId="7698" priority="323">
      <formula>N$9&gt;=20/24</formula>
    </cfRule>
    <cfRule type="expression" dxfId="7697" priority="324">
      <formula>AND(N$9&gt;=14/24,N$9&lt;20/24)</formula>
    </cfRule>
    <cfRule type="expression" dxfId="7696" priority="325">
      <formula>AND(N$9&gt;=8/24,N$9&lt;14/24)</formula>
    </cfRule>
    <cfRule type="expression" dxfId="7695" priority="326">
      <formula>N$9&lt;8/24</formula>
    </cfRule>
  </conditionalFormatting>
  <conditionalFormatting sqref="N41:Q41">
    <cfRule type="expression" dxfId="7694" priority="319">
      <formula>N$9&gt;=20/24</formula>
    </cfRule>
    <cfRule type="expression" dxfId="7693" priority="320">
      <formula>AND(N$9&gt;=14/24,N$9&lt;20/24)</formula>
    </cfRule>
    <cfRule type="expression" dxfId="7692" priority="321">
      <formula>AND(N$9&gt;=8/24,N$9&lt;14/24)</formula>
    </cfRule>
    <cfRule type="expression" dxfId="7691" priority="322">
      <formula>N$9&lt;8/24</formula>
    </cfRule>
  </conditionalFormatting>
  <conditionalFormatting sqref="R37:AD37">
    <cfRule type="expression" dxfId="7690" priority="311">
      <formula>R$9&gt;=20/24</formula>
    </cfRule>
    <cfRule type="expression" dxfId="7689" priority="312">
      <formula>AND(R$9&gt;=14/24,R$9&lt;20/24)</formula>
    </cfRule>
    <cfRule type="expression" dxfId="7688" priority="313">
      <formula>AND(R$9&gt;=8/24,R$9&lt;14/24)</formula>
    </cfRule>
    <cfRule type="expression" dxfId="7687" priority="314">
      <formula>R$9&lt;8/24</formula>
    </cfRule>
  </conditionalFormatting>
  <conditionalFormatting sqref="R55:AD55">
    <cfRule type="expression" dxfId="7686" priority="307">
      <formula>R$9&gt;=20/24</formula>
    </cfRule>
    <cfRule type="expression" dxfId="7685" priority="308">
      <formula>AND(R$9&gt;=14/24,R$9&lt;20/24)</formula>
    </cfRule>
    <cfRule type="expression" dxfId="7684" priority="309">
      <formula>AND(R$9&gt;=8/24,R$9&lt;14/24)</formula>
    </cfRule>
    <cfRule type="expression" dxfId="7683" priority="310">
      <formula>R$9&lt;8/24</formula>
    </cfRule>
  </conditionalFormatting>
  <conditionalFormatting sqref="R79:Z79">
    <cfRule type="expression" dxfId="7682" priority="303">
      <formula>R$9&gt;=20/24</formula>
    </cfRule>
    <cfRule type="expression" dxfId="7681" priority="304">
      <formula>AND(R$9&gt;=14/24,R$9&lt;20/24)</formula>
    </cfRule>
    <cfRule type="expression" dxfId="7680" priority="305">
      <formula>AND(R$9&gt;=8/24,R$9&lt;14/24)</formula>
    </cfRule>
    <cfRule type="expression" dxfId="7679" priority="306">
      <formula>R$9&lt;8/24</formula>
    </cfRule>
  </conditionalFormatting>
  <conditionalFormatting sqref="T82:Z82">
    <cfRule type="expression" dxfId="7678" priority="299">
      <formula>T$9&gt;=20/24</formula>
    </cfRule>
    <cfRule type="expression" dxfId="7677" priority="300">
      <formula>AND(T$9&gt;=14/24,T$9&lt;20/24)</formula>
    </cfRule>
    <cfRule type="expression" dxfId="7676" priority="301">
      <formula>AND(T$9&gt;=8/24,T$9&lt;14/24)</formula>
    </cfRule>
    <cfRule type="expression" dxfId="7675" priority="302">
      <formula>T$9&lt;8/24</formula>
    </cfRule>
  </conditionalFormatting>
  <conditionalFormatting sqref="P33:Q33">
    <cfRule type="expression" dxfId="7674" priority="295">
      <formula>P$9&gt;=20/24</formula>
    </cfRule>
    <cfRule type="expression" dxfId="7673" priority="296">
      <formula>AND(P$9&gt;=14/24,P$9&lt;20/24)</formula>
    </cfRule>
    <cfRule type="expression" dxfId="7672" priority="297">
      <formula>AND(P$9&gt;=8/24,P$9&lt;14/24)</formula>
    </cfRule>
    <cfRule type="expression" dxfId="7671" priority="298">
      <formula>P$9&lt;8/24</formula>
    </cfRule>
  </conditionalFormatting>
  <conditionalFormatting sqref="Q47:V47">
    <cfRule type="expression" dxfId="7670" priority="291">
      <formula>Q$9&gt;=20/24</formula>
    </cfRule>
    <cfRule type="expression" dxfId="7669" priority="292">
      <formula>AND(Q$9&gt;=14/24,Q$9&lt;20/24)</formula>
    </cfRule>
    <cfRule type="expression" dxfId="7668" priority="293">
      <formula>AND(Q$9&gt;=8/24,Q$9&lt;14/24)</formula>
    </cfRule>
    <cfRule type="expression" dxfId="7667" priority="294">
      <formula>Q$9&lt;8/24</formula>
    </cfRule>
  </conditionalFormatting>
  <conditionalFormatting sqref="Q48">
    <cfRule type="expression" dxfId="7666" priority="287">
      <formula>Q$9&gt;=20/24</formula>
    </cfRule>
    <cfRule type="expression" dxfId="7665" priority="288">
      <formula>AND(Q$9&gt;=14/24,Q$9&lt;20/24)</formula>
    </cfRule>
    <cfRule type="expression" dxfId="7664" priority="289">
      <formula>AND(Q$9&gt;=8/24,Q$9&lt;14/24)</formula>
    </cfRule>
    <cfRule type="expression" dxfId="7663" priority="290">
      <formula>Q$9&lt;8/24</formula>
    </cfRule>
  </conditionalFormatting>
  <conditionalFormatting sqref="N43:Q43 Q45:Q46">
    <cfRule type="expression" dxfId="7662" priority="283">
      <formula>N$9&gt;=20/24</formula>
    </cfRule>
    <cfRule type="expression" dxfId="7661" priority="284">
      <formula>AND(N$9&gt;=14/24,N$9&lt;20/24)</formula>
    </cfRule>
    <cfRule type="expression" dxfId="7660" priority="285">
      <formula>AND(N$9&gt;=8/24,N$9&lt;14/24)</formula>
    </cfRule>
    <cfRule type="expression" dxfId="7659" priority="286">
      <formula>N$9&lt;8/24</formula>
    </cfRule>
  </conditionalFormatting>
  <conditionalFormatting sqref="R35:AF35">
    <cfRule type="expression" dxfId="7658" priority="279">
      <formula>R$9&gt;=20/24</formula>
    </cfRule>
    <cfRule type="expression" dxfId="7657" priority="280">
      <formula>AND(R$9&gt;=14/24,R$9&lt;20/24)</formula>
    </cfRule>
    <cfRule type="expression" dxfId="7656" priority="281">
      <formula>AND(R$9&gt;=8/24,R$9&lt;14/24)</formula>
    </cfRule>
    <cfRule type="expression" dxfId="7655" priority="282">
      <formula>R$9&lt;8/24</formula>
    </cfRule>
  </conditionalFormatting>
  <conditionalFormatting sqref="W30:AF31 W33:AF33">
    <cfRule type="expression" dxfId="7654" priority="275">
      <formula>W$9&gt;=20/24</formula>
    </cfRule>
    <cfRule type="expression" dxfId="7653" priority="276">
      <formula>AND(W$9&gt;=14/24,W$9&lt;20/24)</formula>
    </cfRule>
    <cfRule type="expression" dxfId="7652" priority="277">
      <formula>AND(W$9&gt;=8/24,W$9&lt;14/24)</formula>
    </cfRule>
    <cfRule type="expression" dxfId="7651" priority="278">
      <formula>W$9&lt;8/24</formula>
    </cfRule>
  </conditionalFormatting>
  <conditionalFormatting sqref="R40:S41 T41:Z41 R43:AD43 R45:AD46">
    <cfRule type="expression" dxfId="7650" priority="271">
      <formula>R$9&gt;=20/24</formula>
    </cfRule>
    <cfRule type="expression" dxfId="7649" priority="272">
      <formula>AND(R$9&gt;=14/24,R$9&lt;20/24)</formula>
    </cfRule>
    <cfRule type="expression" dxfId="7648" priority="273">
      <formula>AND(R$9&gt;=8/24,R$9&lt;14/24)</formula>
    </cfRule>
    <cfRule type="expression" dxfId="7647" priority="274">
      <formula>R$9&lt;8/24</formula>
    </cfRule>
  </conditionalFormatting>
  <conditionalFormatting sqref="R47:AD47">
    <cfRule type="expression" dxfId="7646" priority="267">
      <formula>R$9&gt;=20/24</formula>
    </cfRule>
    <cfRule type="expression" dxfId="7645" priority="268">
      <formula>AND(R$9&gt;=14/24,R$9&lt;20/24)</formula>
    </cfRule>
    <cfRule type="expression" dxfId="7644" priority="269">
      <formula>AND(R$9&gt;=8/24,R$9&lt;14/24)</formula>
    </cfRule>
    <cfRule type="expression" dxfId="7643" priority="270">
      <formula>R$9&lt;8/24</formula>
    </cfRule>
  </conditionalFormatting>
  <conditionalFormatting sqref="R48:AD48">
    <cfRule type="expression" dxfId="7642" priority="263">
      <formula>R$9&gt;=20/24</formula>
    </cfRule>
    <cfRule type="expression" dxfId="7641" priority="264">
      <formula>AND(R$9&gt;=14/24,R$9&lt;20/24)</formula>
    </cfRule>
    <cfRule type="expression" dxfId="7640" priority="265">
      <formula>AND(R$9&gt;=8/24,R$9&lt;14/24)</formula>
    </cfRule>
    <cfRule type="expression" dxfId="7639" priority="266">
      <formula>R$9&lt;8/24</formula>
    </cfRule>
  </conditionalFormatting>
  <conditionalFormatting sqref="AE59:AF65 R58:AD65">
    <cfRule type="expression" dxfId="7638" priority="259">
      <formula>R$9&gt;=20/24</formula>
    </cfRule>
    <cfRule type="expression" dxfId="7637" priority="260">
      <formula>AND(R$9&gt;=14/24,R$9&lt;20/24)</formula>
    </cfRule>
    <cfRule type="expression" dxfId="7636" priority="261">
      <formula>AND(R$9&gt;=8/24,R$9&lt;14/24)</formula>
    </cfRule>
    <cfRule type="expression" dxfId="7635" priority="262">
      <formula>R$9&lt;8/24</formula>
    </cfRule>
  </conditionalFormatting>
  <conditionalFormatting sqref="AA92:AF95">
    <cfRule type="expression" dxfId="7634" priority="255">
      <formula>AA$9&gt;=20/24</formula>
    </cfRule>
    <cfRule type="expression" dxfId="7633" priority="256">
      <formula>AND(AA$9&gt;=14/24,AA$9&lt;20/24)</formula>
    </cfRule>
    <cfRule type="expression" dxfId="7632" priority="257">
      <formula>AND(AA$9&gt;=8/24,AA$9&lt;14/24)</formula>
    </cfRule>
    <cfRule type="expression" dxfId="7631" priority="258">
      <formula>AA$9&lt;8/24</formula>
    </cfRule>
  </conditionalFormatting>
  <conditionalFormatting sqref="D60:H60 H61:H65 I60:M65">
    <cfRule type="expression" dxfId="7630" priority="251">
      <formula>D$9&gt;=20/24</formula>
    </cfRule>
    <cfRule type="expression" dxfId="7629" priority="252">
      <formula>AND(D$9&gt;=14/24,D$9&lt;20/24)</formula>
    </cfRule>
    <cfRule type="expression" dxfId="7628" priority="253">
      <formula>AND(D$9&gt;=8/24,D$9&lt;14/24)</formula>
    </cfRule>
    <cfRule type="expression" dxfId="7627" priority="254">
      <formula>D$9&lt;8/24</formula>
    </cfRule>
  </conditionalFormatting>
  <conditionalFormatting sqref="T92:Z95">
    <cfRule type="expression" dxfId="7626" priority="247">
      <formula>T$9&gt;=20/24</formula>
    </cfRule>
    <cfRule type="expression" dxfId="7625" priority="248">
      <formula>AND(T$9&gt;=14/24,T$9&lt;20/24)</formula>
    </cfRule>
    <cfRule type="expression" dxfId="7624" priority="249">
      <formula>AND(T$9&gt;=8/24,T$9&lt;14/24)</formula>
    </cfRule>
    <cfRule type="expression" dxfId="7623" priority="250">
      <formula>T$9&lt;8/24</formula>
    </cfRule>
  </conditionalFormatting>
  <conditionalFormatting sqref="AG49 B11:K13 B15:K31 B36:AF36 B33:K35 B37:K41 P12:Q13 P15:Q31 N15:O19 N11:O13 N35:Z35 P33:Q34 V17:X17 W18:X31 T25:V25 W33:Z34 N43:AF43 N37:AF41 B49:AF54 P11:AF11 AA33:AF35 Y17:AF31 Q45:AF48 B43:K43 B45:K48 B44:Q44">
    <cfRule type="expression" dxfId="7622" priority="246">
      <formula>B11&gt;$AG11</formula>
    </cfRule>
  </conditionalFormatting>
  <conditionalFormatting sqref="A98:A154 A82:A95 A11:A13 A15:A31 A43:A70 A78:A80 A72:A76 A33:A41 A167:A198">
    <cfRule type="expression" dxfId="7621" priority="245">
      <formula>$AH11=0</formula>
    </cfRule>
  </conditionalFormatting>
  <conditionalFormatting sqref="AA96:AF96">
    <cfRule type="expression" dxfId="7620" priority="241">
      <formula>AA$9&gt;=20/24</formula>
    </cfRule>
    <cfRule type="expression" dxfId="7619" priority="242">
      <formula>AND(AA$9&gt;=14/24,AA$9&lt;20/24)</formula>
    </cfRule>
    <cfRule type="expression" dxfId="7618" priority="243">
      <formula>AND(AA$9&gt;=8/24,AA$9&lt;14/24)</formula>
    </cfRule>
    <cfRule type="expression" dxfId="7617" priority="244">
      <formula>AA$9&lt;8/24</formula>
    </cfRule>
  </conditionalFormatting>
  <conditionalFormatting sqref="T96:Z96">
    <cfRule type="expression" dxfId="7616" priority="237">
      <formula>T$9&gt;=20/24</formula>
    </cfRule>
    <cfRule type="expression" dxfId="7615" priority="238">
      <formula>AND(T$9&gt;=14/24,T$9&lt;20/24)</formula>
    </cfRule>
    <cfRule type="expression" dxfId="7614" priority="239">
      <formula>AND(T$9&gt;=8/24,T$9&lt;14/24)</formula>
    </cfRule>
    <cfRule type="expression" dxfId="7613" priority="240">
      <formula>T$9&lt;8/24</formula>
    </cfRule>
  </conditionalFormatting>
  <conditionalFormatting sqref="A96">
    <cfRule type="expression" dxfId="7612" priority="236">
      <formula>$AH96=0</formula>
    </cfRule>
  </conditionalFormatting>
  <conditionalFormatting sqref="P34:Q34 W34:AF34">
    <cfRule type="expression" dxfId="7611" priority="232">
      <formula>P$9&gt;=20/24</formula>
    </cfRule>
    <cfRule type="expression" dxfId="7610" priority="233">
      <formula>AND(P$9&gt;=14/24,P$9&lt;20/24)</formula>
    </cfRule>
    <cfRule type="expression" dxfId="7609" priority="234">
      <formula>AND(P$9&gt;=8/24,P$9&lt;14/24)</formula>
    </cfRule>
    <cfRule type="expression" dxfId="7608" priority="235">
      <formula>P$9&lt;8/24</formula>
    </cfRule>
  </conditionalFormatting>
  <conditionalFormatting sqref="W34:AF34">
    <cfRule type="expression" dxfId="7607" priority="228">
      <formula>W$9&gt;=20/24</formula>
    </cfRule>
    <cfRule type="expression" dxfId="7606" priority="229">
      <formula>AND(W$9&gt;=14/24,W$9&lt;20/24)</formula>
    </cfRule>
    <cfRule type="expression" dxfId="7605" priority="230">
      <formula>AND(W$9&gt;=8/24,W$9&lt;14/24)</formula>
    </cfRule>
    <cfRule type="expression" dxfId="7604" priority="231">
      <formula>W$9&lt;8/24</formula>
    </cfRule>
  </conditionalFormatting>
  <conditionalFormatting sqref="B34:K34">
    <cfRule type="expression" dxfId="7603" priority="224">
      <formula>B$9&gt;=20/24</formula>
    </cfRule>
    <cfRule type="expression" dxfId="7602" priority="225">
      <formula>AND(B$9&gt;=14/24,B$9&lt;20/24)</formula>
    </cfRule>
    <cfRule type="expression" dxfId="7601" priority="226">
      <formula>AND(B$9&gt;=8/24,B$9&lt;14/24)</formula>
    </cfRule>
    <cfRule type="expression" dxfId="7600" priority="227">
      <formula>B$9&lt;8/24</formula>
    </cfRule>
  </conditionalFormatting>
  <conditionalFormatting sqref="D61:G65">
    <cfRule type="expression" dxfId="7599" priority="220">
      <formula>D$9&gt;=20/24</formula>
    </cfRule>
    <cfRule type="expression" dxfId="7598" priority="221">
      <formula>AND(D$9&gt;=14/24,D$9&lt;20/24)</formula>
    </cfRule>
    <cfRule type="expression" dxfId="7597" priority="222">
      <formula>AND(D$9&gt;=8/24,D$9&lt;14/24)</formula>
    </cfRule>
    <cfRule type="expression" dxfId="7596" priority="223">
      <formula>D$9&lt;8/24</formula>
    </cfRule>
  </conditionalFormatting>
  <conditionalFormatting sqref="AL31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P32:Q32">
    <cfRule type="expression" dxfId="7595" priority="207">
      <formula>P$9&gt;=20/24</formula>
    </cfRule>
    <cfRule type="expression" dxfId="7594" priority="208">
      <formula>AND(P$9&gt;=14/24,P$9&lt;20/24)</formula>
    </cfRule>
    <cfRule type="expression" dxfId="7593" priority="209">
      <formula>AND(P$9&gt;=8/24,P$9&lt;14/24)</formula>
    </cfRule>
    <cfRule type="expression" dxfId="7592" priority="210">
      <formula>P$9&lt;8/24</formula>
    </cfRule>
  </conditionalFormatting>
  <conditionalFormatting sqref="W32:AF32">
    <cfRule type="expression" dxfId="7591" priority="203">
      <formula>W$9&gt;=20/24</formula>
    </cfRule>
    <cfRule type="expression" dxfId="7590" priority="204">
      <formula>AND(W$9&gt;=14/24,W$9&lt;20/24)</formula>
    </cfRule>
    <cfRule type="expression" dxfId="7589" priority="205">
      <formula>AND(W$9&gt;=8/24,W$9&lt;14/24)</formula>
    </cfRule>
    <cfRule type="expression" dxfId="7588" priority="206">
      <formula>W$9&lt;8/24</formula>
    </cfRule>
  </conditionalFormatting>
  <conditionalFormatting sqref="B32:K32 P32:Q32 W32:AF32">
    <cfRule type="expression" dxfId="7587" priority="202">
      <formula>B32&gt;$AG32</formula>
    </cfRule>
  </conditionalFormatting>
  <conditionalFormatting sqref="A32">
    <cfRule type="expression" dxfId="7586" priority="201">
      <formula>$AH32=0</formula>
    </cfRule>
  </conditionalFormatting>
  <conditionalFormatting sqref="B81:AF81">
    <cfRule type="expression" dxfId="7585" priority="197">
      <formula>B$9&gt;=20/24</formula>
    </cfRule>
    <cfRule type="expression" dxfId="7584" priority="198">
      <formula>AND(B$9&gt;=14/24,B$9&lt;20/24)</formula>
    </cfRule>
    <cfRule type="expression" dxfId="7583" priority="199">
      <formula>AND(B$9&gt;=8/24,B$9&lt;14/24)</formula>
    </cfRule>
    <cfRule type="expression" dxfId="7582" priority="200">
      <formula>B$9&lt;8/24</formula>
    </cfRule>
  </conditionalFormatting>
  <conditionalFormatting sqref="A81">
    <cfRule type="expression" dxfId="7581" priority="196">
      <formula>$AH81=0</formula>
    </cfRule>
  </conditionalFormatting>
  <conditionalFormatting sqref="N14:Q14">
    <cfRule type="expression" dxfId="7580" priority="188">
      <formula>N$9&gt;=20/24</formula>
    </cfRule>
    <cfRule type="expression" dxfId="7579" priority="189">
      <formula>AND(N$9&gt;=14/24,N$9&lt;20/24)</formula>
    </cfRule>
    <cfRule type="expression" dxfId="7578" priority="190">
      <formula>AND(N$9&gt;=8/24,N$9&lt;14/24)</formula>
    </cfRule>
    <cfRule type="expression" dxfId="7577" priority="191">
      <formula>N$9&lt;8/24</formula>
    </cfRule>
  </conditionalFormatting>
  <conditionalFormatting sqref="B14:K14 N14:Q14">
    <cfRule type="expression" dxfId="7576" priority="187">
      <formula>B14&gt;$AG14</formula>
    </cfRule>
  </conditionalFormatting>
  <conditionalFormatting sqref="A14">
    <cfRule type="expression" dxfId="7575" priority="186">
      <formula>$AH14=0</formula>
    </cfRule>
  </conditionalFormatting>
  <conditionalFormatting sqref="A161:A166">
    <cfRule type="expression" dxfId="7574" priority="185">
      <formula>$AH161=0</formula>
    </cfRule>
  </conditionalFormatting>
  <conditionalFormatting sqref="A155:A160">
    <cfRule type="expression" dxfId="7573" priority="184">
      <formula>$AH155=0</formula>
    </cfRule>
  </conditionalFormatting>
  <conditionalFormatting sqref="AA42:AD42">
    <cfRule type="expression" dxfId="7572" priority="180">
      <formula>AA$9&gt;=20/24</formula>
    </cfRule>
    <cfRule type="expression" dxfId="7571" priority="181">
      <formula>AND(AA$9&gt;=14/24,AA$9&lt;20/24)</formula>
    </cfRule>
    <cfRule type="expression" dxfId="7570" priority="182">
      <formula>AND(AA$9&gt;=8/24,AA$9&lt;14/24)</formula>
    </cfRule>
    <cfRule type="expression" dxfId="7569" priority="183">
      <formula>AA$9&lt;8/24</formula>
    </cfRule>
  </conditionalFormatting>
  <conditionalFormatting sqref="N42:Q42">
    <cfRule type="expression" dxfId="7568" priority="176">
      <formula>N$9&gt;=20/24</formula>
    </cfRule>
    <cfRule type="expression" dxfId="7567" priority="177">
      <formula>AND(N$9&gt;=14/24,N$9&lt;20/24)</formula>
    </cfRule>
    <cfRule type="expression" dxfId="7566" priority="178">
      <formula>AND(N$9&gt;=8/24,N$9&lt;14/24)</formula>
    </cfRule>
    <cfRule type="expression" dxfId="7565" priority="179">
      <formula>N$9&lt;8/24</formula>
    </cfRule>
  </conditionalFormatting>
  <conditionalFormatting sqref="R42:Z42">
    <cfRule type="expression" dxfId="7564" priority="172">
      <formula>R$9&gt;=20/24</formula>
    </cfRule>
    <cfRule type="expression" dxfId="7563" priority="173">
      <formula>AND(R$9&gt;=14/24,R$9&lt;20/24)</formula>
    </cfRule>
    <cfRule type="expression" dxfId="7562" priority="174">
      <formula>AND(R$9&gt;=8/24,R$9&lt;14/24)</formula>
    </cfRule>
    <cfRule type="expression" dxfId="7561" priority="175">
      <formula>R$9&lt;8/24</formula>
    </cfRule>
  </conditionalFormatting>
  <conditionalFormatting sqref="B42:K42 N42:AF42">
    <cfRule type="expression" dxfId="7560" priority="171">
      <formula>B42&gt;$AG42</formula>
    </cfRule>
  </conditionalFormatting>
  <conditionalFormatting sqref="A42">
    <cfRule type="expression" dxfId="7559" priority="170">
      <formula>$AH42=0</formula>
    </cfRule>
  </conditionalFormatting>
  <conditionalFormatting sqref="B77:AF77">
    <cfRule type="expression" dxfId="7558" priority="166">
      <formula>B$9&gt;=20/24</formula>
    </cfRule>
    <cfRule type="expression" dxfId="7557" priority="167">
      <formula>AND(B$9&gt;=14/24,B$9&lt;20/24)</formula>
    </cfRule>
    <cfRule type="expression" dxfId="7556" priority="168">
      <formula>AND(B$9&gt;=8/24,B$9&lt;14/24)</formula>
    </cfRule>
    <cfRule type="expression" dxfId="7555" priority="169">
      <formula>B$9&lt;8/24</formula>
    </cfRule>
  </conditionalFormatting>
  <conditionalFormatting sqref="A77">
    <cfRule type="expression" dxfId="7554" priority="165">
      <formula>$AH77=0</formula>
    </cfRule>
  </conditionalFormatting>
  <conditionalFormatting sqref="B71:AG71">
    <cfRule type="expression" dxfId="7553" priority="161">
      <formula>B$9&gt;=20/24</formula>
    </cfRule>
    <cfRule type="expression" dxfId="7552" priority="162">
      <formula>AND(B$9&gt;=14/24,B$9&lt;20/24)</formula>
    </cfRule>
    <cfRule type="expression" dxfId="7551" priority="163">
      <formula>AND(B$9&gt;=8/24,B$9&lt;14/24)</formula>
    </cfRule>
    <cfRule type="expression" dxfId="7550" priority="164">
      <formula>B$9&lt;8/24</formula>
    </cfRule>
  </conditionalFormatting>
  <conditionalFormatting sqref="A71">
    <cfRule type="expression" dxfId="7549" priority="160">
      <formula>$AH71=0</formula>
    </cfRule>
  </conditionalFormatting>
  <conditionalFormatting sqref="AL32:AL33 AL7:AL30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7548" priority="152">
      <formula>T$9&gt;=20/24</formula>
    </cfRule>
    <cfRule type="expression" dxfId="7547" priority="153">
      <formula>AND(T$9&gt;=14/24,T$9&lt;20/24)</formula>
    </cfRule>
    <cfRule type="expression" dxfId="7546" priority="154">
      <formula>AND(T$9&gt;=8/24,T$9&lt;14/24)</formula>
    </cfRule>
    <cfRule type="expression" dxfId="7545" priority="155">
      <formula>T$9&lt;8/24</formula>
    </cfRule>
  </conditionalFormatting>
  <conditionalFormatting sqref="R83:S89 B82:Q89">
    <cfRule type="expression" dxfId="7544" priority="148">
      <formula>B$9&gt;=20/24</formula>
    </cfRule>
    <cfRule type="expression" dxfId="7543" priority="149">
      <formula>AND(B$9&gt;=14/24,B$9&lt;20/24)</formula>
    </cfRule>
    <cfRule type="expression" dxfId="7542" priority="150">
      <formula>AND(B$9&gt;=8/24,B$9&lt;14/24)</formula>
    </cfRule>
    <cfRule type="expression" dxfId="7541" priority="151">
      <formula>B$9&lt;8/24</formula>
    </cfRule>
  </conditionalFormatting>
  <conditionalFormatting sqref="R82:S82">
    <cfRule type="expression" dxfId="7540" priority="144">
      <formula>R$9&gt;=20/24</formula>
    </cfRule>
    <cfRule type="expression" dxfId="7539" priority="145">
      <formula>AND(R$9&gt;=14/24,R$9&lt;20/24)</formula>
    </cfRule>
    <cfRule type="expression" dxfId="7538" priority="146">
      <formula>AND(R$9&gt;=8/24,R$9&lt;14/24)</formula>
    </cfRule>
    <cfRule type="expression" dxfId="7537" priority="147">
      <formula>R$9&lt;8/24</formula>
    </cfRule>
  </conditionalFormatting>
  <conditionalFormatting sqref="D92:E92 B92:C95 D93:M95">
    <cfRule type="expression" dxfId="7536" priority="140">
      <formula>B$9&gt;=20/24</formula>
    </cfRule>
    <cfRule type="expression" dxfId="7535" priority="141">
      <formula>AND(B$9&gt;=14/24,B$9&lt;20/24)</formula>
    </cfRule>
    <cfRule type="expression" dxfId="7534" priority="142">
      <formula>AND(B$9&gt;=8/24,B$9&lt;14/24)</formula>
    </cfRule>
    <cfRule type="expression" dxfId="7533" priority="143">
      <formula>B$9&lt;8/24</formula>
    </cfRule>
  </conditionalFormatting>
  <conditionalFormatting sqref="N92:Q95">
    <cfRule type="expression" dxfId="7532" priority="136">
      <formula>N$9&gt;=20/24</formula>
    </cfRule>
    <cfRule type="expression" dxfId="7531" priority="137">
      <formula>AND(N$9&gt;=14/24,N$9&lt;20/24)</formula>
    </cfRule>
    <cfRule type="expression" dxfId="7530" priority="138">
      <formula>AND(N$9&gt;=8/24,N$9&lt;14/24)</formula>
    </cfRule>
    <cfRule type="expression" dxfId="7529" priority="139">
      <formula>N$9&lt;8/24</formula>
    </cfRule>
  </conditionalFormatting>
  <conditionalFormatting sqref="R92:S95">
    <cfRule type="expression" dxfId="7528" priority="132">
      <formula>R$9&gt;=20/24</formula>
    </cfRule>
    <cfRule type="expression" dxfId="7527" priority="133">
      <formula>AND(R$9&gt;=14/24,R$9&lt;20/24)</formula>
    </cfRule>
    <cfRule type="expression" dxfId="7526" priority="134">
      <formula>AND(R$9&gt;=8/24,R$9&lt;14/24)</formula>
    </cfRule>
    <cfRule type="expression" dxfId="7525" priority="135">
      <formula>R$9&lt;8/24</formula>
    </cfRule>
  </conditionalFormatting>
  <conditionalFormatting sqref="B96:M96">
    <cfRule type="expression" dxfId="7524" priority="128">
      <formula>B$9&gt;=20/24</formula>
    </cfRule>
    <cfRule type="expression" dxfId="7523" priority="129">
      <formula>AND(B$9&gt;=14/24,B$9&lt;20/24)</formula>
    </cfRule>
    <cfRule type="expression" dxfId="7522" priority="130">
      <formula>AND(B$9&gt;=8/24,B$9&lt;14/24)</formula>
    </cfRule>
    <cfRule type="expression" dxfId="7521" priority="131">
      <formula>B$9&lt;8/24</formula>
    </cfRule>
  </conditionalFormatting>
  <conditionalFormatting sqref="N96:Q96">
    <cfRule type="expression" dxfId="7520" priority="124">
      <formula>N$9&gt;=20/24</formula>
    </cfRule>
    <cfRule type="expression" dxfId="7519" priority="125">
      <formula>AND(N$9&gt;=14/24,N$9&lt;20/24)</formula>
    </cfRule>
    <cfRule type="expression" dxfId="7518" priority="126">
      <formula>AND(N$9&gt;=8/24,N$9&lt;14/24)</formula>
    </cfRule>
    <cfRule type="expression" dxfId="7517" priority="127">
      <formula>N$9&lt;8/24</formula>
    </cfRule>
  </conditionalFormatting>
  <conditionalFormatting sqref="R96:S96">
    <cfRule type="expression" dxfId="7516" priority="120">
      <formula>R$9&gt;=20/24</formula>
    </cfRule>
    <cfRule type="expression" dxfId="7515" priority="121">
      <formula>AND(R$9&gt;=14/24,R$9&lt;20/24)</formula>
    </cfRule>
    <cfRule type="expression" dxfId="7514" priority="122">
      <formula>AND(R$9&gt;=8/24,R$9&lt;14/24)</formula>
    </cfRule>
    <cfRule type="expression" dxfId="7513" priority="123">
      <formula>R$9&lt;8/24</formula>
    </cfRule>
  </conditionalFormatting>
  <conditionalFormatting sqref="F92:M92">
    <cfRule type="expression" dxfId="7512" priority="112">
      <formula>F$9&gt;=20/24</formula>
    </cfRule>
    <cfRule type="expression" dxfId="7511" priority="113">
      <formula>AND(F$9&gt;=14/24,F$9&lt;20/24)</formula>
    </cfRule>
    <cfRule type="expression" dxfId="7510" priority="114">
      <formula>AND(F$9&gt;=8/24,F$9&lt;14/24)</formula>
    </cfRule>
    <cfRule type="expression" dxfId="7509" priority="115">
      <formula>F$9&lt;8/24</formula>
    </cfRule>
  </conditionalFormatting>
  <conditionalFormatting sqref="T92:V92">
    <cfRule type="expression" dxfId="7508" priority="108">
      <formula>T$9&gt;=20/24</formula>
    </cfRule>
    <cfRule type="expression" dxfId="7507" priority="109">
      <formula>AND(T$9&gt;=14/24,T$9&lt;20/24)</formula>
    </cfRule>
    <cfRule type="expression" dxfId="7506" priority="110">
      <formula>AND(T$9&gt;=8/24,T$9&lt;14/24)</formula>
    </cfRule>
    <cfRule type="expression" dxfId="7505" priority="111">
      <formula>T$9&lt;8/24</formula>
    </cfRule>
  </conditionalFormatting>
  <conditionalFormatting sqref="N92:S92">
    <cfRule type="expression" dxfId="7504" priority="104">
      <formula>N$9&gt;=20/24</formula>
    </cfRule>
    <cfRule type="expression" dxfId="7503" priority="105">
      <formula>AND(N$9&gt;=14/24,N$9&lt;20/24)</formula>
    </cfRule>
    <cfRule type="expression" dxfId="7502" priority="106">
      <formula>AND(N$9&gt;=8/24,N$9&lt;14/24)</formula>
    </cfRule>
    <cfRule type="expression" dxfId="7501" priority="107">
      <formula>N$9&lt;8/24</formula>
    </cfRule>
  </conditionalFormatting>
  <conditionalFormatting sqref="AA97:AF97">
    <cfRule type="expression" dxfId="7500" priority="100">
      <formula>AA$9&gt;=20/24</formula>
    </cfRule>
    <cfRule type="expression" dxfId="7499" priority="101">
      <formula>AND(AA$9&gt;=14/24,AA$9&lt;20/24)</formula>
    </cfRule>
    <cfRule type="expression" dxfId="7498" priority="102">
      <formula>AND(AA$9&gt;=8/24,AA$9&lt;14/24)</formula>
    </cfRule>
    <cfRule type="expression" dxfId="7497" priority="103">
      <formula>AA$9&lt;8/24</formula>
    </cfRule>
  </conditionalFormatting>
  <conditionalFormatting sqref="T97:Z97">
    <cfRule type="expression" dxfId="7496" priority="96">
      <formula>T$9&gt;=20/24</formula>
    </cfRule>
    <cfRule type="expression" dxfId="7495" priority="97">
      <formula>AND(T$9&gt;=14/24,T$9&lt;20/24)</formula>
    </cfRule>
    <cfRule type="expression" dxfId="7494" priority="98">
      <formula>AND(T$9&gt;=8/24,T$9&lt;14/24)</formula>
    </cfRule>
    <cfRule type="expression" dxfId="7493" priority="99">
      <formula>T$9&lt;8/24</formula>
    </cfRule>
  </conditionalFormatting>
  <conditionalFormatting sqref="A97">
    <cfRule type="expression" dxfId="7492" priority="95">
      <formula>$AH97=0</formula>
    </cfRule>
  </conditionalFormatting>
  <conditionalFormatting sqref="B97:M97">
    <cfRule type="expression" dxfId="7491" priority="91">
      <formula>B$9&gt;=20/24</formula>
    </cfRule>
    <cfRule type="expression" dxfId="7490" priority="92">
      <formula>AND(B$9&gt;=14/24,B$9&lt;20/24)</formula>
    </cfRule>
    <cfRule type="expression" dxfId="7489" priority="93">
      <formula>AND(B$9&gt;=8/24,B$9&lt;14/24)</formula>
    </cfRule>
    <cfRule type="expression" dxfId="7488" priority="94">
      <formula>B$9&lt;8/24</formula>
    </cfRule>
  </conditionalFormatting>
  <conditionalFormatting sqref="N97:Q97">
    <cfRule type="expression" dxfId="7487" priority="87">
      <formula>N$9&gt;=20/24</formula>
    </cfRule>
    <cfRule type="expression" dxfId="7486" priority="88">
      <formula>AND(N$9&gt;=14/24,N$9&lt;20/24)</formula>
    </cfRule>
    <cfRule type="expression" dxfId="7485" priority="89">
      <formula>AND(N$9&gt;=8/24,N$9&lt;14/24)</formula>
    </cfRule>
    <cfRule type="expression" dxfId="7484" priority="90">
      <formula>N$9&lt;8/24</formula>
    </cfRule>
  </conditionalFormatting>
  <conditionalFormatting sqref="R97:S97">
    <cfRule type="expression" dxfId="7483" priority="83">
      <formula>R$9&gt;=20/24</formula>
    </cfRule>
    <cfRule type="expression" dxfId="7482" priority="84">
      <formula>AND(R$9&gt;=14/24,R$9&lt;20/24)</formula>
    </cfRule>
    <cfRule type="expression" dxfId="7481" priority="85">
      <formula>AND(R$9&gt;=8/24,R$9&lt;14/24)</formula>
    </cfRule>
    <cfRule type="expression" dxfId="7480" priority="86">
      <formula>R$9&lt;8/24</formula>
    </cfRule>
  </conditionalFormatting>
  <conditionalFormatting sqref="T12:AF15">
    <cfRule type="expression" dxfId="7479" priority="79">
      <formula>T$9&gt;=20/24</formula>
    </cfRule>
    <cfRule type="expression" dxfId="7478" priority="80">
      <formula>AND(T$9&gt;=14/24,T$9&lt;20/24)</formula>
    </cfRule>
    <cfRule type="expression" dxfId="7477" priority="81">
      <formula>AND(T$9&gt;=8/24,T$9&lt;14/24)</formula>
    </cfRule>
    <cfRule type="expression" dxfId="7476" priority="82">
      <formula>T$9&lt;8/24</formula>
    </cfRule>
  </conditionalFormatting>
  <conditionalFormatting sqref="W16:AF16">
    <cfRule type="expression" dxfId="7475" priority="75">
      <formula>W$9&gt;=20/24</formula>
    </cfRule>
    <cfRule type="expression" dxfId="7474" priority="76">
      <formula>AND(W$9&gt;=14/24,W$9&lt;20/24)</formula>
    </cfRule>
    <cfRule type="expression" dxfId="7473" priority="77">
      <formula>AND(W$9&gt;=8/24,W$9&lt;14/24)</formula>
    </cfRule>
    <cfRule type="expression" dxfId="7472" priority="78">
      <formula>W$9&lt;8/24</formula>
    </cfRule>
  </conditionalFormatting>
  <conditionalFormatting sqref="T12:AF12">
    <cfRule type="expression" dxfId="7471" priority="71">
      <formula>T$9&gt;=20/24</formula>
    </cfRule>
    <cfRule type="expression" dxfId="7470" priority="72">
      <formula>AND(T$9&gt;=14/24,T$9&lt;20/24)</formula>
    </cfRule>
    <cfRule type="expression" dxfId="7469" priority="73">
      <formula>AND(T$9&gt;=8/24,T$9&lt;14/24)</formula>
    </cfRule>
    <cfRule type="expression" dxfId="7468" priority="74">
      <formula>T$9&lt;8/24</formula>
    </cfRule>
  </conditionalFormatting>
  <conditionalFormatting sqref="AA56:AD57">
    <cfRule type="expression" dxfId="7467" priority="67">
      <formula>AA$9&gt;=20/24</formula>
    </cfRule>
    <cfRule type="expression" dxfId="7466" priority="68">
      <formula>AND(AA$9&gt;=14/24,AA$9&lt;20/24)</formula>
    </cfRule>
    <cfRule type="expression" dxfId="7465" priority="69">
      <formula>AND(AA$9&gt;=8/24,AA$9&lt;14/24)</formula>
    </cfRule>
    <cfRule type="expression" dxfId="7464" priority="70">
      <formula>AA$9&lt;8/24</formula>
    </cfRule>
  </conditionalFormatting>
  <conditionalFormatting sqref="L11:M35">
    <cfRule type="expression" dxfId="7463" priority="63">
      <formula>L$9&gt;=20/24</formula>
    </cfRule>
    <cfRule type="expression" dxfId="7462" priority="64">
      <formula>AND(L$9&gt;=14/24,L$9&lt;20/24)</formula>
    </cfRule>
    <cfRule type="expression" dxfId="7461" priority="65">
      <formula>AND(L$9&gt;=8/24,L$9&lt;14/24)</formula>
    </cfRule>
    <cfRule type="expression" dxfId="7460" priority="66">
      <formula>L$9&lt;8/24</formula>
    </cfRule>
  </conditionalFormatting>
  <conditionalFormatting sqref="L11:M35">
    <cfRule type="expression" dxfId="7459" priority="62">
      <formula>L11&gt;$AG11</formula>
    </cfRule>
  </conditionalFormatting>
  <conditionalFormatting sqref="L37:M43 L45:M48">
    <cfRule type="expression" dxfId="7458" priority="58">
      <formula>L$9&gt;=20/24</formula>
    </cfRule>
    <cfRule type="expression" dxfId="7457" priority="59">
      <formula>AND(L$9&gt;=14/24,L$9&lt;20/24)</formula>
    </cfRule>
    <cfRule type="expression" dxfId="7456" priority="60">
      <formula>AND(L$9&gt;=8/24,L$9&lt;14/24)</formula>
    </cfRule>
    <cfRule type="expression" dxfId="7455" priority="61">
      <formula>L$9&lt;8/24</formula>
    </cfRule>
  </conditionalFormatting>
  <conditionalFormatting sqref="L37:M43 L45:M48">
    <cfRule type="expression" dxfId="7454" priority="57">
      <formula>L37&gt;$AG37</formula>
    </cfRule>
  </conditionalFormatting>
  <conditionalFormatting sqref="N20:O34">
    <cfRule type="expression" dxfId="7453" priority="53">
      <formula>N$9&gt;=20/24</formula>
    </cfRule>
    <cfRule type="expression" dxfId="7452" priority="54">
      <formula>AND(N$9&gt;=14/24,N$9&lt;20/24)</formula>
    </cfRule>
    <cfRule type="expression" dxfId="7451" priority="55">
      <formula>AND(N$9&gt;=8/24,N$9&lt;14/24)</formula>
    </cfRule>
    <cfRule type="expression" dxfId="7450" priority="56">
      <formula>N$9&lt;8/24</formula>
    </cfRule>
  </conditionalFormatting>
  <conditionalFormatting sqref="N20:O34">
    <cfRule type="expression" dxfId="7449" priority="52">
      <formula>N20&gt;$AG20</formula>
    </cfRule>
  </conditionalFormatting>
  <conditionalFormatting sqref="N45:P48 R44:AF44">
    <cfRule type="expression" dxfId="7448" priority="48">
      <formula>N$9&gt;=20/24</formula>
    </cfRule>
    <cfRule type="expression" dxfId="7447" priority="49">
      <formula>AND(N$9&gt;=14/24,N$9&lt;20/24)</formula>
    </cfRule>
    <cfRule type="expression" dxfId="7446" priority="50">
      <formula>AND(N$9&gt;=8/24,N$9&lt;14/24)</formula>
    </cfRule>
    <cfRule type="expression" dxfId="7445" priority="51">
      <formula>N$9&lt;8/24</formula>
    </cfRule>
  </conditionalFormatting>
  <conditionalFormatting sqref="N45:P48 R44:AF44">
    <cfRule type="expression" dxfId="7444" priority="47">
      <formula>N44&gt;$AG44</formula>
    </cfRule>
  </conditionalFormatting>
  <conditionalFormatting sqref="R15:R31 R12:R13">
    <cfRule type="expression" dxfId="7443" priority="43">
      <formula>R$9&gt;=20/24</formula>
    </cfRule>
    <cfRule type="expression" dxfId="7442" priority="44">
      <formula>AND(R$9&gt;=14/24,R$9&lt;20/24)</formula>
    </cfRule>
    <cfRule type="expression" dxfId="7441" priority="45">
      <formula>AND(R$9&gt;=8/24,R$9&lt;14/24)</formula>
    </cfRule>
    <cfRule type="expression" dxfId="7440" priority="46">
      <formula>R$9&lt;8/24</formula>
    </cfRule>
  </conditionalFormatting>
  <conditionalFormatting sqref="R33">
    <cfRule type="expression" dxfId="7439" priority="39">
      <formula>R$9&gt;=20/24</formula>
    </cfRule>
    <cfRule type="expression" dxfId="7438" priority="40">
      <formula>AND(R$9&gt;=14/24,R$9&lt;20/24)</formula>
    </cfRule>
    <cfRule type="expression" dxfId="7437" priority="41">
      <formula>AND(R$9&gt;=8/24,R$9&lt;14/24)</formula>
    </cfRule>
    <cfRule type="expression" dxfId="7436" priority="42">
      <formula>R$9&lt;8/24</formula>
    </cfRule>
  </conditionalFormatting>
  <conditionalFormatting sqref="R12:R13 R15:R31 R33:R34">
    <cfRule type="expression" dxfId="7435" priority="38">
      <formula>R12&gt;$AG12</formula>
    </cfRule>
  </conditionalFormatting>
  <conditionalFormatting sqref="R34">
    <cfRule type="expression" dxfId="7434" priority="34">
      <formula>R$9&gt;=20/24</formula>
    </cfRule>
    <cfRule type="expression" dxfId="7433" priority="35">
      <formula>AND(R$9&gt;=14/24,R$9&lt;20/24)</formula>
    </cfRule>
    <cfRule type="expression" dxfId="7432" priority="36">
      <formula>AND(R$9&gt;=8/24,R$9&lt;14/24)</formula>
    </cfRule>
    <cfRule type="expression" dxfId="7431" priority="37">
      <formula>R$9&lt;8/24</formula>
    </cfRule>
  </conditionalFormatting>
  <conditionalFormatting sqref="R32">
    <cfRule type="expression" dxfId="7430" priority="30">
      <formula>R$9&gt;=20/24</formula>
    </cfRule>
    <cfRule type="expression" dxfId="7429" priority="31">
      <formula>AND(R$9&gt;=14/24,R$9&lt;20/24)</formula>
    </cfRule>
    <cfRule type="expression" dxfId="7428" priority="32">
      <formula>AND(R$9&gt;=8/24,R$9&lt;14/24)</formula>
    </cfRule>
    <cfRule type="expression" dxfId="7427" priority="33">
      <formula>R$9&lt;8/24</formula>
    </cfRule>
  </conditionalFormatting>
  <conditionalFormatting sqref="R32">
    <cfRule type="expression" dxfId="7426" priority="29">
      <formula>R32&gt;$AG32</formula>
    </cfRule>
  </conditionalFormatting>
  <conditionalFormatting sqref="R14">
    <cfRule type="expression" dxfId="7425" priority="25">
      <formula>R$9&gt;=20/24</formula>
    </cfRule>
    <cfRule type="expression" dxfId="7424" priority="26">
      <formula>AND(R$9&gt;=14/24,R$9&lt;20/24)</formula>
    </cfRule>
    <cfRule type="expression" dxfId="7423" priority="27">
      <formula>AND(R$9&gt;=8/24,R$9&lt;14/24)</formula>
    </cfRule>
    <cfRule type="expression" dxfId="7422" priority="28">
      <formula>R$9&lt;8/24</formula>
    </cfRule>
  </conditionalFormatting>
  <conditionalFormatting sqref="R14">
    <cfRule type="expression" dxfId="7421" priority="24">
      <formula>R14&gt;$AG14</formula>
    </cfRule>
  </conditionalFormatting>
  <conditionalFormatting sqref="S15:S31 S12:S13 T16:U24 V16 V18:V24 T26:V31">
    <cfRule type="expression" dxfId="7420" priority="20">
      <formula>S$9&gt;=20/24</formula>
    </cfRule>
    <cfRule type="expression" dxfId="7419" priority="21">
      <formula>AND(S$9&gt;=14/24,S$9&lt;20/24)</formula>
    </cfRule>
    <cfRule type="expression" dxfId="7418" priority="22">
      <formula>AND(S$9&gt;=8/24,S$9&lt;14/24)</formula>
    </cfRule>
    <cfRule type="expression" dxfId="7417" priority="23">
      <formula>S$9&lt;8/24</formula>
    </cfRule>
  </conditionalFormatting>
  <conditionalFormatting sqref="S33:V33">
    <cfRule type="expression" dxfId="7416" priority="16">
      <formula>S$9&gt;=20/24</formula>
    </cfRule>
    <cfRule type="expression" dxfId="7415" priority="17">
      <formula>AND(S$9&gt;=14/24,S$9&lt;20/24)</formula>
    </cfRule>
    <cfRule type="expression" dxfId="7414" priority="18">
      <formula>AND(S$9&gt;=8/24,S$9&lt;14/24)</formula>
    </cfRule>
    <cfRule type="expression" dxfId="7413" priority="19">
      <formula>S$9&lt;8/24</formula>
    </cfRule>
  </conditionalFormatting>
  <conditionalFormatting sqref="S12:S13 S15:S31 T16:U24 V16 V18:V24 T26:V31 S33:V34">
    <cfRule type="expression" dxfId="7412" priority="15">
      <formula>S12&gt;$AG12</formula>
    </cfRule>
  </conditionalFormatting>
  <conditionalFormatting sqref="S34:V34">
    <cfRule type="expression" dxfId="7411" priority="11">
      <formula>S$9&gt;=20/24</formula>
    </cfRule>
    <cfRule type="expression" dxfId="7410" priority="12">
      <formula>AND(S$9&gt;=14/24,S$9&lt;20/24)</formula>
    </cfRule>
    <cfRule type="expression" dxfId="7409" priority="13">
      <formula>AND(S$9&gt;=8/24,S$9&lt;14/24)</formula>
    </cfRule>
    <cfRule type="expression" dxfId="7408" priority="14">
      <formula>S$9&lt;8/24</formula>
    </cfRule>
  </conditionalFormatting>
  <conditionalFormatting sqref="S32:V32">
    <cfRule type="expression" dxfId="7407" priority="7">
      <formula>S$9&gt;=20/24</formula>
    </cfRule>
    <cfRule type="expression" dxfId="7406" priority="8">
      <formula>AND(S$9&gt;=14/24,S$9&lt;20/24)</formula>
    </cfRule>
    <cfRule type="expression" dxfId="7405" priority="9">
      <formula>AND(S$9&gt;=8/24,S$9&lt;14/24)</formula>
    </cfRule>
    <cfRule type="expression" dxfId="7404" priority="10">
      <formula>S$9&lt;8/24</formula>
    </cfRule>
  </conditionalFormatting>
  <conditionalFormatting sqref="S32:V32">
    <cfRule type="expression" dxfId="7403" priority="6">
      <formula>S32&gt;$AG32</formula>
    </cfRule>
  </conditionalFormatting>
  <conditionalFormatting sqref="S14">
    <cfRule type="expression" dxfId="7402" priority="2">
      <formula>S$9&gt;=20/24</formula>
    </cfRule>
    <cfRule type="expression" dxfId="7401" priority="3">
      <formula>AND(S$9&gt;=14/24,S$9&lt;20/24)</formula>
    </cfRule>
    <cfRule type="expression" dxfId="7400" priority="4">
      <formula>AND(S$9&gt;=8/24,S$9&lt;14/24)</formula>
    </cfRule>
    <cfRule type="expression" dxfId="7399" priority="5">
      <formula>S$9&lt;8/24</formula>
    </cfRule>
  </conditionalFormatting>
  <conditionalFormatting sqref="S14">
    <cfRule type="expression" dxfId="7398" priority="1">
      <formula>S14&gt;$AG14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J7" sqref="J7:T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2078/07/11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</v>
      </c>
      <c r="C5" s="32">
        <f t="shared" ref="C5:AF5" si="0">C66</f>
        <v>-25</v>
      </c>
      <c r="D5" s="32">
        <f t="shared" si="0"/>
        <v>-10</v>
      </c>
      <c r="E5" s="32">
        <f t="shared" si="0"/>
        <v>0</v>
      </c>
      <c r="F5" s="32">
        <f t="shared" si="0"/>
        <v>0</v>
      </c>
      <c r="G5" s="32">
        <f t="shared" si="0"/>
        <v>-6</v>
      </c>
      <c r="H5" s="32">
        <f t="shared" si="0"/>
        <v>-4</v>
      </c>
      <c r="I5" s="32">
        <f t="shared" si="0"/>
        <v>-5</v>
      </c>
      <c r="J5" s="32">
        <f t="shared" si="0"/>
        <v>-8</v>
      </c>
      <c r="K5" s="32">
        <f t="shared" si="0"/>
        <v>0</v>
      </c>
      <c r="L5" s="32">
        <f t="shared" si="0"/>
        <v>-22.3</v>
      </c>
      <c r="M5" s="32">
        <f t="shared" si="0"/>
        <v>-28.7</v>
      </c>
      <c r="N5" s="32">
        <f t="shared" si="0"/>
        <v>1</v>
      </c>
      <c r="O5" s="32">
        <f t="shared" si="0"/>
        <v>-10.7</v>
      </c>
      <c r="P5" s="32">
        <f t="shared" si="0"/>
        <v>-32.299999999999997</v>
      </c>
      <c r="Q5" s="32">
        <f t="shared" si="0"/>
        <v>-16.100000000000001</v>
      </c>
      <c r="R5" s="32">
        <f t="shared" si="0"/>
        <v>-13.6</v>
      </c>
      <c r="S5" s="32">
        <f t="shared" si="0"/>
        <v>-26.6</v>
      </c>
      <c r="T5" s="32">
        <f t="shared" si="0"/>
        <v>-2.1</v>
      </c>
      <c r="U5" s="32">
        <f t="shared" si="0"/>
        <v>-10.9</v>
      </c>
      <c r="V5" s="32">
        <f t="shared" si="0"/>
        <v>2.8</v>
      </c>
      <c r="W5" s="32">
        <f t="shared" si="0"/>
        <v>-30</v>
      </c>
      <c r="X5" s="32">
        <f t="shared" si="0"/>
        <v>-27.6</v>
      </c>
      <c r="Y5" s="32">
        <f t="shared" si="0"/>
        <v>4.9000000000000004</v>
      </c>
      <c r="Z5" s="32">
        <f t="shared" si="0"/>
        <v>-10</v>
      </c>
      <c r="AA5" s="32">
        <f t="shared" si="0"/>
        <v>-40</v>
      </c>
      <c r="AB5" s="32">
        <f t="shared" si="0"/>
        <v>7.8</v>
      </c>
      <c r="AC5" s="32">
        <f t="shared" si="0"/>
        <v>1.5</v>
      </c>
      <c r="AD5" s="32">
        <f t="shared" si="0"/>
        <v>-40</v>
      </c>
      <c r="AE5" s="32">
        <f t="shared" si="0"/>
        <v>-11</v>
      </c>
      <c r="AF5" s="32">
        <f t="shared" si="0"/>
        <v>-16.899999999999999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1133MW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Load=803</v>
      </c>
      <c r="B7" s="37">
        <f t="shared" ref="B7:AF7" si="1">B73</f>
        <v>831.6400000000001</v>
      </c>
      <c r="C7" s="37">
        <f t="shared" si="1"/>
        <v>803.44</v>
      </c>
      <c r="D7" s="37">
        <f t="shared" si="1"/>
        <v>806.44</v>
      </c>
      <c r="E7" s="37">
        <f t="shared" si="1"/>
        <v>816.44</v>
      </c>
      <c r="F7" s="37">
        <f t="shared" si="1"/>
        <v>872.6400000000001</v>
      </c>
      <c r="G7" s="37">
        <f t="shared" si="1"/>
        <v>908.6400000000001</v>
      </c>
      <c r="H7" s="37">
        <f t="shared" si="1"/>
        <v>939.04000000000008</v>
      </c>
      <c r="I7" s="37">
        <f t="shared" si="1"/>
        <v>1026.94</v>
      </c>
      <c r="J7" s="37">
        <f t="shared" si="1"/>
        <v>1073.94</v>
      </c>
      <c r="K7" s="37">
        <f t="shared" si="1"/>
        <v>1116.94</v>
      </c>
      <c r="L7" s="37">
        <f>L73</f>
        <v>1133.1399999999999</v>
      </c>
      <c r="M7" s="37">
        <f t="shared" si="1"/>
        <v>1098.54</v>
      </c>
      <c r="N7" s="37">
        <f t="shared" si="1"/>
        <v>1108.24</v>
      </c>
      <c r="O7" s="37">
        <f t="shared" si="1"/>
        <v>1096.54</v>
      </c>
      <c r="P7" s="37">
        <f t="shared" si="1"/>
        <v>1057.24</v>
      </c>
      <c r="Q7" s="37">
        <f t="shared" si="1"/>
        <v>1047.04</v>
      </c>
      <c r="R7" s="37">
        <f t="shared" si="1"/>
        <v>1060.74</v>
      </c>
      <c r="S7" s="37">
        <f t="shared" si="1"/>
        <v>1098.6400000000001</v>
      </c>
      <c r="T7" s="37">
        <f t="shared" si="1"/>
        <v>1111.04</v>
      </c>
      <c r="U7" s="37">
        <f t="shared" si="1"/>
        <v>1116.1399999999999</v>
      </c>
      <c r="V7" s="37">
        <f t="shared" si="1"/>
        <v>1274.74</v>
      </c>
      <c r="W7" s="37">
        <f t="shared" si="1"/>
        <v>1390.04</v>
      </c>
      <c r="X7" s="37">
        <f t="shared" si="1"/>
        <v>1317.3400000000001</v>
      </c>
      <c r="Y7" s="37">
        <f t="shared" si="1"/>
        <v>1283.74</v>
      </c>
      <c r="Z7" s="37">
        <f t="shared" si="1"/>
        <v>1246.8400000000001</v>
      </c>
      <c r="AA7" s="37">
        <f t="shared" si="1"/>
        <v>1125.94</v>
      </c>
      <c r="AB7" s="37">
        <f t="shared" si="1"/>
        <v>1128.54</v>
      </c>
      <c r="AC7" s="37">
        <f t="shared" si="1"/>
        <v>1044.04</v>
      </c>
      <c r="AD7" s="37">
        <f t="shared" si="1"/>
        <v>901.84000000000015</v>
      </c>
      <c r="AE7" s="37">
        <f t="shared" si="1"/>
        <v>840.1400000000001</v>
      </c>
      <c r="AF7" s="37">
        <f t="shared" si="1"/>
        <v>838.24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0</v>
      </c>
      <c r="C11" s="54">
        <v>70</v>
      </c>
      <c r="D11" s="54">
        <v>70</v>
      </c>
      <c r="E11" s="54">
        <v>70</v>
      </c>
      <c r="F11" s="54">
        <v>70</v>
      </c>
      <c r="G11" s="54">
        <v>100</v>
      </c>
      <c r="H11" s="54">
        <v>100</v>
      </c>
      <c r="I11" s="49">
        <v>140</v>
      </c>
      <c r="J11" s="49">
        <v>150</v>
      </c>
      <c r="K11" s="49">
        <v>185</v>
      </c>
      <c r="L11" s="50">
        <v>220</v>
      </c>
      <c r="M11" s="50">
        <v>200</v>
      </c>
      <c r="N11" s="50">
        <v>180</v>
      </c>
      <c r="O11" s="50">
        <v>180</v>
      </c>
      <c r="P11" s="50">
        <v>135</v>
      </c>
      <c r="Q11" s="50">
        <v>125</v>
      </c>
      <c r="R11" s="52">
        <v>142</v>
      </c>
      <c r="S11" s="52">
        <v>194</v>
      </c>
      <c r="T11" s="52">
        <v>208</v>
      </c>
      <c r="U11" s="52">
        <v>202</v>
      </c>
      <c r="V11" s="52">
        <v>307</v>
      </c>
      <c r="W11" s="52">
        <v>362</v>
      </c>
      <c r="X11" s="52">
        <v>306</v>
      </c>
      <c r="Y11" s="52">
        <v>282</v>
      </c>
      <c r="Z11" s="52">
        <v>260</v>
      </c>
      <c r="AA11" s="52">
        <v>200</v>
      </c>
      <c r="AB11" s="52">
        <v>154.80000000000001</v>
      </c>
      <c r="AC11" s="54">
        <v>129.6</v>
      </c>
      <c r="AD11" s="54">
        <v>118.9</v>
      </c>
      <c r="AE11" s="49">
        <v>75</v>
      </c>
      <c r="AF11" s="49">
        <v>75</v>
      </c>
      <c r="AG11" s="55">
        <v>456</v>
      </c>
      <c r="AH11" s="56">
        <f>MAX(B11:AF11)</f>
        <v>362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60">
        <v>40</v>
      </c>
      <c r="H12" s="60">
        <v>40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50">
        <v>40</v>
      </c>
      <c r="AD12" s="50">
        <v>40</v>
      </c>
      <c r="AE12" s="49">
        <v>40</v>
      </c>
      <c r="AF12" s="49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62">
        <v>25.6</v>
      </c>
      <c r="C13" s="62">
        <v>25.6</v>
      </c>
      <c r="D13" s="62">
        <v>25.6</v>
      </c>
      <c r="E13" s="62">
        <v>25.6</v>
      </c>
      <c r="F13" s="62">
        <v>25.6</v>
      </c>
      <c r="G13" s="62">
        <v>25.6</v>
      </c>
      <c r="H13" s="62">
        <v>25.6</v>
      </c>
      <c r="I13" s="62">
        <v>25.6</v>
      </c>
      <c r="J13" s="62">
        <v>25.6</v>
      </c>
      <c r="K13" s="62">
        <v>25.6</v>
      </c>
      <c r="L13" s="50">
        <v>25.5</v>
      </c>
      <c r="M13" s="50">
        <v>25.5</v>
      </c>
      <c r="N13" s="50">
        <v>25.5</v>
      </c>
      <c r="O13" s="50">
        <v>25.5</v>
      </c>
      <c r="P13" s="50">
        <v>25.3</v>
      </c>
      <c r="Q13" s="50">
        <v>25.3</v>
      </c>
      <c r="R13" s="50">
        <v>25.3</v>
      </c>
      <c r="S13" s="50">
        <v>25.3</v>
      </c>
      <c r="T13" s="50">
        <v>25.3</v>
      </c>
      <c r="U13" s="50">
        <v>25.3</v>
      </c>
      <c r="V13" s="50">
        <v>25.3</v>
      </c>
      <c r="W13" s="62">
        <v>25.3</v>
      </c>
      <c r="X13" s="62">
        <v>25.3</v>
      </c>
      <c r="Y13" s="62">
        <v>25.3</v>
      </c>
      <c r="Z13" s="62">
        <v>25.3</v>
      </c>
      <c r="AA13" s="62">
        <v>25.3</v>
      </c>
      <c r="AB13" s="62">
        <v>25.3</v>
      </c>
      <c r="AC13" s="50">
        <v>25.4</v>
      </c>
      <c r="AD13" s="50">
        <v>25.4</v>
      </c>
      <c r="AE13" s="49">
        <v>25.5</v>
      </c>
      <c r="AF13" s="49">
        <v>25.5</v>
      </c>
      <c r="AG13" s="61">
        <v>52.4</v>
      </c>
      <c r="AH13" s="56">
        <f t="shared" si="2"/>
        <v>25.6</v>
      </c>
      <c r="AI13" s="57">
        <f t="shared" si="3"/>
        <v>25.3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2">
        <v>36</v>
      </c>
      <c r="C14" s="62">
        <v>36</v>
      </c>
      <c r="D14" s="62">
        <v>36</v>
      </c>
      <c r="E14" s="62">
        <v>36</v>
      </c>
      <c r="F14" s="62">
        <v>36</v>
      </c>
      <c r="G14" s="62">
        <v>36</v>
      </c>
      <c r="H14" s="62">
        <v>36</v>
      </c>
      <c r="I14" s="62">
        <v>36</v>
      </c>
      <c r="J14" s="62">
        <v>36</v>
      </c>
      <c r="K14" s="62">
        <v>36</v>
      </c>
      <c r="L14" s="50">
        <v>45.9</v>
      </c>
      <c r="M14" s="50">
        <v>37.799999999999997</v>
      </c>
      <c r="N14" s="50">
        <v>37.799999999999997</v>
      </c>
      <c r="O14" s="50">
        <v>37.799999999999997</v>
      </c>
      <c r="P14" s="50">
        <v>37.799999999999997</v>
      </c>
      <c r="Q14" s="50">
        <v>37.799999999999997</v>
      </c>
      <c r="R14" s="50">
        <v>37.799999999999997</v>
      </c>
      <c r="S14" s="50">
        <v>37.799999999999997</v>
      </c>
      <c r="T14" s="50">
        <v>37.799999999999997</v>
      </c>
      <c r="U14" s="50">
        <v>37.799999999999997</v>
      </c>
      <c r="V14" s="50">
        <v>45</v>
      </c>
      <c r="W14" s="62">
        <v>45</v>
      </c>
      <c r="X14" s="62">
        <v>45</v>
      </c>
      <c r="Y14" s="62">
        <v>45</v>
      </c>
      <c r="Z14" s="62">
        <v>45</v>
      </c>
      <c r="AA14" s="62">
        <v>45</v>
      </c>
      <c r="AB14" s="62">
        <v>45</v>
      </c>
      <c r="AC14" s="50">
        <v>41.7</v>
      </c>
      <c r="AD14" s="50">
        <v>41.7</v>
      </c>
      <c r="AE14" s="63">
        <v>36.9</v>
      </c>
      <c r="AF14" s="63">
        <v>36.9</v>
      </c>
      <c r="AG14" s="64">
        <v>45</v>
      </c>
      <c r="AH14" s="56">
        <f t="shared" si="2"/>
        <v>45.9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65">
        <v>23</v>
      </c>
      <c r="C15" s="65">
        <v>23</v>
      </c>
      <c r="D15" s="65">
        <v>23</v>
      </c>
      <c r="E15" s="65">
        <v>23</v>
      </c>
      <c r="F15" s="65">
        <v>23</v>
      </c>
      <c r="G15" s="65">
        <v>23</v>
      </c>
      <c r="H15" s="65">
        <v>23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65">
        <v>26</v>
      </c>
      <c r="X15" s="65">
        <v>26</v>
      </c>
      <c r="Y15" s="65">
        <v>26</v>
      </c>
      <c r="Z15" s="65">
        <v>26</v>
      </c>
      <c r="AA15" s="65">
        <v>26</v>
      </c>
      <c r="AB15" s="65">
        <v>26</v>
      </c>
      <c r="AC15" s="50">
        <v>23</v>
      </c>
      <c r="AD15" s="50">
        <v>23</v>
      </c>
      <c r="AE15" s="49">
        <v>23</v>
      </c>
      <c r="AF15" s="49">
        <v>23</v>
      </c>
      <c r="AG15" s="61">
        <v>45</v>
      </c>
      <c r="AH15" s="56">
        <f t="shared" si="2"/>
        <v>26</v>
      </c>
      <c r="AI15" s="57">
        <f t="shared" si="3"/>
        <v>23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62">
        <v>22</v>
      </c>
      <c r="C16" s="62">
        <v>22</v>
      </c>
      <c r="D16" s="62">
        <v>22</v>
      </c>
      <c r="E16" s="62">
        <v>22</v>
      </c>
      <c r="F16" s="62">
        <v>22</v>
      </c>
      <c r="G16" s="62">
        <v>22</v>
      </c>
      <c r="H16" s="62">
        <v>22</v>
      </c>
      <c r="I16" s="62">
        <v>22</v>
      </c>
      <c r="J16" s="62">
        <v>22</v>
      </c>
      <c r="K16" s="62">
        <v>22</v>
      </c>
      <c r="L16" s="50">
        <v>22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50">
        <v>25</v>
      </c>
      <c r="AD16" s="50">
        <v>25</v>
      </c>
      <c r="AE16" s="49">
        <v>25</v>
      </c>
      <c r="AF16" s="49">
        <v>25</v>
      </c>
      <c r="AG16" s="61">
        <v>42</v>
      </c>
      <c r="AH16" s="56">
        <f t="shared" si="2"/>
        <v>25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50">
        <v>25</v>
      </c>
      <c r="C17" s="50">
        <v>25</v>
      </c>
      <c r="D17" s="50">
        <v>25</v>
      </c>
      <c r="E17" s="50">
        <v>25</v>
      </c>
      <c r="F17" s="50">
        <v>25</v>
      </c>
      <c r="G17" s="50">
        <v>25</v>
      </c>
      <c r="H17" s="50">
        <v>25</v>
      </c>
      <c r="I17" s="50">
        <v>25</v>
      </c>
      <c r="J17" s="50">
        <v>25</v>
      </c>
      <c r="K17" s="50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20</v>
      </c>
      <c r="AF17" s="49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50">
        <v>22</v>
      </c>
      <c r="C18" s="50">
        <v>22</v>
      </c>
      <c r="D18" s="50">
        <v>22</v>
      </c>
      <c r="E18" s="50">
        <v>22</v>
      </c>
      <c r="F18" s="50">
        <v>22</v>
      </c>
      <c r="G18" s="50">
        <v>22</v>
      </c>
      <c r="H18" s="50">
        <v>22</v>
      </c>
      <c r="I18" s="50">
        <v>22</v>
      </c>
      <c r="J18" s="50">
        <v>22</v>
      </c>
      <c r="K18" s="50">
        <v>22</v>
      </c>
      <c r="L18" s="50">
        <v>22.5</v>
      </c>
      <c r="M18" s="50">
        <v>22.9</v>
      </c>
      <c r="N18" s="50">
        <v>22.9</v>
      </c>
      <c r="O18" s="50">
        <v>22.9</v>
      </c>
      <c r="P18" s="50">
        <v>22.9</v>
      </c>
      <c r="Q18" s="50">
        <v>22.9</v>
      </c>
      <c r="R18" s="50">
        <v>22.9</v>
      </c>
      <c r="S18" s="50">
        <v>22.9</v>
      </c>
      <c r="T18" s="50">
        <v>22.9</v>
      </c>
      <c r="U18" s="50">
        <v>22.9</v>
      </c>
      <c r="V18" s="50">
        <v>22.9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23.8</v>
      </c>
      <c r="AD18" s="50">
        <v>23.8</v>
      </c>
      <c r="AE18" s="50">
        <v>23.8</v>
      </c>
      <c r="AF18" s="50">
        <v>23.8</v>
      </c>
      <c r="AG18" s="61">
        <v>30</v>
      </c>
      <c r="AH18" s="56">
        <f t="shared" si="2"/>
        <v>25</v>
      </c>
      <c r="AI18" s="57">
        <f t="shared" si="3"/>
        <v>22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50">
        <v>6.2</v>
      </c>
      <c r="C19" s="50">
        <v>6.2</v>
      </c>
      <c r="D19" s="50">
        <v>6.2</v>
      </c>
      <c r="E19" s="50">
        <v>6.2</v>
      </c>
      <c r="F19" s="50">
        <v>6.2</v>
      </c>
      <c r="G19" s="50">
        <v>6.2</v>
      </c>
      <c r="H19" s="50">
        <v>6.2</v>
      </c>
      <c r="I19" s="50">
        <v>6.2</v>
      </c>
      <c r="J19" s="50">
        <v>6.2</v>
      </c>
      <c r="K19" s="50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50">
        <v>11</v>
      </c>
      <c r="C20" s="50">
        <v>11</v>
      </c>
      <c r="D20" s="50">
        <v>11</v>
      </c>
      <c r="E20" s="50">
        <v>11</v>
      </c>
      <c r="F20" s="50">
        <v>11</v>
      </c>
      <c r="G20" s="50">
        <v>11</v>
      </c>
      <c r="H20" s="50">
        <v>11</v>
      </c>
      <c r="I20" s="50">
        <v>11</v>
      </c>
      <c r="J20" s="50">
        <v>11</v>
      </c>
      <c r="K20" s="50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50">
        <v>22.1</v>
      </c>
      <c r="C21" s="50">
        <v>22.1</v>
      </c>
      <c r="D21" s="50">
        <v>22.1</v>
      </c>
      <c r="E21" s="50">
        <v>22.1</v>
      </c>
      <c r="F21" s="50">
        <v>22.1</v>
      </c>
      <c r="G21" s="50">
        <v>22.1</v>
      </c>
      <c r="H21" s="50">
        <v>22.1</v>
      </c>
      <c r="I21" s="50">
        <v>22.1</v>
      </c>
      <c r="J21" s="50">
        <v>22.1</v>
      </c>
      <c r="K21" s="50">
        <v>22.1</v>
      </c>
      <c r="L21" s="50">
        <v>22.1</v>
      </c>
      <c r="M21" s="50">
        <v>22.1</v>
      </c>
      <c r="N21" s="50">
        <v>22.1</v>
      </c>
      <c r="O21" s="50">
        <v>22.1</v>
      </c>
      <c r="P21" s="50">
        <v>22.1</v>
      </c>
      <c r="Q21" s="50">
        <v>22.1</v>
      </c>
      <c r="R21" s="50">
        <v>22.1</v>
      </c>
      <c r="S21" s="50">
        <v>22.1</v>
      </c>
      <c r="T21" s="50">
        <v>11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25</v>
      </c>
      <c r="AH21" s="56">
        <f t="shared" si="2"/>
        <v>22.1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50">
        <v>22.1</v>
      </c>
      <c r="C22" s="50">
        <v>22.1</v>
      </c>
      <c r="D22" s="50">
        <v>22.1</v>
      </c>
      <c r="E22" s="50">
        <v>22.1</v>
      </c>
      <c r="F22" s="50">
        <v>22.1</v>
      </c>
      <c r="G22" s="50">
        <v>22.1</v>
      </c>
      <c r="H22" s="50">
        <v>22.1</v>
      </c>
      <c r="I22" s="50">
        <v>22.1</v>
      </c>
      <c r="J22" s="50">
        <v>22.1</v>
      </c>
      <c r="K22" s="50">
        <v>22.1</v>
      </c>
      <c r="L22" s="50">
        <v>22.1</v>
      </c>
      <c r="M22" s="50">
        <v>22.1</v>
      </c>
      <c r="N22" s="50">
        <v>22.1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1">
        <v>25</v>
      </c>
      <c r="AH22" s="56">
        <f t="shared" si="2"/>
        <v>22.1</v>
      </c>
      <c r="AI22" s="57">
        <f t="shared" si="3"/>
        <v>22.1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50">
        <v>19</v>
      </c>
      <c r="C23" s="50">
        <v>19</v>
      </c>
      <c r="D23" s="50">
        <v>19</v>
      </c>
      <c r="E23" s="50">
        <v>19</v>
      </c>
      <c r="F23" s="50">
        <v>19</v>
      </c>
      <c r="G23" s="50">
        <v>19</v>
      </c>
      <c r="H23" s="50">
        <v>19</v>
      </c>
      <c r="I23" s="50">
        <v>19</v>
      </c>
      <c r="J23" s="50">
        <v>19</v>
      </c>
      <c r="K23" s="50">
        <v>19</v>
      </c>
      <c r="L23" s="50">
        <v>20</v>
      </c>
      <c r="M23" s="50">
        <v>20</v>
      </c>
      <c r="N23" s="50">
        <v>20</v>
      </c>
      <c r="O23" s="50">
        <v>20</v>
      </c>
      <c r="P23" s="50">
        <v>20</v>
      </c>
      <c r="Q23" s="50">
        <v>20</v>
      </c>
      <c r="R23" s="50">
        <v>20</v>
      </c>
      <c r="S23" s="50">
        <v>20</v>
      </c>
      <c r="T23" s="50">
        <v>20</v>
      </c>
      <c r="U23" s="50">
        <v>20</v>
      </c>
      <c r="V23" s="50">
        <v>20</v>
      </c>
      <c r="W23" s="50">
        <v>20</v>
      </c>
      <c r="X23" s="50">
        <v>20</v>
      </c>
      <c r="Y23" s="50">
        <v>20</v>
      </c>
      <c r="Z23" s="50">
        <v>20</v>
      </c>
      <c r="AA23" s="50">
        <v>20</v>
      </c>
      <c r="AB23" s="50">
        <v>20</v>
      </c>
      <c r="AC23" s="50">
        <v>17</v>
      </c>
      <c r="AD23" s="50">
        <v>17</v>
      </c>
      <c r="AE23" s="50">
        <v>17</v>
      </c>
      <c r="AF23" s="50">
        <v>17</v>
      </c>
      <c r="AG23" s="61">
        <v>25</v>
      </c>
      <c r="AH23" s="56">
        <f t="shared" si="2"/>
        <v>20</v>
      </c>
      <c r="AI23" s="57">
        <f t="shared" si="3"/>
        <v>17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50">
        <v>18</v>
      </c>
      <c r="C24" s="50">
        <v>18</v>
      </c>
      <c r="D24" s="50">
        <v>18</v>
      </c>
      <c r="E24" s="50">
        <v>18</v>
      </c>
      <c r="F24" s="50">
        <v>18</v>
      </c>
      <c r="G24" s="50">
        <v>18</v>
      </c>
      <c r="H24" s="50">
        <v>18</v>
      </c>
      <c r="I24" s="50">
        <v>18</v>
      </c>
      <c r="J24" s="50">
        <v>18</v>
      </c>
      <c r="K24" s="50">
        <v>18</v>
      </c>
      <c r="L24" s="50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18</v>
      </c>
      <c r="T24" s="50">
        <v>18</v>
      </c>
      <c r="U24" s="50">
        <v>18</v>
      </c>
      <c r="V24" s="50">
        <v>18</v>
      </c>
      <c r="W24" s="50">
        <v>18</v>
      </c>
      <c r="X24" s="50">
        <v>18</v>
      </c>
      <c r="Y24" s="50">
        <v>18</v>
      </c>
      <c r="Z24" s="50">
        <v>18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50">
        <v>4</v>
      </c>
      <c r="C25" s="50">
        <v>4</v>
      </c>
      <c r="D25" s="50">
        <v>4</v>
      </c>
      <c r="E25" s="50">
        <v>4</v>
      </c>
      <c r="F25" s="50">
        <v>4</v>
      </c>
      <c r="G25" s="50">
        <v>4</v>
      </c>
      <c r="H25" s="50">
        <v>4</v>
      </c>
      <c r="I25" s="50">
        <v>4</v>
      </c>
      <c r="J25" s="50">
        <v>4</v>
      </c>
      <c r="K25" s="50">
        <v>4</v>
      </c>
      <c r="L25" s="50">
        <v>4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4</v>
      </c>
      <c r="S25" s="50">
        <v>4</v>
      </c>
      <c r="T25" s="50">
        <v>4</v>
      </c>
      <c r="U25" s="50">
        <v>4</v>
      </c>
      <c r="V25" s="50">
        <v>4</v>
      </c>
      <c r="W25" s="50">
        <v>4</v>
      </c>
      <c r="X25" s="50">
        <v>4</v>
      </c>
      <c r="Y25" s="50">
        <v>4</v>
      </c>
      <c r="Z25" s="50">
        <v>4</v>
      </c>
      <c r="AA25" s="50">
        <v>6.9</v>
      </c>
      <c r="AB25" s="50">
        <v>6.9</v>
      </c>
      <c r="AC25" s="50">
        <v>6.9</v>
      </c>
      <c r="AD25" s="50">
        <v>6.9</v>
      </c>
      <c r="AE25" s="49">
        <v>4</v>
      </c>
      <c r="AF25" s="49">
        <v>4</v>
      </c>
      <c r="AG25" s="61">
        <v>20</v>
      </c>
      <c r="AH25" s="56">
        <f>MAX(B25:AF25)</f>
        <v>6.9</v>
      </c>
      <c r="AI25" s="57">
        <f>MIN(B25:AF25)</f>
        <v>4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50">
        <v>15</v>
      </c>
      <c r="C26" s="50">
        <v>15</v>
      </c>
      <c r="D26" s="50">
        <v>15</v>
      </c>
      <c r="E26" s="50">
        <v>15</v>
      </c>
      <c r="F26" s="50">
        <v>15</v>
      </c>
      <c r="G26" s="50">
        <v>15</v>
      </c>
      <c r="H26" s="50">
        <v>15</v>
      </c>
      <c r="I26" s="50">
        <v>15</v>
      </c>
      <c r="J26" s="50">
        <v>15</v>
      </c>
      <c r="K26" s="50">
        <v>15</v>
      </c>
      <c r="L26" s="50">
        <v>15</v>
      </c>
      <c r="M26" s="50">
        <v>15</v>
      </c>
      <c r="N26" s="50">
        <v>15</v>
      </c>
      <c r="O26" s="50">
        <v>15</v>
      </c>
      <c r="P26" s="50">
        <v>15</v>
      </c>
      <c r="Q26" s="50">
        <v>15</v>
      </c>
      <c r="R26" s="50">
        <v>15</v>
      </c>
      <c r="S26" s="50">
        <v>15</v>
      </c>
      <c r="T26" s="50">
        <v>0</v>
      </c>
      <c r="U26" s="50">
        <v>0</v>
      </c>
      <c r="V26" s="50">
        <v>0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49">
        <v>14</v>
      </c>
      <c r="AD26" s="49">
        <v>14</v>
      </c>
      <c r="AE26" s="49">
        <v>14</v>
      </c>
      <c r="AF26" s="49">
        <v>14</v>
      </c>
      <c r="AG26" s="61">
        <v>23.5</v>
      </c>
      <c r="AH26" s="56">
        <f t="shared" si="2"/>
        <v>15</v>
      </c>
      <c r="AI26" s="57">
        <f t="shared" si="3"/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50">
        <v>6.8</v>
      </c>
      <c r="C27" s="50">
        <v>6.8</v>
      </c>
      <c r="D27" s="50">
        <v>6.8</v>
      </c>
      <c r="E27" s="50">
        <v>6.8</v>
      </c>
      <c r="F27" s="50">
        <v>6.8</v>
      </c>
      <c r="G27" s="50">
        <v>6.8</v>
      </c>
      <c r="H27" s="50">
        <v>6.8</v>
      </c>
      <c r="I27" s="50">
        <v>6.8</v>
      </c>
      <c r="J27" s="50">
        <v>6.8</v>
      </c>
      <c r="K27" s="50">
        <v>6.8</v>
      </c>
      <c r="L27" s="50">
        <v>6.8</v>
      </c>
      <c r="M27" s="50">
        <v>6.8</v>
      </c>
      <c r="N27" s="50">
        <v>6.8</v>
      </c>
      <c r="O27" s="50">
        <v>6.8</v>
      </c>
      <c r="P27" s="50">
        <v>6.8</v>
      </c>
      <c r="Q27" s="50">
        <v>6.8</v>
      </c>
      <c r="R27" s="50">
        <v>6.8</v>
      </c>
      <c r="S27" s="50">
        <v>6.8</v>
      </c>
      <c r="T27" s="50">
        <v>6.8</v>
      </c>
      <c r="U27" s="50">
        <v>6.8</v>
      </c>
      <c r="V27" s="50">
        <v>6.8</v>
      </c>
      <c r="W27" s="50">
        <v>6.8</v>
      </c>
      <c r="X27" s="50">
        <v>6.8</v>
      </c>
      <c r="Y27" s="50">
        <v>6.8</v>
      </c>
      <c r="Z27" s="50">
        <v>6.8</v>
      </c>
      <c r="AA27" s="50">
        <v>6.8</v>
      </c>
      <c r="AB27" s="50">
        <v>6.8</v>
      </c>
      <c r="AC27" s="50">
        <v>6.8</v>
      </c>
      <c r="AD27" s="50">
        <v>6.8</v>
      </c>
      <c r="AE27" s="50">
        <v>6.8</v>
      </c>
      <c r="AF27" s="50">
        <v>6.8</v>
      </c>
      <c r="AG27" s="61">
        <v>22.2</v>
      </c>
      <c r="AH27" s="56">
        <f t="shared" si="2"/>
        <v>6.8</v>
      </c>
      <c r="AI27" s="57">
        <f t="shared" si="3"/>
        <v>6.8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50">
        <v>12</v>
      </c>
      <c r="C29" s="50">
        <v>12</v>
      </c>
      <c r="D29" s="50">
        <v>12</v>
      </c>
      <c r="E29" s="50">
        <v>12</v>
      </c>
      <c r="F29" s="50">
        <v>12</v>
      </c>
      <c r="G29" s="50">
        <v>12</v>
      </c>
      <c r="H29" s="50">
        <v>12</v>
      </c>
      <c r="I29" s="50">
        <v>12</v>
      </c>
      <c r="J29" s="50">
        <v>12</v>
      </c>
      <c r="K29" s="50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50">
        <v>12</v>
      </c>
      <c r="C30" s="50">
        <v>12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4">
        <v>22</v>
      </c>
      <c r="AH30" s="56">
        <f t="shared" si="2"/>
        <v>12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50">
        <v>7.9</v>
      </c>
      <c r="C32" s="50">
        <v>7.9</v>
      </c>
      <c r="D32" s="50">
        <v>7.9</v>
      </c>
      <c r="E32" s="50">
        <v>7.9</v>
      </c>
      <c r="F32" s="50">
        <v>7.9</v>
      </c>
      <c r="G32" s="50">
        <v>7.9</v>
      </c>
      <c r="H32" s="50">
        <v>7.9</v>
      </c>
      <c r="I32" s="50">
        <v>7.9</v>
      </c>
      <c r="J32" s="50">
        <v>7.9</v>
      </c>
      <c r="K32" s="50">
        <v>7.9</v>
      </c>
      <c r="L32" s="50">
        <v>7.9</v>
      </c>
      <c r="M32" s="50">
        <v>7.9</v>
      </c>
      <c r="N32" s="50">
        <v>7.9</v>
      </c>
      <c r="O32" s="50">
        <v>7.9</v>
      </c>
      <c r="P32" s="50">
        <v>7.9</v>
      </c>
      <c r="Q32" s="50">
        <v>7.9</v>
      </c>
      <c r="R32" s="50">
        <v>7.9</v>
      </c>
      <c r="S32" s="50">
        <v>7.9</v>
      </c>
      <c r="T32" s="50">
        <v>7.9</v>
      </c>
      <c r="U32" s="50">
        <v>7.9</v>
      </c>
      <c r="V32" s="50">
        <v>7.9</v>
      </c>
      <c r="W32" s="50">
        <v>7.9</v>
      </c>
      <c r="X32" s="50">
        <v>7.9</v>
      </c>
      <c r="Y32" s="50">
        <v>7.9</v>
      </c>
      <c r="Z32" s="50">
        <v>7.9</v>
      </c>
      <c r="AA32" s="50">
        <v>7.9</v>
      </c>
      <c r="AB32" s="50">
        <v>7.9</v>
      </c>
      <c r="AC32" s="50">
        <v>7.9</v>
      </c>
      <c r="AD32" s="50">
        <v>7.9</v>
      </c>
      <c r="AE32" s="50">
        <v>7.9</v>
      </c>
      <c r="AF32" s="50">
        <v>7.9</v>
      </c>
      <c r="AG32" s="69">
        <v>20</v>
      </c>
      <c r="AH32" s="56">
        <f t="shared" si="2"/>
        <v>7.9</v>
      </c>
      <c r="AI32" s="57">
        <f t="shared" si="3"/>
        <v>7.9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200</v>
      </c>
      <c r="F34" s="63">
        <v>200</v>
      </c>
      <c r="G34" s="63">
        <v>200</v>
      </c>
      <c r="H34" s="63">
        <v>200</v>
      </c>
      <c r="I34" s="63">
        <v>200</v>
      </c>
      <c r="J34" s="63">
        <v>200</v>
      </c>
      <c r="K34" s="63">
        <v>200</v>
      </c>
      <c r="L34" s="63">
        <v>200</v>
      </c>
      <c r="M34" s="63">
        <v>200</v>
      </c>
      <c r="N34" s="63">
        <v>200</v>
      </c>
      <c r="O34" s="63">
        <v>200</v>
      </c>
      <c r="P34" s="63">
        <v>200</v>
      </c>
      <c r="Q34" s="63">
        <v>200</v>
      </c>
      <c r="R34" s="63">
        <v>200</v>
      </c>
      <c r="S34" s="63">
        <v>200</v>
      </c>
      <c r="T34" s="63">
        <v>200</v>
      </c>
      <c r="U34" s="63">
        <v>200</v>
      </c>
      <c r="V34" s="63">
        <v>200</v>
      </c>
      <c r="W34" s="63">
        <v>200</v>
      </c>
      <c r="X34" s="63">
        <v>200</v>
      </c>
      <c r="Y34" s="63">
        <v>200</v>
      </c>
      <c r="Z34" s="63">
        <v>200</v>
      </c>
      <c r="AA34" s="63">
        <v>200</v>
      </c>
      <c r="AB34" s="63">
        <v>200</v>
      </c>
      <c r="AC34" s="63">
        <v>200</v>
      </c>
      <c r="AD34" s="63">
        <v>200</v>
      </c>
      <c r="AE34" s="63">
        <v>200</v>
      </c>
      <c r="AF34" s="63">
        <v>200</v>
      </c>
      <c r="AG34" s="69">
        <v>85</v>
      </c>
      <c r="AH34" s="56">
        <f t="shared" si="2"/>
        <v>200</v>
      </c>
      <c r="AI34" s="57">
        <f t="shared" si="3"/>
        <v>200</v>
      </c>
      <c r="AK34" s="58"/>
    </row>
    <row r="35" spans="1:88" ht="15.75" thickBot="1" x14ac:dyDescent="0.3">
      <c r="A35" s="71" t="s">
        <v>43</v>
      </c>
      <c r="B35" s="72">
        <f>75.6+72.5</f>
        <v>148.1</v>
      </c>
      <c r="C35" s="72">
        <f>75.7+73.9</f>
        <v>149.60000000000002</v>
      </c>
      <c r="D35" s="72">
        <f>75+50</f>
        <v>125</v>
      </c>
      <c r="E35" s="72">
        <f>75+50</f>
        <v>125</v>
      </c>
      <c r="F35" s="63">
        <f>75+57</f>
        <v>132</v>
      </c>
      <c r="G35" s="63">
        <f>75+57</f>
        <v>132</v>
      </c>
      <c r="H35" s="63">
        <f>75+57</f>
        <v>132</v>
      </c>
      <c r="I35" s="63" t="s">
        <v>240</v>
      </c>
      <c r="J35" s="63" t="s">
        <v>240</v>
      </c>
      <c r="K35" s="63" t="s">
        <v>240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>
        <v>158</v>
      </c>
      <c r="X35" s="72">
        <v>158</v>
      </c>
      <c r="Y35" s="72">
        <v>158</v>
      </c>
      <c r="Z35" s="72">
        <v>158</v>
      </c>
      <c r="AA35" s="72">
        <v>158</v>
      </c>
      <c r="AB35" s="72"/>
      <c r="AC35" s="72"/>
      <c r="AD35" s="72"/>
      <c r="AE35" s="63"/>
      <c r="AF35" s="63"/>
      <c r="AG35" s="69">
        <v>240</v>
      </c>
      <c r="AH35" s="56">
        <f t="shared" si="2"/>
        <v>158</v>
      </c>
      <c r="AI35" s="57">
        <f t="shared" si="3"/>
        <v>125</v>
      </c>
      <c r="AK35" s="58"/>
    </row>
    <row r="36" spans="1:88" ht="15.75" thickBot="1" x14ac:dyDescent="0.3">
      <c r="A36" s="73" t="s">
        <v>44</v>
      </c>
      <c r="B36" s="74">
        <f>SUM(B11:B34)</f>
        <v>549.70000000000005</v>
      </c>
      <c r="C36" s="74">
        <f t="shared" ref="C36:AF36" si="4">SUM(C11:C34)</f>
        <v>619.70000000000005</v>
      </c>
      <c r="D36" s="74">
        <f t="shared" si="4"/>
        <v>607.70000000000005</v>
      </c>
      <c r="E36" s="74">
        <f t="shared" si="4"/>
        <v>607.70000000000005</v>
      </c>
      <c r="F36" s="74">
        <f t="shared" si="4"/>
        <v>607.70000000000005</v>
      </c>
      <c r="G36" s="74">
        <f t="shared" si="4"/>
        <v>637.70000000000005</v>
      </c>
      <c r="H36" s="74">
        <f t="shared" si="4"/>
        <v>637.70000000000005</v>
      </c>
      <c r="I36" s="74">
        <f t="shared" si="4"/>
        <v>700.7</v>
      </c>
      <c r="J36" s="74">
        <f t="shared" si="4"/>
        <v>710.7</v>
      </c>
      <c r="K36" s="74">
        <f t="shared" si="4"/>
        <v>745.69999999999993</v>
      </c>
      <c r="L36" s="74">
        <f t="shared" si="4"/>
        <v>791.99999999999989</v>
      </c>
      <c r="M36" s="74">
        <f t="shared" si="4"/>
        <v>767.3</v>
      </c>
      <c r="N36" s="74">
        <f t="shared" si="4"/>
        <v>747.3</v>
      </c>
      <c r="O36" s="74">
        <f t="shared" si="4"/>
        <v>747.3</v>
      </c>
      <c r="P36" s="74">
        <f t="shared" si="4"/>
        <v>702.1</v>
      </c>
      <c r="Q36" s="74">
        <f t="shared" si="4"/>
        <v>692.1</v>
      </c>
      <c r="R36" s="74">
        <f t="shared" si="4"/>
        <v>709.1</v>
      </c>
      <c r="S36" s="74">
        <f t="shared" si="4"/>
        <v>761.1</v>
      </c>
      <c r="T36" s="74">
        <f t="shared" si="4"/>
        <v>748.99999999999989</v>
      </c>
      <c r="U36" s="74">
        <f t="shared" si="4"/>
        <v>753.99999999999989</v>
      </c>
      <c r="V36" s="74">
        <f t="shared" si="4"/>
        <v>866.19999999999993</v>
      </c>
      <c r="W36" s="74">
        <f t="shared" si="4"/>
        <v>937.3</v>
      </c>
      <c r="X36" s="74">
        <f t="shared" si="4"/>
        <v>881.3</v>
      </c>
      <c r="Y36" s="74">
        <f t="shared" si="4"/>
        <v>857.3</v>
      </c>
      <c r="Z36" s="74">
        <f t="shared" si="4"/>
        <v>835.3</v>
      </c>
      <c r="AA36" s="74">
        <f t="shared" si="4"/>
        <v>782.19999999999993</v>
      </c>
      <c r="AB36" s="74">
        <f t="shared" si="4"/>
        <v>737</v>
      </c>
      <c r="AC36" s="74">
        <f t="shared" si="4"/>
        <v>681.4</v>
      </c>
      <c r="AD36" s="74">
        <f t="shared" si="4"/>
        <v>670.7</v>
      </c>
      <c r="AE36" s="74">
        <f t="shared" si="4"/>
        <v>614.20000000000005</v>
      </c>
      <c r="AF36" s="74">
        <f t="shared" si="4"/>
        <v>614.20000000000005</v>
      </c>
      <c r="AG36" s="69">
        <f>SUM(AG11:AG35)</f>
        <v>1431.83</v>
      </c>
      <c r="AH36" s="56">
        <f t="shared" si="2"/>
        <v>937.3</v>
      </c>
      <c r="AI36" s="57">
        <f t="shared" si="3"/>
        <v>549.70000000000005</v>
      </c>
      <c r="AK36" s="58"/>
    </row>
    <row r="37" spans="1:88" x14ac:dyDescent="0.25">
      <c r="A37" s="59" t="s">
        <v>45</v>
      </c>
      <c r="B37" s="49">
        <v>97</v>
      </c>
      <c r="C37" s="63">
        <v>60.2</v>
      </c>
      <c r="D37" s="63">
        <v>60.2</v>
      </c>
      <c r="E37" s="63">
        <v>60.2</v>
      </c>
      <c r="F37" s="63">
        <v>96</v>
      </c>
      <c r="G37" s="63">
        <v>108</v>
      </c>
      <c r="H37" s="63">
        <v>127</v>
      </c>
      <c r="I37" s="63">
        <v>137</v>
      </c>
      <c r="J37" s="63">
        <v>145</v>
      </c>
      <c r="K37" s="63">
        <v>145</v>
      </c>
      <c r="L37" s="50">
        <v>143.30000000000001</v>
      </c>
      <c r="M37" s="50">
        <v>137.5</v>
      </c>
      <c r="N37" s="50">
        <v>137.5</v>
      </c>
      <c r="O37" s="50">
        <v>137.5</v>
      </c>
      <c r="P37" s="50">
        <v>145.1</v>
      </c>
      <c r="Q37" s="50">
        <v>136.6</v>
      </c>
      <c r="R37" s="50">
        <v>136.6</v>
      </c>
      <c r="S37" s="50">
        <v>135.5</v>
      </c>
      <c r="T37" s="50">
        <v>135.5</v>
      </c>
      <c r="U37" s="50">
        <v>134.80000000000001</v>
      </c>
      <c r="V37" s="50">
        <v>145</v>
      </c>
      <c r="W37" s="50">
        <v>145.5</v>
      </c>
      <c r="X37" s="50">
        <v>145.5</v>
      </c>
      <c r="Y37" s="50">
        <v>145.5</v>
      </c>
      <c r="Z37" s="50">
        <v>145.5</v>
      </c>
      <c r="AA37" s="50">
        <v>145.5</v>
      </c>
      <c r="AB37" s="50">
        <v>145.5</v>
      </c>
      <c r="AC37" s="50">
        <v>132.19999999999999</v>
      </c>
      <c r="AD37" s="50">
        <v>101.1</v>
      </c>
      <c r="AE37" s="49">
        <v>71</v>
      </c>
      <c r="AF37" s="49">
        <v>71</v>
      </c>
      <c r="AG37" s="64">
        <v>144</v>
      </c>
      <c r="AH37" s="56">
        <f t="shared" si="2"/>
        <v>145.5</v>
      </c>
      <c r="AI37" s="57">
        <f t="shared" si="3"/>
        <v>60.2</v>
      </c>
      <c r="AK37" s="58"/>
    </row>
    <row r="38" spans="1:88" x14ac:dyDescent="0.25">
      <c r="A38" s="68" t="s">
        <v>46</v>
      </c>
      <c r="B38" s="63">
        <v>35.6</v>
      </c>
      <c r="C38" s="63">
        <v>25.3</v>
      </c>
      <c r="D38" s="63">
        <v>25.3</v>
      </c>
      <c r="E38" s="63">
        <v>25.3</v>
      </c>
      <c r="F38" s="63">
        <v>35</v>
      </c>
      <c r="G38" s="63">
        <v>35</v>
      </c>
      <c r="H38" s="63">
        <v>35</v>
      </c>
      <c r="I38" s="63">
        <v>35</v>
      </c>
      <c r="J38" s="63">
        <v>35</v>
      </c>
      <c r="K38" s="63">
        <v>35</v>
      </c>
      <c r="L38" s="52">
        <v>30.6</v>
      </c>
      <c r="M38" s="52">
        <v>34.799999999999997</v>
      </c>
      <c r="N38" s="52">
        <v>34.799999999999997</v>
      </c>
      <c r="O38" s="52">
        <v>34.799999999999997</v>
      </c>
      <c r="P38" s="52">
        <v>35.700000000000003</v>
      </c>
      <c r="Q38" s="52">
        <v>35.700000000000003</v>
      </c>
      <c r="R38" s="52">
        <v>35.799999999999997</v>
      </c>
      <c r="S38" s="52">
        <v>35.799999999999997</v>
      </c>
      <c r="T38" s="52">
        <v>35.799999999999997</v>
      </c>
      <c r="U38" s="52">
        <v>35.799999999999997</v>
      </c>
      <c r="V38" s="52">
        <v>35.799999999999997</v>
      </c>
      <c r="W38" s="52">
        <v>35.799999999999997</v>
      </c>
      <c r="X38" s="52">
        <v>35.799999999999997</v>
      </c>
      <c r="Y38" s="52">
        <v>35.799999999999997</v>
      </c>
      <c r="Z38" s="52">
        <v>35.799999999999997</v>
      </c>
      <c r="AA38" s="52">
        <v>35.799999999999997</v>
      </c>
      <c r="AB38" s="52">
        <v>35.799999999999997</v>
      </c>
      <c r="AC38" s="52">
        <v>35.799999999999997</v>
      </c>
      <c r="AD38" s="52">
        <v>35.799999999999997</v>
      </c>
      <c r="AE38" s="63">
        <v>35.799999999999997</v>
      </c>
      <c r="AF38" s="63">
        <v>34.799999999999997</v>
      </c>
      <c r="AG38" s="69">
        <v>70</v>
      </c>
      <c r="AH38" s="56">
        <f t="shared" si="2"/>
        <v>35.799999999999997</v>
      </c>
      <c r="AI38" s="57">
        <f t="shared" si="3"/>
        <v>25.3</v>
      </c>
      <c r="AK38" s="58"/>
    </row>
    <row r="39" spans="1:88" x14ac:dyDescent="0.25">
      <c r="A39" s="68" t="s">
        <v>47</v>
      </c>
      <c r="B39" s="63">
        <v>46</v>
      </c>
      <c r="C39" s="63">
        <v>36.9</v>
      </c>
      <c r="D39" s="63">
        <v>36.9</v>
      </c>
      <c r="E39" s="63">
        <v>36.9</v>
      </c>
      <c r="F39" s="63">
        <v>47.6</v>
      </c>
      <c r="G39" s="63">
        <v>47.6</v>
      </c>
      <c r="H39" s="63">
        <v>57</v>
      </c>
      <c r="I39" s="63">
        <v>57</v>
      </c>
      <c r="J39" s="63">
        <v>69</v>
      </c>
      <c r="K39" s="63">
        <v>69</v>
      </c>
      <c r="L39" s="52">
        <v>64.2</v>
      </c>
      <c r="M39" s="52">
        <v>62.3</v>
      </c>
      <c r="N39" s="52">
        <v>62.3</v>
      </c>
      <c r="O39" s="52">
        <v>62.3</v>
      </c>
      <c r="P39" s="52">
        <v>70.3</v>
      </c>
      <c r="Q39" s="52">
        <v>62.4</v>
      </c>
      <c r="R39" s="52">
        <v>67.5</v>
      </c>
      <c r="S39" s="52">
        <v>67.5</v>
      </c>
      <c r="T39" s="52">
        <v>67.5</v>
      </c>
      <c r="U39" s="52">
        <v>67.5</v>
      </c>
      <c r="V39" s="52">
        <v>67.5</v>
      </c>
      <c r="W39" s="52">
        <v>67.5</v>
      </c>
      <c r="X39" s="52">
        <v>67.5</v>
      </c>
      <c r="Y39" s="52">
        <v>67.5</v>
      </c>
      <c r="Z39" s="52">
        <v>67.5</v>
      </c>
      <c r="AA39" s="52">
        <v>67.5</v>
      </c>
      <c r="AB39" s="52">
        <v>67.5</v>
      </c>
      <c r="AC39" s="52">
        <v>69.3</v>
      </c>
      <c r="AD39" s="52">
        <v>36.799999999999997</v>
      </c>
      <c r="AE39" s="63">
        <v>36.700000000000003</v>
      </c>
      <c r="AF39" s="63">
        <v>41.7</v>
      </c>
      <c r="AG39" s="69">
        <v>69</v>
      </c>
      <c r="AH39" s="56">
        <f t="shared" si="2"/>
        <v>70.3</v>
      </c>
      <c r="AI39" s="57">
        <f t="shared" si="3"/>
        <v>36.700000000000003</v>
      </c>
      <c r="AK39" s="58"/>
    </row>
    <row r="40" spans="1:88" x14ac:dyDescent="0.25">
      <c r="A40" s="68" t="s">
        <v>48</v>
      </c>
      <c r="B40" s="63">
        <v>30.2</v>
      </c>
      <c r="C40" s="63">
        <v>19.600000000000001</v>
      </c>
      <c r="D40" s="63">
        <v>19.600000000000001</v>
      </c>
      <c r="E40" s="63">
        <v>19.600000000000001</v>
      </c>
      <c r="F40" s="63">
        <v>19.600000000000001</v>
      </c>
      <c r="G40" s="63">
        <v>19.600000000000001</v>
      </c>
      <c r="H40" s="63">
        <v>19.600000000000001</v>
      </c>
      <c r="I40" s="63">
        <v>30</v>
      </c>
      <c r="J40" s="63">
        <v>50</v>
      </c>
      <c r="K40" s="63">
        <v>50</v>
      </c>
      <c r="L40" s="52">
        <v>50.4</v>
      </c>
      <c r="M40" s="52">
        <v>50.4</v>
      </c>
      <c r="N40" s="52">
        <v>50.4</v>
      </c>
      <c r="O40" s="52">
        <v>50.4</v>
      </c>
      <c r="P40" s="52">
        <v>61.4</v>
      </c>
      <c r="Q40" s="52">
        <v>61.4</v>
      </c>
      <c r="R40" s="52">
        <v>50.4</v>
      </c>
      <c r="S40" s="52">
        <v>50.4</v>
      </c>
      <c r="T40" s="52">
        <v>50.4</v>
      </c>
      <c r="U40" s="52">
        <v>60</v>
      </c>
      <c r="V40" s="52">
        <v>60</v>
      </c>
      <c r="W40" s="52">
        <v>60</v>
      </c>
      <c r="X40" s="52">
        <v>60</v>
      </c>
      <c r="Y40" s="52">
        <v>60</v>
      </c>
      <c r="Z40" s="52">
        <v>60</v>
      </c>
      <c r="AA40" s="52">
        <v>60</v>
      </c>
      <c r="AB40" s="52">
        <v>60</v>
      </c>
      <c r="AC40" s="52">
        <v>48.8</v>
      </c>
      <c r="AD40" s="52">
        <v>22.4</v>
      </c>
      <c r="AE40" s="63">
        <v>22.4</v>
      </c>
      <c r="AF40" s="63">
        <v>22.4</v>
      </c>
      <c r="AG40" s="69">
        <v>60</v>
      </c>
      <c r="AH40" s="56">
        <f t="shared" si="2"/>
        <v>61.4</v>
      </c>
      <c r="AI40" s="57">
        <f t="shared" si="3"/>
        <v>19.600000000000001</v>
      </c>
      <c r="AK40" s="58"/>
    </row>
    <row r="41" spans="1:88" x14ac:dyDescent="0.25">
      <c r="A41" s="68" t="s">
        <v>49</v>
      </c>
      <c r="B41" s="63">
        <v>14.9</v>
      </c>
      <c r="C41" s="63">
        <v>14.9</v>
      </c>
      <c r="D41" s="63">
        <v>14.9</v>
      </c>
      <c r="E41" s="63">
        <v>14.9</v>
      </c>
      <c r="F41" s="63">
        <v>14.9</v>
      </c>
      <c r="G41" s="63">
        <v>14.9</v>
      </c>
      <c r="H41" s="63">
        <v>14.9</v>
      </c>
      <c r="I41" s="63">
        <v>14.9</v>
      </c>
      <c r="J41" s="63">
        <v>14.9</v>
      </c>
      <c r="K41" s="63">
        <v>14.9</v>
      </c>
      <c r="L41" s="50">
        <v>14.9</v>
      </c>
      <c r="M41" s="50">
        <v>14.9</v>
      </c>
      <c r="N41" s="50">
        <v>14.9</v>
      </c>
      <c r="O41" s="50">
        <v>14.9</v>
      </c>
      <c r="P41" s="50">
        <v>15</v>
      </c>
      <c r="Q41" s="50">
        <v>15</v>
      </c>
      <c r="R41" s="50">
        <v>15</v>
      </c>
      <c r="S41" s="50">
        <v>15</v>
      </c>
      <c r="T41" s="50">
        <v>15</v>
      </c>
      <c r="U41" s="50">
        <v>15</v>
      </c>
      <c r="V41" s="50">
        <v>15</v>
      </c>
      <c r="W41" s="50">
        <v>15</v>
      </c>
      <c r="X41" s="50">
        <v>15</v>
      </c>
      <c r="Y41" s="50">
        <v>15</v>
      </c>
      <c r="Z41" s="50">
        <v>15</v>
      </c>
      <c r="AA41" s="50">
        <v>15</v>
      </c>
      <c r="AB41" s="50">
        <v>15</v>
      </c>
      <c r="AC41" s="52">
        <v>14.8</v>
      </c>
      <c r="AD41" s="52">
        <v>14.8</v>
      </c>
      <c r="AE41" s="63">
        <v>14.9</v>
      </c>
      <c r="AF41" s="63">
        <v>14.9</v>
      </c>
      <c r="AG41" s="69">
        <v>30</v>
      </c>
      <c r="AH41" s="56">
        <f t="shared" si="2"/>
        <v>15</v>
      </c>
      <c r="AI41" s="57">
        <f t="shared" si="3"/>
        <v>14.8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63">
        <v>17.899999999999999</v>
      </c>
      <c r="C43" s="75">
        <v>12.5</v>
      </c>
      <c r="D43" s="75">
        <v>12.5</v>
      </c>
      <c r="E43" s="75">
        <v>12.5</v>
      </c>
      <c r="F43" s="75">
        <v>12.5</v>
      </c>
      <c r="G43" s="75">
        <v>12.5</v>
      </c>
      <c r="H43" s="75">
        <v>12.5</v>
      </c>
      <c r="I43" s="75">
        <v>18</v>
      </c>
      <c r="J43" s="75">
        <v>18</v>
      </c>
      <c r="K43" s="75">
        <v>18</v>
      </c>
      <c r="L43" s="50">
        <v>17.7</v>
      </c>
      <c r="M43" s="50">
        <v>17.7</v>
      </c>
      <c r="N43" s="50">
        <v>17.7</v>
      </c>
      <c r="O43" s="50">
        <v>17.7</v>
      </c>
      <c r="P43" s="50">
        <v>17.600000000000001</v>
      </c>
      <c r="Q43" s="50">
        <v>17.600000000000001</v>
      </c>
      <c r="R43" s="50">
        <v>17.600000000000001</v>
      </c>
      <c r="S43" s="50">
        <v>17.600000000000001</v>
      </c>
      <c r="T43" s="50">
        <v>17.600000000000001</v>
      </c>
      <c r="U43" s="50">
        <v>17.600000000000001</v>
      </c>
      <c r="V43" s="50">
        <v>17.600000000000001</v>
      </c>
      <c r="W43" s="50">
        <v>17.600000000000001</v>
      </c>
      <c r="X43" s="50">
        <v>17.600000000000001</v>
      </c>
      <c r="Y43" s="50">
        <v>17.600000000000001</v>
      </c>
      <c r="Z43" s="50">
        <v>17.600000000000001</v>
      </c>
      <c r="AA43" s="50">
        <v>17.600000000000001</v>
      </c>
      <c r="AB43" s="50">
        <v>17.600000000000001</v>
      </c>
      <c r="AC43" s="50">
        <v>17.899999999999999</v>
      </c>
      <c r="AD43" s="50">
        <v>17.899999999999999</v>
      </c>
      <c r="AE43" s="63">
        <v>17.8</v>
      </c>
      <c r="AF43" s="63">
        <v>17.8</v>
      </c>
      <c r="AG43" s="69">
        <v>24</v>
      </c>
      <c r="AH43" s="56">
        <f t="shared" si="2"/>
        <v>18</v>
      </c>
      <c r="AI43" s="57">
        <f t="shared" si="3"/>
        <v>12.5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63">
        <v>0</v>
      </c>
      <c r="AF44" s="63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10</v>
      </c>
      <c r="D45" s="63">
        <v>10</v>
      </c>
      <c r="E45" s="63">
        <v>10</v>
      </c>
      <c r="F45" s="63">
        <v>10</v>
      </c>
      <c r="G45" s="63">
        <v>10</v>
      </c>
      <c r="H45" s="63">
        <v>10</v>
      </c>
      <c r="I45" s="63">
        <v>10</v>
      </c>
      <c r="J45" s="63">
        <v>10</v>
      </c>
      <c r="K45" s="63">
        <v>10</v>
      </c>
      <c r="L45" s="50">
        <v>10</v>
      </c>
      <c r="M45" s="50">
        <v>10</v>
      </c>
      <c r="N45" s="50">
        <v>10</v>
      </c>
      <c r="O45" s="50">
        <v>10</v>
      </c>
      <c r="P45" s="50">
        <v>10</v>
      </c>
      <c r="Q45" s="50">
        <v>10</v>
      </c>
      <c r="R45" s="50">
        <v>10</v>
      </c>
      <c r="S45" s="50">
        <v>10</v>
      </c>
      <c r="T45" s="50">
        <v>10</v>
      </c>
      <c r="U45" s="50">
        <v>10</v>
      </c>
      <c r="V45" s="50">
        <v>10</v>
      </c>
      <c r="W45" s="50">
        <v>10</v>
      </c>
      <c r="X45" s="50">
        <v>10</v>
      </c>
      <c r="Y45" s="50">
        <v>10</v>
      </c>
      <c r="Z45" s="50">
        <v>10</v>
      </c>
      <c r="AA45" s="50">
        <v>10</v>
      </c>
      <c r="AB45" s="50">
        <v>10</v>
      </c>
      <c r="AC45" s="50">
        <v>10</v>
      </c>
      <c r="AD45" s="50">
        <v>10</v>
      </c>
      <c r="AE45" s="63">
        <v>10</v>
      </c>
      <c r="AF45" s="63">
        <v>10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63">
        <v>10</v>
      </c>
      <c r="C46" s="75">
        <v>10</v>
      </c>
      <c r="D46" s="75">
        <v>10</v>
      </c>
      <c r="E46" s="75">
        <v>10</v>
      </c>
      <c r="F46" s="75">
        <v>10</v>
      </c>
      <c r="G46" s="75">
        <v>10</v>
      </c>
      <c r="H46" s="75">
        <v>10</v>
      </c>
      <c r="I46" s="75">
        <v>10</v>
      </c>
      <c r="J46" s="75">
        <v>10</v>
      </c>
      <c r="K46" s="75">
        <v>10</v>
      </c>
      <c r="L46" s="50">
        <v>13</v>
      </c>
      <c r="M46" s="50">
        <v>13</v>
      </c>
      <c r="N46" s="50">
        <v>13</v>
      </c>
      <c r="O46" s="50">
        <v>13</v>
      </c>
      <c r="P46" s="50">
        <v>13</v>
      </c>
      <c r="Q46" s="50">
        <v>13</v>
      </c>
      <c r="R46" s="50">
        <v>13</v>
      </c>
      <c r="S46" s="50">
        <v>13</v>
      </c>
      <c r="T46" s="50">
        <v>13</v>
      </c>
      <c r="U46" s="50">
        <v>13</v>
      </c>
      <c r="V46" s="50">
        <v>13</v>
      </c>
      <c r="W46" s="50">
        <v>13</v>
      </c>
      <c r="X46" s="50">
        <v>13</v>
      </c>
      <c r="Y46" s="50">
        <v>13</v>
      </c>
      <c r="Z46" s="50">
        <v>13</v>
      </c>
      <c r="AA46" s="50">
        <v>13</v>
      </c>
      <c r="AB46" s="50">
        <v>13</v>
      </c>
      <c r="AC46" s="50">
        <v>13</v>
      </c>
      <c r="AD46" s="50">
        <v>13</v>
      </c>
      <c r="AE46" s="63">
        <v>9</v>
      </c>
      <c r="AF46" s="63">
        <v>9</v>
      </c>
      <c r="AG46" s="69">
        <v>14</v>
      </c>
      <c r="AH46" s="56">
        <f t="shared" si="2"/>
        <v>13</v>
      </c>
      <c r="AI46" s="57">
        <f t="shared" si="3"/>
        <v>9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6.2</v>
      </c>
      <c r="C48" s="63">
        <v>6.2</v>
      </c>
      <c r="D48" s="63">
        <v>6.2</v>
      </c>
      <c r="E48" s="63">
        <v>6.2</v>
      </c>
      <c r="F48" s="63">
        <v>6.2</v>
      </c>
      <c r="G48" s="63">
        <v>6.2</v>
      </c>
      <c r="H48" s="63">
        <v>6.2</v>
      </c>
      <c r="I48" s="63">
        <v>6.2</v>
      </c>
      <c r="J48" s="63">
        <v>6.2</v>
      </c>
      <c r="K48" s="63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63">
        <v>6.2</v>
      </c>
      <c r="AF48" s="63">
        <v>6.2</v>
      </c>
      <c r="AG48" s="69">
        <v>6.2</v>
      </c>
      <c r="AH48" s="56">
        <f t="shared" si="2"/>
        <v>6.2</v>
      </c>
      <c r="AI48" s="57">
        <f t="shared" si="3"/>
        <v>6.2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>SUM(B37:B49)</f>
        <v>283.94000000000005</v>
      </c>
      <c r="C50" s="74">
        <f t="shared" ref="C50:AF50" si="6">SUM(C37:C49)</f>
        <v>208.73999999999998</v>
      </c>
      <c r="D50" s="74">
        <f t="shared" si="6"/>
        <v>208.73999999999998</v>
      </c>
      <c r="E50" s="74">
        <f t="shared" si="6"/>
        <v>208.73999999999998</v>
      </c>
      <c r="F50" s="74">
        <f t="shared" si="6"/>
        <v>264.94</v>
      </c>
      <c r="G50" s="74">
        <f t="shared" si="6"/>
        <v>276.94000000000005</v>
      </c>
      <c r="H50" s="74">
        <f t="shared" si="6"/>
        <v>305.34000000000003</v>
      </c>
      <c r="I50" s="74">
        <f t="shared" si="6"/>
        <v>331.24</v>
      </c>
      <c r="J50" s="74">
        <f t="shared" si="6"/>
        <v>371.24</v>
      </c>
      <c r="K50" s="74">
        <f t="shared" si="6"/>
        <v>371.24</v>
      </c>
      <c r="L50" s="74">
        <f t="shared" si="6"/>
        <v>363.44</v>
      </c>
      <c r="M50" s="74">
        <f t="shared" si="6"/>
        <v>359.94</v>
      </c>
      <c r="N50" s="74">
        <f t="shared" si="6"/>
        <v>359.94</v>
      </c>
      <c r="O50" s="74">
        <f t="shared" si="6"/>
        <v>359.94</v>
      </c>
      <c r="P50" s="74">
        <f t="shared" si="6"/>
        <v>387.44000000000005</v>
      </c>
      <c r="Q50" s="74">
        <f t="shared" si="6"/>
        <v>371.04000000000008</v>
      </c>
      <c r="R50" s="74">
        <f t="shared" si="6"/>
        <v>365.24</v>
      </c>
      <c r="S50" s="74">
        <f t="shared" si="6"/>
        <v>364.14000000000004</v>
      </c>
      <c r="T50" s="74">
        <f t="shared" si="6"/>
        <v>364.14000000000004</v>
      </c>
      <c r="U50" s="74">
        <f t="shared" si="6"/>
        <v>373.04000000000008</v>
      </c>
      <c r="V50" s="74">
        <f t="shared" si="6"/>
        <v>383.24000000000007</v>
      </c>
      <c r="W50" s="74">
        <f t="shared" si="6"/>
        <v>383.74000000000007</v>
      </c>
      <c r="X50" s="74">
        <f t="shared" si="6"/>
        <v>383.74000000000007</v>
      </c>
      <c r="Y50" s="74">
        <f t="shared" si="6"/>
        <v>383.74000000000007</v>
      </c>
      <c r="Z50" s="74">
        <f t="shared" si="6"/>
        <v>383.74000000000007</v>
      </c>
      <c r="AA50" s="74">
        <f t="shared" si="6"/>
        <v>383.74000000000007</v>
      </c>
      <c r="AB50" s="74">
        <f t="shared" si="6"/>
        <v>383.74000000000007</v>
      </c>
      <c r="AC50" s="74">
        <f t="shared" si="6"/>
        <v>361.14000000000004</v>
      </c>
      <c r="AD50" s="74">
        <f t="shared" si="6"/>
        <v>271.14000000000004</v>
      </c>
      <c r="AE50" s="74">
        <f t="shared" si="6"/>
        <v>236.94</v>
      </c>
      <c r="AF50" s="74">
        <f t="shared" si="6"/>
        <v>240.94</v>
      </c>
      <c r="AG50" s="79">
        <f>SUM(AG37:AG49)</f>
        <v>489.91</v>
      </c>
      <c r="AH50" s="56">
        <f t="shared" si="2"/>
        <v>387.44000000000005</v>
      </c>
      <c r="AI50" s="57">
        <f t="shared" si="3"/>
        <v>208.73999999999998</v>
      </c>
      <c r="AK50" s="58"/>
    </row>
    <row r="51" spans="1:37" x14ac:dyDescent="0.25">
      <c r="A51" s="59" t="s">
        <v>59</v>
      </c>
      <c r="B51" s="50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22.5</v>
      </c>
      <c r="W51" s="50">
        <v>59.1</v>
      </c>
      <c r="X51" s="50">
        <v>40</v>
      </c>
      <c r="Y51" s="50">
        <v>20</v>
      </c>
      <c r="Z51" s="50">
        <v>20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59.1</v>
      </c>
      <c r="AI51" s="57">
        <f t="shared" si="3"/>
        <v>0</v>
      </c>
      <c r="AK51" s="58"/>
    </row>
    <row r="52" spans="1:37" x14ac:dyDescent="0.25">
      <c r="A52" s="68" t="s">
        <v>60</v>
      </c>
      <c r="B52" s="52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29.2</v>
      </c>
      <c r="X52" s="52">
        <v>29.2</v>
      </c>
      <c r="Y52" s="52">
        <v>13</v>
      </c>
      <c r="Z52" s="52">
        <v>13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29.2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82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10.7</v>
      </c>
      <c r="X53" s="82">
        <v>10.7</v>
      </c>
      <c r="Y53" s="82">
        <v>4.8</v>
      </c>
      <c r="Z53" s="82">
        <v>4.8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10.7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22.5</v>
      </c>
      <c r="W54" s="74">
        <f t="shared" si="7"/>
        <v>99</v>
      </c>
      <c r="X54" s="74">
        <f t="shared" si="7"/>
        <v>79.900000000000006</v>
      </c>
      <c r="Y54" s="74">
        <f t="shared" si="7"/>
        <v>37.799999999999997</v>
      </c>
      <c r="Z54" s="74">
        <f t="shared" si="7"/>
        <v>37.799999999999997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99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-2</v>
      </c>
      <c r="C57" s="52">
        <v>-25</v>
      </c>
      <c r="D57" s="52">
        <v>-10</v>
      </c>
      <c r="E57" s="52">
        <v>0</v>
      </c>
      <c r="F57" s="52">
        <v>0</v>
      </c>
      <c r="G57" s="52">
        <v>-6</v>
      </c>
      <c r="H57" s="52">
        <v>-4</v>
      </c>
      <c r="I57" s="52">
        <v>-5</v>
      </c>
      <c r="J57" s="52">
        <v>-8</v>
      </c>
      <c r="K57" s="52">
        <v>0</v>
      </c>
      <c r="L57" s="52">
        <v>-22.3</v>
      </c>
      <c r="M57" s="52">
        <v>-28.7</v>
      </c>
      <c r="N57" s="52">
        <v>1</v>
      </c>
      <c r="O57" s="52">
        <v>-10.7</v>
      </c>
      <c r="P57" s="52">
        <v>-32.299999999999997</v>
      </c>
      <c r="Q57" s="52">
        <v>-16.100000000000001</v>
      </c>
      <c r="R57" s="52">
        <v>-13.6</v>
      </c>
      <c r="S57" s="52">
        <v>-26.6</v>
      </c>
      <c r="T57" s="52">
        <v>-2.1</v>
      </c>
      <c r="U57" s="52">
        <v>-10.9</v>
      </c>
      <c r="V57" s="52">
        <v>2.8</v>
      </c>
      <c r="W57" s="85">
        <v>-30</v>
      </c>
      <c r="X57" s="85">
        <v>-27.6</v>
      </c>
      <c r="Y57" s="85">
        <v>4.9000000000000004</v>
      </c>
      <c r="Z57" s="85">
        <v>-10</v>
      </c>
      <c r="AA57" s="52">
        <v>-40</v>
      </c>
      <c r="AB57" s="52">
        <v>7.8</v>
      </c>
      <c r="AC57" s="52">
        <v>1.5</v>
      </c>
      <c r="AD57" s="52">
        <v>-40</v>
      </c>
      <c r="AE57" s="52">
        <v>-11</v>
      </c>
      <c r="AF57" s="52">
        <v>-16.899999999999999</v>
      </c>
      <c r="AG57" s="86"/>
      <c r="AH57" s="56">
        <f t="shared" si="2"/>
        <v>7.8</v>
      </c>
      <c r="AI57" s="57">
        <f t="shared" si="3"/>
        <v>-40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5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6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2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5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5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-2</v>
      </c>
      <c r="C66" s="74">
        <f t="shared" ref="C66:AF66" si="8">SUM(C55:C65)</f>
        <v>-25</v>
      </c>
      <c r="D66" s="74">
        <f t="shared" si="8"/>
        <v>-10</v>
      </c>
      <c r="E66" s="74">
        <f t="shared" si="8"/>
        <v>0</v>
      </c>
      <c r="F66" s="74">
        <f t="shared" si="8"/>
        <v>0</v>
      </c>
      <c r="G66" s="74">
        <f t="shared" si="8"/>
        <v>-6</v>
      </c>
      <c r="H66" s="74">
        <f t="shared" si="8"/>
        <v>-4</v>
      </c>
      <c r="I66" s="74">
        <f t="shared" si="8"/>
        <v>-5</v>
      </c>
      <c r="J66" s="74">
        <f t="shared" si="8"/>
        <v>-8</v>
      </c>
      <c r="K66" s="74">
        <f t="shared" si="8"/>
        <v>0</v>
      </c>
      <c r="L66" s="74">
        <f t="shared" si="8"/>
        <v>-22.3</v>
      </c>
      <c r="M66" s="74">
        <f t="shared" si="8"/>
        <v>-28.7</v>
      </c>
      <c r="N66" s="74">
        <f t="shared" si="8"/>
        <v>1</v>
      </c>
      <c r="O66" s="74">
        <f t="shared" si="8"/>
        <v>-10.7</v>
      </c>
      <c r="P66" s="74">
        <f t="shared" si="8"/>
        <v>-32.299999999999997</v>
      </c>
      <c r="Q66" s="74">
        <f t="shared" si="8"/>
        <v>-16.100000000000001</v>
      </c>
      <c r="R66" s="74">
        <f t="shared" si="8"/>
        <v>-13.6</v>
      </c>
      <c r="S66" s="74">
        <f t="shared" si="8"/>
        <v>-26.6</v>
      </c>
      <c r="T66" s="74">
        <f t="shared" si="8"/>
        <v>-2.1</v>
      </c>
      <c r="U66" s="74">
        <f t="shared" si="8"/>
        <v>-10.9</v>
      </c>
      <c r="V66" s="74">
        <f t="shared" si="8"/>
        <v>2.8</v>
      </c>
      <c r="W66" s="74">
        <f t="shared" si="8"/>
        <v>-30</v>
      </c>
      <c r="X66" s="74">
        <f t="shared" si="8"/>
        <v>-27.6</v>
      </c>
      <c r="Y66" s="74">
        <f t="shared" si="8"/>
        <v>4.9000000000000004</v>
      </c>
      <c r="Z66" s="74">
        <f t="shared" si="8"/>
        <v>-10</v>
      </c>
      <c r="AA66" s="74">
        <f t="shared" si="8"/>
        <v>-40</v>
      </c>
      <c r="AB66" s="74">
        <f t="shared" si="8"/>
        <v>7.8</v>
      </c>
      <c r="AC66" s="74">
        <f t="shared" si="8"/>
        <v>1.5</v>
      </c>
      <c r="AD66" s="74">
        <f t="shared" si="8"/>
        <v>-40</v>
      </c>
      <c r="AE66" s="74">
        <f t="shared" si="8"/>
        <v>-11</v>
      </c>
      <c r="AF66" s="74">
        <f t="shared" si="8"/>
        <v>-16.899999999999999</v>
      </c>
      <c r="AG66" s="79">
        <f>SUM(AG55:AG65)</f>
        <v>0</v>
      </c>
      <c r="AH66" s="56">
        <f t="shared" si="2"/>
        <v>7.8</v>
      </c>
      <c r="AI66" s="57">
        <f t="shared" si="3"/>
        <v>-40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5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831.6400000000001</v>
      </c>
      <c r="C71" s="90">
        <f t="shared" ref="C71:AG71" si="10">C66+C54+C50+C36+C70</f>
        <v>803.44</v>
      </c>
      <c r="D71" s="90">
        <f t="shared" si="10"/>
        <v>806.44</v>
      </c>
      <c r="E71" s="90">
        <f t="shared" si="10"/>
        <v>816.44</v>
      </c>
      <c r="F71" s="90">
        <f t="shared" si="10"/>
        <v>872.6400000000001</v>
      </c>
      <c r="G71" s="90">
        <f t="shared" si="10"/>
        <v>908.6400000000001</v>
      </c>
      <c r="H71" s="90">
        <f t="shared" si="10"/>
        <v>939.04000000000008</v>
      </c>
      <c r="I71" s="90">
        <f t="shared" si="10"/>
        <v>1026.94</v>
      </c>
      <c r="J71" s="90">
        <f t="shared" si="10"/>
        <v>1073.94</v>
      </c>
      <c r="K71" s="90">
        <f t="shared" si="10"/>
        <v>1116.94</v>
      </c>
      <c r="L71" s="90">
        <f t="shared" si="10"/>
        <v>1133.1399999999999</v>
      </c>
      <c r="M71" s="90">
        <f t="shared" si="10"/>
        <v>1098.54</v>
      </c>
      <c r="N71" s="90">
        <f t="shared" si="10"/>
        <v>1108.24</v>
      </c>
      <c r="O71" s="90">
        <f t="shared" si="10"/>
        <v>1096.54</v>
      </c>
      <c r="P71" s="90">
        <f t="shared" si="10"/>
        <v>1057.24</v>
      </c>
      <c r="Q71" s="90">
        <f t="shared" si="10"/>
        <v>1047.04</v>
      </c>
      <c r="R71" s="90">
        <f t="shared" si="10"/>
        <v>1060.74</v>
      </c>
      <c r="S71" s="90">
        <f t="shared" si="10"/>
        <v>1098.6400000000001</v>
      </c>
      <c r="T71" s="90">
        <f t="shared" si="10"/>
        <v>1111.04</v>
      </c>
      <c r="U71" s="90">
        <f t="shared" si="10"/>
        <v>1116.1399999999999</v>
      </c>
      <c r="V71" s="90">
        <f t="shared" si="10"/>
        <v>1274.74</v>
      </c>
      <c r="W71" s="90">
        <f t="shared" si="10"/>
        <v>1390.04</v>
      </c>
      <c r="X71" s="90">
        <f t="shared" si="10"/>
        <v>1317.3400000000001</v>
      </c>
      <c r="Y71" s="90">
        <f t="shared" si="10"/>
        <v>1283.74</v>
      </c>
      <c r="Z71" s="90">
        <f t="shared" si="10"/>
        <v>1246.8400000000001</v>
      </c>
      <c r="AA71" s="90">
        <f t="shared" si="10"/>
        <v>1125.94</v>
      </c>
      <c r="AB71" s="90">
        <f t="shared" si="10"/>
        <v>1128.54</v>
      </c>
      <c r="AC71" s="90">
        <f t="shared" si="10"/>
        <v>1044.04</v>
      </c>
      <c r="AD71" s="90">
        <f t="shared" si="10"/>
        <v>901.84000000000015</v>
      </c>
      <c r="AE71" s="90">
        <f t="shared" si="10"/>
        <v>840.1400000000001</v>
      </c>
      <c r="AF71" s="90">
        <f t="shared" si="10"/>
        <v>838.24</v>
      </c>
      <c r="AG71" s="90">
        <f t="shared" si="10"/>
        <v>2083.14</v>
      </c>
      <c r="AH71" s="56">
        <f t="shared" si="2"/>
        <v>1390.04</v>
      </c>
      <c r="AI71" s="57">
        <f t="shared" si="3"/>
        <v>803.44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B70+B66+B54+B50+B36+B72</f>
        <v>831.6400000000001</v>
      </c>
      <c r="C73" s="90">
        <f t="shared" ref="C73:AF73" si="11">C70+C66+C54+C50+C36+C72</f>
        <v>803.44</v>
      </c>
      <c r="D73" s="90">
        <f t="shared" si="11"/>
        <v>806.44</v>
      </c>
      <c r="E73" s="90">
        <f t="shared" si="11"/>
        <v>816.44</v>
      </c>
      <c r="F73" s="90">
        <f t="shared" si="11"/>
        <v>872.6400000000001</v>
      </c>
      <c r="G73" s="90">
        <f t="shared" si="11"/>
        <v>908.6400000000001</v>
      </c>
      <c r="H73" s="90">
        <f t="shared" si="11"/>
        <v>939.04000000000008</v>
      </c>
      <c r="I73" s="90">
        <f t="shared" si="11"/>
        <v>1026.94</v>
      </c>
      <c r="J73" s="90">
        <f t="shared" si="11"/>
        <v>1073.94</v>
      </c>
      <c r="K73" s="90">
        <f t="shared" si="11"/>
        <v>1116.94</v>
      </c>
      <c r="L73" s="90">
        <f t="shared" si="11"/>
        <v>1133.1399999999999</v>
      </c>
      <c r="M73" s="90">
        <f t="shared" si="11"/>
        <v>1098.54</v>
      </c>
      <c r="N73" s="90">
        <f t="shared" si="11"/>
        <v>1108.24</v>
      </c>
      <c r="O73" s="90">
        <f t="shared" si="11"/>
        <v>1096.54</v>
      </c>
      <c r="P73" s="90">
        <f t="shared" si="11"/>
        <v>1057.24</v>
      </c>
      <c r="Q73" s="90">
        <f t="shared" si="11"/>
        <v>1047.04</v>
      </c>
      <c r="R73" s="90">
        <f t="shared" si="11"/>
        <v>1060.74</v>
      </c>
      <c r="S73" s="90">
        <f t="shared" si="11"/>
        <v>1098.6400000000001</v>
      </c>
      <c r="T73" s="90">
        <f t="shared" si="11"/>
        <v>1111.04</v>
      </c>
      <c r="U73" s="90">
        <f t="shared" si="11"/>
        <v>1116.1399999999999</v>
      </c>
      <c r="V73" s="90">
        <f t="shared" si="11"/>
        <v>1274.74</v>
      </c>
      <c r="W73" s="90">
        <f t="shared" si="11"/>
        <v>1390.04</v>
      </c>
      <c r="X73" s="90">
        <f t="shared" si="11"/>
        <v>1317.3400000000001</v>
      </c>
      <c r="Y73" s="90">
        <f t="shared" si="11"/>
        <v>1283.74</v>
      </c>
      <c r="Z73" s="90">
        <f t="shared" si="11"/>
        <v>1246.8400000000001</v>
      </c>
      <c r="AA73" s="90">
        <f t="shared" si="11"/>
        <v>1125.94</v>
      </c>
      <c r="AB73" s="90">
        <f t="shared" si="11"/>
        <v>1128.54</v>
      </c>
      <c r="AC73" s="90">
        <f t="shared" si="11"/>
        <v>1044.04</v>
      </c>
      <c r="AD73" s="90">
        <f t="shared" si="11"/>
        <v>901.84000000000015</v>
      </c>
      <c r="AE73" s="90">
        <f t="shared" si="11"/>
        <v>840.1400000000001</v>
      </c>
      <c r="AF73" s="90">
        <f t="shared" si="11"/>
        <v>838.24</v>
      </c>
      <c r="AG73" s="79">
        <f>AG70+AG66+AG54+AG50+AG36+AG72</f>
        <v>2083.14</v>
      </c>
      <c r="AH73" s="56">
        <f t="shared" si="2"/>
        <v>1390.04</v>
      </c>
      <c r="AI73" s="57">
        <f t="shared" si="3"/>
        <v>803.44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2</v>
      </c>
      <c r="C77" s="60">
        <f t="shared" ref="C77:AF77" si="15">IF(C57&lt;0,C57*-1,0)</f>
        <v>25</v>
      </c>
      <c r="D77" s="60">
        <f t="shared" si="15"/>
        <v>10</v>
      </c>
      <c r="E77" s="60">
        <f t="shared" si="15"/>
        <v>0</v>
      </c>
      <c r="F77" s="60">
        <f t="shared" si="15"/>
        <v>0</v>
      </c>
      <c r="G77" s="60">
        <f t="shared" si="15"/>
        <v>6</v>
      </c>
      <c r="H77" s="60">
        <f t="shared" si="15"/>
        <v>4</v>
      </c>
      <c r="I77" s="60">
        <f t="shared" si="15"/>
        <v>5</v>
      </c>
      <c r="J77" s="60">
        <f t="shared" si="15"/>
        <v>8</v>
      </c>
      <c r="K77" s="60">
        <f t="shared" si="15"/>
        <v>0</v>
      </c>
      <c r="L77" s="60">
        <f t="shared" si="15"/>
        <v>22.3</v>
      </c>
      <c r="M77" s="60">
        <f t="shared" si="15"/>
        <v>28.7</v>
      </c>
      <c r="N77" s="60">
        <f t="shared" si="15"/>
        <v>0</v>
      </c>
      <c r="O77" s="60">
        <f t="shared" si="15"/>
        <v>10.7</v>
      </c>
      <c r="P77" s="60">
        <f t="shared" si="15"/>
        <v>32.299999999999997</v>
      </c>
      <c r="Q77" s="60">
        <f t="shared" si="15"/>
        <v>16.100000000000001</v>
      </c>
      <c r="R77" s="60">
        <f t="shared" si="15"/>
        <v>13.6</v>
      </c>
      <c r="S77" s="60">
        <f t="shared" si="15"/>
        <v>26.6</v>
      </c>
      <c r="T77" s="60">
        <f t="shared" si="15"/>
        <v>2.1</v>
      </c>
      <c r="U77" s="60">
        <f t="shared" si="15"/>
        <v>10.9</v>
      </c>
      <c r="V77" s="60">
        <f t="shared" si="15"/>
        <v>0</v>
      </c>
      <c r="W77" s="60">
        <f t="shared" si="15"/>
        <v>30</v>
      </c>
      <c r="X77" s="60">
        <f t="shared" si="15"/>
        <v>27.6</v>
      </c>
      <c r="Y77" s="60">
        <f t="shared" si="15"/>
        <v>0</v>
      </c>
      <c r="Z77" s="60">
        <f t="shared" si="15"/>
        <v>10</v>
      </c>
      <c r="AA77" s="60">
        <f t="shared" si="15"/>
        <v>40</v>
      </c>
      <c r="AB77" s="60">
        <f t="shared" si="15"/>
        <v>0</v>
      </c>
      <c r="AC77" s="60">
        <f t="shared" si="15"/>
        <v>0</v>
      </c>
      <c r="AD77" s="60">
        <f t="shared" si="15"/>
        <v>40</v>
      </c>
      <c r="AE77" s="60">
        <f t="shared" si="15"/>
        <v>11</v>
      </c>
      <c r="AF77" s="60">
        <f t="shared" si="15"/>
        <v>16.899999999999999</v>
      </c>
      <c r="AG77" s="93"/>
      <c r="AH77" s="56">
        <f t="shared" ref="AH77:AH89" si="16">MAX(B77:AF77)</f>
        <v>40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>SUM(B74:B79)</f>
        <v>2</v>
      </c>
      <c r="C80" s="74">
        <f t="shared" ref="C80:AG80" si="19">SUM(C74:C79)</f>
        <v>25</v>
      </c>
      <c r="D80" s="74">
        <f t="shared" si="19"/>
        <v>10</v>
      </c>
      <c r="E80" s="74">
        <f t="shared" si="19"/>
        <v>0</v>
      </c>
      <c r="F80" s="74">
        <f t="shared" si="19"/>
        <v>0</v>
      </c>
      <c r="G80" s="74">
        <f t="shared" si="19"/>
        <v>6</v>
      </c>
      <c r="H80" s="74">
        <f t="shared" si="19"/>
        <v>4</v>
      </c>
      <c r="I80" s="74">
        <f t="shared" si="19"/>
        <v>5</v>
      </c>
      <c r="J80" s="74">
        <f t="shared" si="19"/>
        <v>8</v>
      </c>
      <c r="K80" s="74">
        <f t="shared" si="19"/>
        <v>0</v>
      </c>
      <c r="L80" s="74">
        <f t="shared" si="19"/>
        <v>22.3</v>
      </c>
      <c r="M80" s="74">
        <f t="shared" si="19"/>
        <v>28.7</v>
      </c>
      <c r="N80" s="74">
        <f t="shared" si="19"/>
        <v>0</v>
      </c>
      <c r="O80" s="74">
        <f t="shared" si="19"/>
        <v>10.7</v>
      </c>
      <c r="P80" s="74">
        <f t="shared" si="19"/>
        <v>32.299999999999997</v>
      </c>
      <c r="Q80" s="74">
        <f t="shared" si="19"/>
        <v>16.100000000000001</v>
      </c>
      <c r="R80" s="74">
        <f t="shared" si="19"/>
        <v>13.6</v>
      </c>
      <c r="S80" s="74">
        <f t="shared" si="19"/>
        <v>26.6</v>
      </c>
      <c r="T80" s="74">
        <f t="shared" si="19"/>
        <v>2.1</v>
      </c>
      <c r="U80" s="74">
        <f t="shared" si="19"/>
        <v>10.9</v>
      </c>
      <c r="V80" s="74">
        <f t="shared" si="19"/>
        <v>0</v>
      </c>
      <c r="W80" s="74">
        <f t="shared" si="19"/>
        <v>30</v>
      </c>
      <c r="X80" s="74">
        <f t="shared" si="19"/>
        <v>27.6</v>
      </c>
      <c r="Y80" s="74">
        <f t="shared" si="19"/>
        <v>0</v>
      </c>
      <c r="Z80" s="74">
        <f t="shared" si="19"/>
        <v>10</v>
      </c>
      <c r="AA80" s="74">
        <f t="shared" si="19"/>
        <v>40</v>
      </c>
      <c r="AB80" s="74">
        <f t="shared" si="19"/>
        <v>0</v>
      </c>
      <c r="AC80" s="74">
        <f t="shared" si="19"/>
        <v>0</v>
      </c>
      <c r="AD80" s="74">
        <f t="shared" si="19"/>
        <v>40</v>
      </c>
      <c r="AE80" s="74">
        <f t="shared" si="19"/>
        <v>11</v>
      </c>
      <c r="AF80" s="74">
        <f t="shared" si="19"/>
        <v>16.899999999999999</v>
      </c>
      <c r="AG80" s="79">
        <f t="shared" si="19"/>
        <v>0</v>
      </c>
      <c r="AH80" s="56">
        <f t="shared" si="16"/>
        <v>40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>SUM(B68:B80)</f>
        <v>1667.2800000000002</v>
      </c>
      <c r="C81" s="74">
        <f t="shared" ref="C81:AG81" si="20">SUM(C68:C80)</f>
        <v>1656.88</v>
      </c>
      <c r="D81" s="74">
        <f t="shared" si="20"/>
        <v>1632.88</v>
      </c>
      <c r="E81" s="74">
        <f t="shared" si="20"/>
        <v>1632.88</v>
      </c>
      <c r="F81" s="74">
        <f t="shared" si="20"/>
        <v>1745.2800000000002</v>
      </c>
      <c r="G81" s="74">
        <f t="shared" si="20"/>
        <v>1829.2800000000002</v>
      </c>
      <c r="H81" s="74">
        <f t="shared" si="20"/>
        <v>1886.0800000000002</v>
      </c>
      <c r="I81" s="74">
        <f t="shared" si="20"/>
        <v>2063.88</v>
      </c>
      <c r="J81" s="74">
        <f t="shared" si="20"/>
        <v>2163.88</v>
      </c>
      <c r="K81" s="74">
        <f t="shared" si="20"/>
        <v>2233.88</v>
      </c>
      <c r="L81" s="74">
        <f t="shared" si="20"/>
        <v>2310.88</v>
      </c>
      <c r="M81" s="74">
        <f t="shared" si="20"/>
        <v>2254.4799999999996</v>
      </c>
      <c r="N81" s="74">
        <f t="shared" si="20"/>
        <v>2216.48</v>
      </c>
      <c r="O81" s="74">
        <f t="shared" si="20"/>
        <v>2214.4799999999996</v>
      </c>
      <c r="P81" s="74">
        <f t="shared" si="20"/>
        <v>2179.0800000000004</v>
      </c>
      <c r="Q81" s="74">
        <f t="shared" si="20"/>
        <v>2126.2799999999997</v>
      </c>
      <c r="R81" s="74">
        <f t="shared" si="20"/>
        <v>2148.6799999999998</v>
      </c>
      <c r="S81" s="74">
        <f t="shared" si="20"/>
        <v>2250.48</v>
      </c>
      <c r="T81" s="74">
        <f t="shared" si="20"/>
        <v>2226.2799999999997</v>
      </c>
      <c r="U81" s="74">
        <f t="shared" si="20"/>
        <v>2254.08</v>
      </c>
      <c r="V81" s="74">
        <f t="shared" si="20"/>
        <v>2549.48</v>
      </c>
      <c r="W81" s="74">
        <f t="shared" si="20"/>
        <v>2840.08</v>
      </c>
      <c r="X81" s="74">
        <f t="shared" si="20"/>
        <v>2689.88</v>
      </c>
      <c r="Y81" s="74">
        <f t="shared" si="20"/>
        <v>2567.48</v>
      </c>
      <c r="Z81" s="74">
        <f t="shared" si="20"/>
        <v>2513.6800000000003</v>
      </c>
      <c r="AA81" s="74">
        <f t="shared" si="20"/>
        <v>2331.88</v>
      </c>
      <c r="AB81" s="74">
        <f t="shared" si="20"/>
        <v>2257.08</v>
      </c>
      <c r="AC81" s="74">
        <f t="shared" si="20"/>
        <v>2088.08</v>
      </c>
      <c r="AD81" s="74">
        <f t="shared" si="20"/>
        <v>1883.6800000000003</v>
      </c>
      <c r="AE81" s="74">
        <f t="shared" si="20"/>
        <v>1702.2800000000002</v>
      </c>
      <c r="AF81" s="74">
        <f t="shared" si="20"/>
        <v>1710.2800000000002</v>
      </c>
      <c r="AG81" s="79">
        <f t="shared" si="20"/>
        <v>4238.08</v>
      </c>
      <c r="AH81" s="56">
        <f t="shared" si="16"/>
        <v>2840.08</v>
      </c>
      <c r="AI81" s="57">
        <f t="shared" si="17"/>
        <v>1632.88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7">
        <v>49.99</v>
      </c>
      <c r="C82" s="96">
        <v>49.97</v>
      </c>
      <c r="D82" s="96">
        <v>49.981999999999999</v>
      </c>
      <c r="E82" s="96">
        <v>50.063000000000002</v>
      </c>
      <c r="F82" s="96">
        <v>49.976999999999997</v>
      </c>
      <c r="G82" s="96">
        <v>50.030999999999999</v>
      </c>
      <c r="H82" s="96">
        <v>50.02</v>
      </c>
      <c r="I82" s="96">
        <v>50.005000000000003</v>
      </c>
      <c r="J82" s="96">
        <v>49.945</v>
      </c>
      <c r="K82" s="96">
        <v>50.015000000000001</v>
      </c>
      <c r="L82" s="96">
        <v>50.042000000000002</v>
      </c>
      <c r="M82" s="96">
        <v>50.088999999999999</v>
      </c>
      <c r="N82" s="96">
        <v>50.045000000000002</v>
      </c>
      <c r="O82" s="96">
        <v>50.088999999999999</v>
      </c>
      <c r="P82" s="96">
        <v>49.933</v>
      </c>
      <c r="Q82" s="96">
        <v>50.091999999999999</v>
      </c>
      <c r="R82" s="96">
        <v>50.02</v>
      </c>
      <c r="S82" s="96">
        <v>49.972000000000001</v>
      </c>
      <c r="T82" s="96">
        <v>49.95</v>
      </c>
      <c r="U82" s="96">
        <v>49.978000000000002</v>
      </c>
      <c r="V82" s="96">
        <v>49.98</v>
      </c>
      <c r="W82" s="96">
        <v>50.06</v>
      </c>
      <c r="X82" s="96">
        <v>50.023000000000003</v>
      </c>
      <c r="Y82" s="96">
        <v>50.07</v>
      </c>
      <c r="Z82" s="96">
        <v>50.07</v>
      </c>
      <c r="AA82" s="96">
        <v>50.07</v>
      </c>
      <c r="AB82" s="96">
        <v>50.027999999999999</v>
      </c>
      <c r="AC82" s="96">
        <v>49.984000000000002</v>
      </c>
      <c r="AD82" s="96">
        <v>50.015999999999998</v>
      </c>
      <c r="AE82" s="96">
        <v>49.963000000000001</v>
      </c>
      <c r="AF82" s="97">
        <v>50.04</v>
      </c>
      <c r="AG82" s="98"/>
      <c r="AH82" s="56">
        <f t="shared" si="16"/>
        <v>50.091999999999999</v>
      </c>
      <c r="AI82" s="57">
        <f t="shared" si="17"/>
        <v>49.933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101">
        <v>126.5</v>
      </c>
      <c r="C83" s="52">
        <v>126.7</v>
      </c>
      <c r="D83" s="52">
        <v>127</v>
      </c>
      <c r="E83" s="52">
        <v>126.7</v>
      </c>
      <c r="F83" s="52">
        <v>126.2</v>
      </c>
      <c r="G83" s="52">
        <v>125.8</v>
      </c>
      <c r="H83" s="52">
        <v>125.8</v>
      </c>
      <c r="I83" s="52">
        <v>124.2</v>
      </c>
      <c r="J83" s="52">
        <v>123</v>
      </c>
      <c r="K83" s="52">
        <v>123.6</v>
      </c>
      <c r="L83" s="52">
        <v>124</v>
      </c>
      <c r="M83" s="52">
        <v>124.1</v>
      </c>
      <c r="N83" s="52">
        <v>123.5</v>
      </c>
      <c r="O83" s="52">
        <v>124.1</v>
      </c>
      <c r="P83" s="52">
        <v>123.7</v>
      </c>
      <c r="Q83" s="52">
        <v>125.8</v>
      </c>
      <c r="R83" s="52">
        <v>125.3</v>
      </c>
      <c r="S83" s="52">
        <v>124.9</v>
      </c>
      <c r="T83" s="100">
        <v>123.8</v>
      </c>
      <c r="U83" s="100">
        <v>125</v>
      </c>
      <c r="V83" s="100">
        <v>123.4</v>
      </c>
      <c r="W83" s="100">
        <v>125.6</v>
      </c>
      <c r="X83" s="100">
        <v>128</v>
      </c>
      <c r="Y83" s="100">
        <v>126.7</v>
      </c>
      <c r="Z83" s="100">
        <v>126.7</v>
      </c>
      <c r="AA83" s="100">
        <v>126.7</v>
      </c>
      <c r="AB83" s="52">
        <v>126.7</v>
      </c>
      <c r="AC83" s="52">
        <v>127.5</v>
      </c>
      <c r="AD83" s="52">
        <v>128</v>
      </c>
      <c r="AE83" s="52">
        <v>126.8</v>
      </c>
      <c r="AF83" s="101">
        <v>126.4</v>
      </c>
      <c r="AG83" s="102"/>
      <c r="AH83" s="56">
        <f t="shared" si="16"/>
        <v>128</v>
      </c>
      <c r="AI83" s="57">
        <f t="shared" si="17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101">
        <v>130.5</v>
      </c>
      <c r="C84" s="52">
        <v>130.69999999999999</v>
      </c>
      <c r="D84" s="52">
        <v>131.1</v>
      </c>
      <c r="E84" s="52">
        <v>130.6</v>
      </c>
      <c r="F84" s="52">
        <v>129.9</v>
      </c>
      <c r="G84" s="52">
        <v>129.69999999999999</v>
      </c>
      <c r="H84" s="52">
        <v>129</v>
      </c>
      <c r="I84" s="52">
        <v>128</v>
      </c>
      <c r="J84" s="52">
        <v>126.2</v>
      </c>
      <c r="K84" s="52">
        <v>126.6</v>
      </c>
      <c r="L84" s="52">
        <v>127</v>
      </c>
      <c r="M84" s="52">
        <v>127.6</v>
      </c>
      <c r="N84" s="52">
        <v>127.1</v>
      </c>
      <c r="O84" s="52">
        <v>127.6</v>
      </c>
      <c r="P84" s="52">
        <v>127.8</v>
      </c>
      <c r="Q84" s="52">
        <v>128.5</v>
      </c>
      <c r="R84" s="52">
        <v>129</v>
      </c>
      <c r="S84" s="52">
        <v>128.5</v>
      </c>
      <c r="T84" s="100">
        <v>127.3</v>
      </c>
      <c r="U84" s="100">
        <v>128.5</v>
      </c>
      <c r="V84" s="100">
        <v>126.9</v>
      </c>
      <c r="W84" s="100">
        <v>128.4</v>
      </c>
      <c r="X84" s="100">
        <v>130.6</v>
      </c>
      <c r="Y84" s="100">
        <v>129.5</v>
      </c>
      <c r="Z84" s="100">
        <v>129.5</v>
      </c>
      <c r="AA84" s="100">
        <v>129.5</v>
      </c>
      <c r="AB84" s="52">
        <v>130</v>
      </c>
      <c r="AC84" s="52">
        <v>131</v>
      </c>
      <c r="AD84" s="52">
        <v>131.69999999999999</v>
      </c>
      <c r="AE84" s="52">
        <v>130.5</v>
      </c>
      <c r="AF84" s="101">
        <v>130.1</v>
      </c>
      <c r="AG84" s="102"/>
      <c r="AH84" s="56">
        <f t="shared" si="16"/>
        <v>131.69999999999999</v>
      </c>
      <c r="AI84" s="57">
        <f t="shared" si="17"/>
        <v>126.2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101">
        <v>127.2</v>
      </c>
      <c r="C85" s="52">
        <v>127.6</v>
      </c>
      <c r="D85" s="52">
        <v>127.7</v>
      </c>
      <c r="E85" s="52">
        <v>128.5</v>
      </c>
      <c r="F85" s="52">
        <v>129.80000000000001</v>
      </c>
      <c r="G85" s="52" t="s">
        <v>240</v>
      </c>
      <c r="H85" s="52" t="s">
        <v>240</v>
      </c>
      <c r="I85" s="52" t="s">
        <v>240</v>
      </c>
      <c r="J85" s="52" t="s">
        <v>240</v>
      </c>
      <c r="K85" s="52" t="s">
        <v>240</v>
      </c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100"/>
      <c r="X85" s="100"/>
      <c r="Y85" s="100"/>
      <c r="Z85" s="100"/>
      <c r="AA85" s="100"/>
      <c r="AB85" s="52"/>
      <c r="AC85" s="52"/>
      <c r="AD85" s="52"/>
      <c r="AE85" s="52"/>
      <c r="AF85" s="101"/>
      <c r="AG85" s="102"/>
      <c r="AH85" s="56">
        <f t="shared" si="16"/>
        <v>129.80000000000001</v>
      </c>
      <c r="AI85" s="57">
        <f t="shared" si="17"/>
        <v>127.2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101">
        <v>132</v>
      </c>
      <c r="C86" s="52">
        <v>132.4</v>
      </c>
      <c r="D86" s="52">
        <v>130.9</v>
      </c>
      <c r="E86" s="52">
        <v>131.69999999999999</v>
      </c>
      <c r="F86" s="52">
        <v>132.69999999999999</v>
      </c>
      <c r="G86" s="52" t="s">
        <v>240</v>
      </c>
      <c r="H86" s="52" t="s">
        <v>240</v>
      </c>
      <c r="I86" s="52" t="s">
        <v>240</v>
      </c>
      <c r="J86" s="52" t="s">
        <v>240</v>
      </c>
      <c r="K86" s="52" t="s">
        <v>240</v>
      </c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100"/>
      <c r="Y86" s="100"/>
      <c r="Z86" s="100"/>
      <c r="AA86" s="100"/>
      <c r="AB86" s="52"/>
      <c r="AC86" s="52"/>
      <c r="AD86" s="52"/>
      <c r="AE86" s="52"/>
      <c r="AF86" s="101"/>
      <c r="AG86" s="102"/>
      <c r="AH86" s="56">
        <f t="shared" si="16"/>
        <v>132.69999999999999</v>
      </c>
      <c r="AI86" s="57">
        <f t="shared" si="17"/>
        <v>130.9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5">
        <v>135</v>
      </c>
      <c r="C87" s="104" t="s">
        <v>239</v>
      </c>
      <c r="D87" s="104">
        <v>132.69999999999999</v>
      </c>
      <c r="E87" s="104">
        <v>133.1</v>
      </c>
      <c r="F87" s="104">
        <v>133.9</v>
      </c>
      <c r="G87" s="104">
        <v>133.4</v>
      </c>
      <c r="H87" s="104">
        <v>134</v>
      </c>
      <c r="I87" s="104">
        <v>135.1</v>
      </c>
      <c r="J87" s="104">
        <v>131.1</v>
      </c>
      <c r="K87" s="104">
        <v>133.1</v>
      </c>
      <c r="L87" s="104">
        <v>132.9</v>
      </c>
      <c r="M87" s="104">
        <v>134.6</v>
      </c>
      <c r="N87" s="104">
        <v>134.69999999999999</v>
      </c>
      <c r="O87" s="104">
        <v>134.6</v>
      </c>
      <c r="P87" s="104">
        <v>132.6</v>
      </c>
      <c r="Q87" s="104">
        <v>132.69999999999999</v>
      </c>
      <c r="R87" s="104">
        <v>136.69999999999999</v>
      </c>
      <c r="S87" s="104">
        <v>131.6</v>
      </c>
      <c r="T87" s="104">
        <v>134.30000000000001</v>
      </c>
      <c r="U87" s="104">
        <v>134.80000000000001</v>
      </c>
      <c r="V87" s="104">
        <v>134.5</v>
      </c>
      <c r="W87" s="100">
        <v>130.69999999999999</v>
      </c>
      <c r="X87" s="100">
        <v>134.30000000000001</v>
      </c>
      <c r="Y87" s="100">
        <v>134.5</v>
      </c>
      <c r="Z87" s="100">
        <v>134.5</v>
      </c>
      <c r="AA87" s="100">
        <v>134.5</v>
      </c>
      <c r="AB87" s="104">
        <v>135.6</v>
      </c>
      <c r="AC87" s="104">
        <v>134.80000000000001</v>
      </c>
      <c r="AD87" s="104">
        <v>134.69999999999999</v>
      </c>
      <c r="AE87" s="104">
        <v>131.80000000000001</v>
      </c>
      <c r="AF87" s="105">
        <v>131.9</v>
      </c>
      <c r="AG87" s="106"/>
      <c r="AH87" s="56">
        <f t="shared" si="16"/>
        <v>136.69999999999999</v>
      </c>
      <c r="AI87" s="57">
        <f t="shared" si="17"/>
        <v>130.69999999999999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101">
        <v>135.30000000000001</v>
      </c>
      <c r="C88" s="52">
        <v>133.80000000000001</v>
      </c>
      <c r="D88" s="52">
        <v>134.30000000000001</v>
      </c>
      <c r="E88" s="52">
        <v>134.6</v>
      </c>
      <c r="F88" s="52">
        <v>133.9</v>
      </c>
      <c r="G88" s="52">
        <v>133.1</v>
      </c>
      <c r="H88" s="52">
        <v>133.1</v>
      </c>
      <c r="I88" s="52">
        <v>133.69999999999999</v>
      </c>
      <c r="J88" s="52">
        <v>127.7</v>
      </c>
      <c r="K88" s="52">
        <v>132.30000000000001</v>
      </c>
      <c r="L88" s="52">
        <v>131.19999999999999</v>
      </c>
      <c r="M88" s="52">
        <v>131.30000000000001</v>
      </c>
      <c r="N88" s="52">
        <v>133.19999999999999</v>
      </c>
      <c r="O88" s="52">
        <v>131.30000000000001</v>
      </c>
      <c r="P88" s="52">
        <v>130.6</v>
      </c>
      <c r="Q88" s="52">
        <v>129.5</v>
      </c>
      <c r="R88" s="52">
        <v>128.30000000000001</v>
      </c>
      <c r="S88" s="52">
        <v>127.5</v>
      </c>
      <c r="T88" s="52">
        <v>131.6</v>
      </c>
      <c r="U88" s="52">
        <v>131.80000000000001</v>
      </c>
      <c r="V88" s="52">
        <v>131.5</v>
      </c>
      <c r="W88" s="100">
        <v>126.7</v>
      </c>
      <c r="X88" s="100">
        <v>134.6</v>
      </c>
      <c r="Y88" s="100">
        <v>134.4</v>
      </c>
      <c r="Z88" s="100">
        <v>134.4</v>
      </c>
      <c r="AA88" s="100">
        <v>134.4</v>
      </c>
      <c r="AB88" s="52">
        <v>133.4</v>
      </c>
      <c r="AC88" s="52">
        <v>133.30000000000001</v>
      </c>
      <c r="AD88" s="52">
        <v>134.6</v>
      </c>
      <c r="AE88" s="52">
        <v>132.80000000000001</v>
      </c>
      <c r="AF88" s="101">
        <v>133.9</v>
      </c>
      <c r="AG88" s="102"/>
      <c r="AH88" s="56">
        <f t="shared" si="16"/>
        <v>135.30000000000001</v>
      </c>
      <c r="AI88" s="57">
        <f t="shared" si="17"/>
        <v>126.7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8">
        <v>67</v>
      </c>
      <c r="C89" s="107">
        <v>67.099999999999994</v>
      </c>
      <c r="D89" s="107">
        <v>67.3</v>
      </c>
      <c r="E89" s="107">
        <v>66.900000000000006</v>
      </c>
      <c r="F89" s="107">
        <v>66.599999999999994</v>
      </c>
      <c r="G89" s="107">
        <v>66.5</v>
      </c>
      <c r="H89" s="107">
        <v>66.5</v>
      </c>
      <c r="I89" s="107">
        <v>65.599999999999994</v>
      </c>
      <c r="J89" s="107">
        <v>64.7</v>
      </c>
      <c r="K89" s="107">
        <v>64.8</v>
      </c>
      <c r="L89" s="107">
        <v>64.8</v>
      </c>
      <c r="M89" s="107">
        <v>65.2</v>
      </c>
      <c r="N89" s="107">
        <v>65.099999999999994</v>
      </c>
      <c r="O89" s="107">
        <v>65.2</v>
      </c>
      <c r="P89" s="107">
        <v>64.900000000000006</v>
      </c>
      <c r="Q89" s="107">
        <v>65.2</v>
      </c>
      <c r="R89" s="107">
        <v>65.5</v>
      </c>
      <c r="S89" s="107">
        <v>65.599999999999994</v>
      </c>
      <c r="T89" s="107">
        <v>65</v>
      </c>
      <c r="U89" s="107">
        <v>65.7</v>
      </c>
      <c r="V89" s="107">
        <v>65.2</v>
      </c>
      <c r="W89" s="107">
        <v>65.5</v>
      </c>
      <c r="X89" s="107">
        <v>66.900000000000006</v>
      </c>
      <c r="Y89" s="107">
        <v>66.3</v>
      </c>
      <c r="Z89" s="107">
        <v>66.3</v>
      </c>
      <c r="AA89" s="107">
        <v>66.3</v>
      </c>
      <c r="AB89" s="107">
        <v>66.400000000000006</v>
      </c>
      <c r="AC89" s="107">
        <v>67</v>
      </c>
      <c r="AD89" s="107">
        <v>67.3</v>
      </c>
      <c r="AE89" s="107">
        <v>66.599999999999994</v>
      </c>
      <c r="AF89" s="108">
        <v>66.5</v>
      </c>
      <c r="AG89" s="109"/>
      <c r="AH89" s="56">
        <f t="shared" si="16"/>
        <v>67.3</v>
      </c>
      <c r="AI89" s="57">
        <f t="shared" si="17"/>
        <v>64.7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5">
        <f>SUM(B14,B17,B20:B21,B40,B42:B43,B45,B47,B92:B95,B100,B106,B112,B121,B123,B135,B142,B145:B146,B153,B155,B157,B161:B163,B165:B167,B172,B178:B179,B181:B183,B191,B196)</f>
        <v>130.93999999999997</v>
      </c>
      <c r="C91" s="114">
        <f t="shared" ref="C91:AF91" si="21">SUM(C14,C17,C20:C21,C40,C42:C43,C45,C47,C92:C95,C100,C106,C112,C121,C123,C135,C142,C145:C146,C153,C155,C157,C161:C163,C165:C167,C172,C178:C179,C181:C183,C191,C196)</f>
        <v>115.03999999999998</v>
      </c>
      <c r="D91" s="114">
        <f t="shared" si="21"/>
        <v>114.43999999999998</v>
      </c>
      <c r="E91" s="114">
        <f t="shared" si="21"/>
        <v>124.23999999999997</v>
      </c>
      <c r="F91" s="115">
        <f t="shared" si="21"/>
        <v>144.23999999999995</v>
      </c>
      <c r="G91" s="115">
        <f t="shared" si="21"/>
        <v>160.03999999999996</v>
      </c>
      <c r="H91" s="115">
        <f t="shared" si="21"/>
        <v>189.63999999999996</v>
      </c>
      <c r="I91" s="115">
        <f t="shared" si="21"/>
        <v>235.73999999999995</v>
      </c>
      <c r="J91" s="115">
        <f t="shared" si="21"/>
        <v>244.64</v>
      </c>
      <c r="K91" s="115">
        <f t="shared" si="21"/>
        <v>258.54000000000008</v>
      </c>
      <c r="L91" s="115">
        <f t="shared" si="21"/>
        <v>280.83999999999992</v>
      </c>
      <c r="M91" s="115">
        <f t="shared" si="21"/>
        <v>260.04000000000008</v>
      </c>
      <c r="N91" s="115">
        <f t="shared" si="21"/>
        <v>249.23999999999995</v>
      </c>
      <c r="O91" s="115">
        <f t="shared" si="21"/>
        <v>249.23999999999995</v>
      </c>
      <c r="P91" s="115">
        <f t="shared" si="21"/>
        <v>251.23999999999995</v>
      </c>
      <c r="Q91" s="115">
        <f t="shared" si="21"/>
        <v>240.64</v>
      </c>
      <c r="R91" s="115">
        <f t="shared" si="21"/>
        <v>235.63999999999996</v>
      </c>
      <c r="S91" s="115">
        <f t="shared" si="21"/>
        <v>245.94</v>
      </c>
      <c r="T91" s="115">
        <f t="shared" si="21"/>
        <v>246.13999999999993</v>
      </c>
      <c r="U91" s="115">
        <f t="shared" si="21"/>
        <v>272.54000000000002</v>
      </c>
      <c r="V91" s="115">
        <f t="shared" si="21"/>
        <v>326.24</v>
      </c>
      <c r="W91" s="115">
        <f t="shared" si="21"/>
        <v>344.04</v>
      </c>
      <c r="X91" s="115">
        <f t="shared" si="21"/>
        <v>321.64</v>
      </c>
      <c r="Y91" s="115">
        <f t="shared" si="21"/>
        <v>315.54000000000002</v>
      </c>
      <c r="Z91" s="115">
        <f t="shared" si="21"/>
        <v>292.04000000000002</v>
      </c>
      <c r="AA91" s="115">
        <f t="shared" si="21"/>
        <v>275.44000000000005</v>
      </c>
      <c r="AB91" s="115">
        <f t="shared" si="21"/>
        <v>259.54000000000008</v>
      </c>
      <c r="AC91" s="115">
        <f t="shared" si="21"/>
        <v>226.03999999999996</v>
      </c>
      <c r="AD91" s="115">
        <f t="shared" si="21"/>
        <v>182.73999999999998</v>
      </c>
      <c r="AE91" s="115">
        <f t="shared" si="21"/>
        <v>145.63999999999999</v>
      </c>
      <c r="AF91" s="115">
        <f t="shared" si="21"/>
        <v>136.63999999999999</v>
      </c>
      <c r="AG91" s="116"/>
      <c r="AH91" s="56">
        <f>MAX(B91:AF91)</f>
        <v>344.04</v>
      </c>
      <c r="AI91" s="57">
        <f>MIN(B91:AF91)</f>
        <v>114.43999999999998</v>
      </c>
    </row>
    <row r="92" spans="1:88" x14ac:dyDescent="0.25">
      <c r="A92" s="117" t="s">
        <v>96</v>
      </c>
      <c r="B92" s="119">
        <v>30.9</v>
      </c>
      <c r="C92" s="60">
        <v>24.9</v>
      </c>
      <c r="D92" s="60">
        <v>26.4</v>
      </c>
      <c r="E92" s="60">
        <v>25</v>
      </c>
      <c r="F92" s="118">
        <v>42</v>
      </c>
      <c r="G92" s="118">
        <v>39.4</v>
      </c>
      <c r="H92" s="118">
        <v>41</v>
      </c>
      <c r="I92" s="118">
        <v>43.5</v>
      </c>
      <c r="J92" s="118">
        <v>36.799999999999997</v>
      </c>
      <c r="K92" s="118">
        <v>33</v>
      </c>
      <c r="L92" s="54">
        <v>31.1</v>
      </c>
      <c r="M92" s="54">
        <v>39.9</v>
      </c>
      <c r="N92" s="118">
        <v>46.8</v>
      </c>
      <c r="O92" s="118">
        <v>46.8</v>
      </c>
      <c r="P92" s="118">
        <v>51.5</v>
      </c>
      <c r="Q92" s="118">
        <v>46.6</v>
      </c>
      <c r="R92" s="118">
        <v>50.5</v>
      </c>
      <c r="S92" s="118">
        <v>53.5</v>
      </c>
      <c r="T92" s="54">
        <v>50.2</v>
      </c>
      <c r="U92" s="54">
        <v>42.6</v>
      </c>
      <c r="V92" s="54">
        <v>27.7</v>
      </c>
      <c r="W92" s="118">
        <v>-2.1</v>
      </c>
      <c r="X92" s="118">
        <v>21.1</v>
      </c>
      <c r="Y92" s="118">
        <v>20.5</v>
      </c>
      <c r="Z92" s="118">
        <v>30</v>
      </c>
      <c r="AA92" s="54">
        <v>43.8</v>
      </c>
      <c r="AB92" s="54">
        <v>43.1</v>
      </c>
      <c r="AC92" s="54">
        <v>46.4</v>
      </c>
      <c r="AD92" s="54">
        <v>38</v>
      </c>
      <c r="AE92" s="54">
        <v>28.9</v>
      </c>
      <c r="AF92" s="119">
        <v>33.6</v>
      </c>
      <c r="AG92" s="120">
        <v>75</v>
      </c>
      <c r="AH92" s="56">
        <f t="shared" ref="AH92:AH97" si="22">IF(ABS(MAX(B92:AF92))&gt;ABS(MIN(B92:AF92)),MAX(B92:AF92),MIN(B92:AF92))</f>
        <v>53.5</v>
      </c>
      <c r="AI92" s="121">
        <f t="shared" ref="AI92:AI97" si="23">INDEX($B$9:$AF$9,1,MATCH(AH92,B92:AF92,0))</f>
        <v>0.625</v>
      </c>
    </row>
    <row r="93" spans="1:88" x14ac:dyDescent="0.25">
      <c r="A93" s="122" t="s">
        <v>97</v>
      </c>
      <c r="B93" s="123">
        <f>-35.7-42.2</f>
        <v>-77.900000000000006</v>
      </c>
      <c r="C93" s="62">
        <f>-35.5-41.8</f>
        <v>-77.3</v>
      </c>
      <c r="D93" s="62">
        <v>-74</v>
      </c>
      <c r="E93" s="62">
        <v>-72</v>
      </c>
      <c r="F93" s="62">
        <v>-70</v>
      </c>
      <c r="G93" s="62">
        <v>-62</v>
      </c>
      <c r="H93" s="62">
        <v>-53</v>
      </c>
      <c r="I93" s="62">
        <v>-45</v>
      </c>
      <c r="J93" s="62">
        <v>-53</v>
      </c>
      <c r="K93" s="62">
        <v>-50</v>
      </c>
      <c r="L93" s="62">
        <v>-44.2</v>
      </c>
      <c r="M93" s="62">
        <v>-50.8</v>
      </c>
      <c r="N93" s="62">
        <v>-60.3</v>
      </c>
      <c r="O93" s="62">
        <v>-60.3</v>
      </c>
      <c r="P93" s="62">
        <v>-78.8</v>
      </c>
      <c r="Q93" s="62">
        <v>-83.5</v>
      </c>
      <c r="R93" s="62">
        <v>-65.8</v>
      </c>
      <c r="S93" s="62">
        <v>-68</v>
      </c>
      <c r="T93" s="62">
        <v>-57</v>
      </c>
      <c r="U93" s="62">
        <v>-53</v>
      </c>
      <c r="V93" s="62">
        <v>-40</v>
      </c>
      <c r="W93" s="62">
        <v>-18.5</v>
      </c>
      <c r="X93" s="62">
        <v>-32</v>
      </c>
      <c r="Y93" s="62">
        <v>-33</v>
      </c>
      <c r="Z93" s="62">
        <v>-40</v>
      </c>
      <c r="AA93" s="52">
        <v>-50</v>
      </c>
      <c r="AB93" s="52">
        <v>-58</v>
      </c>
      <c r="AC93" s="52">
        <v>-60</v>
      </c>
      <c r="AD93" s="52">
        <v>-57</v>
      </c>
      <c r="AE93" s="52">
        <v>-66</v>
      </c>
      <c r="AF93" s="123">
        <v>-73</v>
      </c>
      <c r="AG93" s="120">
        <v>240</v>
      </c>
      <c r="AH93" s="56">
        <f t="shared" si="22"/>
        <v>-83.5</v>
      </c>
      <c r="AI93" s="121">
        <f t="shared" si="23"/>
        <v>0.54166666666666696</v>
      </c>
    </row>
    <row r="94" spans="1:88" x14ac:dyDescent="0.25">
      <c r="A94" s="122" t="s">
        <v>98</v>
      </c>
      <c r="B94" s="123">
        <v>-12.3</v>
      </c>
      <c r="C94" s="62">
        <v>-7.8</v>
      </c>
      <c r="D94" s="62">
        <v>-9.5</v>
      </c>
      <c r="E94" s="62">
        <v>-7.4</v>
      </c>
      <c r="F94" s="62">
        <v>-8.4</v>
      </c>
      <c r="G94" s="62">
        <v>-6.3</v>
      </c>
      <c r="H94" s="62">
        <v>-3</v>
      </c>
      <c r="I94" s="62">
        <v>0.7</v>
      </c>
      <c r="J94" s="62">
        <v>3.3</v>
      </c>
      <c r="K94" s="62">
        <v>2</v>
      </c>
      <c r="L94" s="62">
        <v>5.6</v>
      </c>
      <c r="M94" s="62">
        <v>2.8</v>
      </c>
      <c r="N94" s="62">
        <v>0.6</v>
      </c>
      <c r="O94" s="62">
        <v>0.6</v>
      </c>
      <c r="P94" s="62">
        <v>26</v>
      </c>
      <c r="Q94" s="62">
        <v>26.9</v>
      </c>
      <c r="R94" s="62">
        <v>7.9</v>
      </c>
      <c r="S94" s="62">
        <v>7.3</v>
      </c>
      <c r="T94" s="62">
        <v>1</v>
      </c>
      <c r="U94" s="62">
        <v>2.4</v>
      </c>
      <c r="V94" s="62">
        <v>21.2</v>
      </c>
      <c r="W94" s="62">
        <v>40.299999999999997</v>
      </c>
      <c r="X94" s="62">
        <v>36.6</v>
      </c>
      <c r="Y94" s="62">
        <v>18.2</v>
      </c>
      <c r="Z94" s="62">
        <v>15</v>
      </c>
      <c r="AA94" s="52">
        <v>11.8</v>
      </c>
      <c r="AB94" s="52">
        <v>1.7</v>
      </c>
      <c r="AC94" s="52">
        <v>1.7</v>
      </c>
      <c r="AD94" s="52">
        <v>0.5</v>
      </c>
      <c r="AE94" s="52">
        <v>-6.9</v>
      </c>
      <c r="AF94" s="123">
        <v>-8.5</v>
      </c>
      <c r="AG94" s="120">
        <v>60</v>
      </c>
      <c r="AH94" s="56">
        <f t="shared" si="22"/>
        <v>40.299999999999997</v>
      </c>
      <c r="AI94" s="121">
        <f t="shared" si="23"/>
        <v>0.75</v>
      </c>
    </row>
    <row r="95" spans="1:88" x14ac:dyDescent="0.25">
      <c r="A95" s="124" t="s">
        <v>99</v>
      </c>
      <c r="B95" s="126">
        <v>-9.4</v>
      </c>
      <c r="C95" s="65">
        <v>-5.4</v>
      </c>
      <c r="D95" s="62">
        <v>-9.1</v>
      </c>
      <c r="E95" s="65">
        <v>-2</v>
      </c>
      <c r="F95" s="65">
        <v>0</v>
      </c>
      <c r="G95" s="65">
        <v>8.3000000000000007</v>
      </c>
      <c r="H95" s="65">
        <v>24</v>
      </c>
      <c r="I95" s="65">
        <v>40</v>
      </c>
      <c r="J95" s="65">
        <v>41</v>
      </c>
      <c r="K95" s="65">
        <v>57</v>
      </c>
      <c r="L95" s="65">
        <v>61.8</v>
      </c>
      <c r="M95" s="65">
        <v>49.7</v>
      </c>
      <c r="N95" s="65">
        <v>43.7</v>
      </c>
      <c r="O95" s="65">
        <v>43.7</v>
      </c>
      <c r="P95" s="65">
        <v>23.2</v>
      </c>
      <c r="Q95" s="65">
        <v>21.3</v>
      </c>
      <c r="R95" s="65">
        <v>24.7</v>
      </c>
      <c r="S95" s="65">
        <v>34.799999999999997</v>
      </c>
      <c r="T95" s="65">
        <v>44.7</v>
      </c>
      <c r="U95" s="65">
        <v>52.7</v>
      </c>
      <c r="V95" s="65">
        <v>82.3</v>
      </c>
      <c r="W95" s="65">
        <v>89.3</v>
      </c>
      <c r="X95" s="65">
        <v>60.9</v>
      </c>
      <c r="Y95" s="65">
        <v>74.8</v>
      </c>
      <c r="Z95" s="65">
        <v>52</v>
      </c>
      <c r="AA95" s="125">
        <v>34.799999999999997</v>
      </c>
      <c r="AB95" s="125">
        <v>37.700000000000003</v>
      </c>
      <c r="AC95" s="125">
        <v>17.100000000000001</v>
      </c>
      <c r="AD95" s="125">
        <v>6.8</v>
      </c>
      <c r="AE95" s="125">
        <v>5.0999999999999996</v>
      </c>
      <c r="AF95" s="126">
        <v>0</v>
      </c>
      <c r="AG95" s="127">
        <v>120</v>
      </c>
      <c r="AH95" s="56">
        <f t="shared" si="22"/>
        <v>89.3</v>
      </c>
      <c r="AI95" s="121">
        <f t="shared" si="23"/>
        <v>0.75</v>
      </c>
    </row>
    <row r="96" spans="1:88" x14ac:dyDescent="0.25">
      <c r="A96" s="124" t="s">
        <v>100</v>
      </c>
      <c r="B96" s="126">
        <v>23.4</v>
      </c>
      <c r="C96" s="65">
        <v>28.3</v>
      </c>
      <c r="D96" s="65">
        <v>25.2</v>
      </c>
      <c r="E96" s="65">
        <v>34</v>
      </c>
      <c r="F96" s="65">
        <v>28</v>
      </c>
      <c r="G96" s="65">
        <v>37</v>
      </c>
      <c r="H96" s="65">
        <v>43</v>
      </c>
      <c r="I96" s="65">
        <v>52</v>
      </c>
      <c r="J96" s="65">
        <v>51</v>
      </c>
      <c r="K96" s="65">
        <v>65</v>
      </c>
      <c r="L96" s="65">
        <v>66.400000000000006</v>
      </c>
      <c r="M96" s="65">
        <v>58.9</v>
      </c>
      <c r="N96" s="65">
        <v>54.4</v>
      </c>
      <c r="O96" s="65">
        <v>54.4</v>
      </c>
      <c r="P96" s="65">
        <v>40.200000000000003</v>
      </c>
      <c r="Q96" s="65">
        <v>39.5</v>
      </c>
      <c r="R96" s="65">
        <v>39</v>
      </c>
      <c r="S96" s="65">
        <v>40.9</v>
      </c>
      <c r="T96" s="65">
        <v>48.5</v>
      </c>
      <c r="U96" s="65">
        <v>55.6</v>
      </c>
      <c r="V96" s="65">
        <v>72.900000000000006</v>
      </c>
      <c r="W96" s="65">
        <v>76.3</v>
      </c>
      <c r="X96" s="65">
        <v>55.1</v>
      </c>
      <c r="Y96" s="65">
        <v>71.099999999999994</v>
      </c>
      <c r="Z96" s="65">
        <v>60</v>
      </c>
      <c r="AA96" s="125">
        <v>42.6</v>
      </c>
      <c r="AB96" s="125">
        <v>44.7</v>
      </c>
      <c r="AC96" s="125">
        <v>35.299999999999997</v>
      </c>
      <c r="AD96" s="125">
        <v>28.9</v>
      </c>
      <c r="AE96" s="125">
        <v>30.2</v>
      </c>
      <c r="AF96" s="126">
        <v>27</v>
      </c>
      <c r="AG96" s="127"/>
      <c r="AH96" s="56">
        <f t="shared" si="22"/>
        <v>76.3</v>
      </c>
      <c r="AI96" s="121">
        <f t="shared" si="23"/>
        <v>0.75</v>
      </c>
    </row>
    <row r="97" spans="1:37" ht="15.75" thickBot="1" x14ac:dyDescent="0.3">
      <c r="A97" s="124" t="s">
        <v>101</v>
      </c>
      <c r="B97" s="126">
        <v>43</v>
      </c>
      <c r="C97" s="65">
        <v>55.3</v>
      </c>
      <c r="D97" s="65">
        <v>52</v>
      </c>
      <c r="E97" s="65">
        <v>53</v>
      </c>
      <c r="F97" s="65">
        <v>40</v>
      </c>
      <c r="G97" s="65">
        <v>48</v>
      </c>
      <c r="H97" s="65">
        <v>47</v>
      </c>
      <c r="I97" s="65">
        <v>48</v>
      </c>
      <c r="J97" s="65">
        <v>53.5</v>
      </c>
      <c r="K97" s="65">
        <v>56</v>
      </c>
      <c r="L97" s="65">
        <v>49.4</v>
      </c>
      <c r="M97" s="65">
        <v>46.8</v>
      </c>
      <c r="N97" s="65">
        <v>32.5</v>
      </c>
      <c r="O97" s="65">
        <v>32.5</v>
      </c>
      <c r="P97" s="65">
        <v>28.4</v>
      </c>
      <c r="Q97" s="65">
        <v>36</v>
      </c>
      <c r="R97" s="65">
        <v>37</v>
      </c>
      <c r="S97" s="65">
        <v>34.6</v>
      </c>
      <c r="T97" s="65">
        <v>37.4</v>
      </c>
      <c r="U97" s="65">
        <v>41.2</v>
      </c>
      <c r="V97" s="65">
        <v>55.1</v>
      </c>
      <c r="W97" s="65">
        <v>85.9</v>
      </c>
      <c r="X97" s="65">
        <v>66.900000000000006</v>
      </c>
      <c r="Y97" s="65">
        <v>68.599999999999994</v>
      </c>
      <c r="Z97" s="65">
        <v>58</v>
      </c>
      <c r="AA97" s="125">
        <v>42.8</v>
      </c>
      <c r="AB97" s="125">
        <v>44.4</v>
      </c>
      <c r="AC97" s="125">
        <v>42.5</v>
      </c>
      <c r="AD97" s="125">
        <v>40.799999999999997</v>
      </c>
      <c r="AE97" s="125">
        <v>49.6</v>
      </c>
      <c r="AF97" s="126">
        <v>51.4</v>
      </c>
      <c r="AG97" s="128"/>
      <c r="AH97" s="56">
        <f t="shared" si="22"/>
        <v>85.9</v>
      </c>
      <c r="AI97" s="121">
        <f t="shared" si="23"/>
        <v>0.75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1133.1399999999999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11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2078/07/11)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2078/07/11)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831.6400000000001</v>
      </c>
      <c r="U211" s="173">
        <f t="shared" si="52"/>
        <v>803.44</v>
      </c>
      <c r="V211" s="173">
        <f t="shared" si="52"/>
        <v>806.44</v>
      </c>
      <c r="W211" s="173">
        <f t="shared" si="52"/>
        <v>816.44</v>
      </c>
      <c r="X211" s="173">
        <f t="shared" si="52"/>
        <v>872.6400000000001</v>
      </c>
      <c r="Y211" s="173">
        <f t="shared" si="52"/>
        <v>908.6400000000001</v>
      </c>
      <c r="Z211" s="173">
        <f t="shared" si="52"/>
        <v>939.04000000000008</v>
      </c>
      <c r="AA211" s="173">
        <f t="shared" si="52"/>
        <v>1026.94</v>
      </c>
      <c r="AB211" s="173">
        <f t="shared" si="52"/>
        <v>1073.94</v>
      </c>
      <c r="AC211" s="173">
        <f t="shared" si="52"/>
        <v>1116.94</v>
      </c>
      <c r="AD211" s="173">
        <f t="shared" si="52"/>
        <v>1133.1399999999999</v>
      </c>
      <c r="AE211" s="173">
        <f t="shared" si="52"/>
        <v>1098.54</v>
      </c>
      <c r="AF211" s="173">
        <f t="shared" si="52"/>
        <v>1108.24</v>
      </c>
      <c r="AG211" s="173">
        <f t="shared" si="52"/>
        <v>1096.54</v>
      </c>
      <c r="AH211" s="173">
        <f t="shared" si="52"/>
        <v>1057.24</v>
      </c>
      <c r="AI211" s="173">
        <f t="shared" si="52"/>
        <v>1047.04</v>
      </c>
      <c r="AJ211" s="173">
        <f t="shared" si="52"/>
        <v>1060.74</v>
      </c>
      <c r="AK211" s="173">
        <f t="shared" si="52"/>
        <v>1098.6400000000001</v>
      </c>
      <c r="AL211" s="173">
        <f t="shared" si="52"/>
        <v>1111.04</v>
      </c>
      <c r="AM211" s="173">
        <f t="shared" si="52"/>
        <v>1116.1399999999999</v>
      </c>
      <c r="AN211" s="173">
        <f t="shared" si="52"/>
        <v>1274.74</v>
      </c>
      <c r="AO211" s="173">
        <f t="shared" si="52"/>
        <v>1390.04</v>
      </c>
      <c r="AP211" s="173">
        <f t="shared" si="52"/>
        <v>1317.3400000000001</v>
      </c>
      <c r="AQ211" s="173">
        <f t="shared" si="52"/>
        <v>1283.74</v>
      </c>
      <c r="AR211" s="173">
        <f t="shared" si="52"/>
        <v>1246.8400000000001</v>
      </c>
      <c r="AS211" s="173">
        <f t="shared" si="52"/>
        <v>1125.94</v>
      </c>
      <c r="AT211" s="173">
        <f t="shared" si="52"/>
        <v>1128.54</v>
      </c>
      <c r="AU211" s="173">
        <f t="shared" si="52"/>
        <v>1044.04</v>
      </c>
      <c r="AV211" s="173">
        <f t="shared" si="52"/>
        <v>901.84000000000015</v>
      </c>
      <c r="AW211" s="173">
        <f t="shared" si="52"/>
        <v>840.1400000000001</v>
      </c>
      <c r="AX211" s="173">
        <f t="shared" si="52"/>
        <v>838.24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397" priority="429">
      <formula>S$9&gt;=20/24</formula>
    </cfRule>
    <cfRule type="expression" dxfId="7396" priority="430">
      <formula>AND(S$9&gt;=14/24,S$9&lt;20/24)</formula>
    </cfRule>
    <cfRule type="expression" dxfId="7395" priority="431">
      <formula>AND(S$9&gt;=8/24,S$9&lt;14/24)</formula>
    </cfRule>
    <cfRule type="expression" dxfId="7394" priority="432">
      <formula>S$9&lt;8/24</formula>
    </cfRule>
  </conditionalFormatting>
  <conditionalFormatting sqref="B8:AF10 AA79:AF79 C79:Q79 C54:AF54 C80:AF80 C191:AF197 C66:AF70 M60:M65 T210:AX210 L11:P11 L56:P57 AB82:AF89 C72:AF76 C78:AF78 L58:M59 C61:K65 C55:K59 L15:N29 L12:N13 L37:N40 P12:P13 N58:P65 L35:Q35 Q11:Q13 P37:Q40 V56:V57 W27:W29 W17:W25 Q56:U65 T21:V21 R12:V13 T26:W26 R38:V39 P43:V46 W56:Z56 W83:AA89 R11:AB11 X17:AB23 W38:AD40 X26:AB29 AC11:AD13 AC15:AD23 AC41:AD41 L51:AF53 AE18:AF23 AC27:AF29 V58:AF65 X25:AD25 X24:AF24 L31:N31">
    <cfRule type="expression" dxfId="7393" priority="425">
      <formula>B$9&gt;=20/24</formula>
    </cfRule>
    <cfRule type="expression" dxfId="7392" priority="426">
      <formula>AND(B$9&gt;=14/24,B$9&lt;20/24)</formula>
    </cfRule>
    <cfRule type="expression" dxfId="7391" priority="427">
      <formula>AND(B$9&gt;=8/24,B$9&lt;14/24)</formula>
    </cfRule>
    <cfRule type="expression" dxfId="7390" priority="428">
      <formula>B$9&lt;8/24</formula>
    </cfRule>
  </conditionalFormatting>
  <conditionalFormatting sqref="B189:AF189">
    <cfRule type="expression" dxfId="7389" priority="421">
      <formula>B$9&gt;=20/24</formula>
    </cfRule>
    <cfRule type="expression" dxfId="7388" priority="422">
      <formula>AND(B$9&gt;=14/24,B$9&lt;20/24)</formula>
    </cfRule>
    <cfRule type="expression" dxfId="7387" priority="423">
      <formula>AND(B$9&gt;=8/24,B$9&lt;14/24)</formula>
    </cfRule>
    <cfRule type="expression" dxfId="7386" priority="424">
      <formula>B$9&lt;8/24</formula>
    </cfRule>
  </conditionalFormatting>
  <conditionalFormatting sqref="AL4:AL6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L55:U55">
    <cfRule type="expression" dxfId="7385" priority="416">
      <formula>L$9&gt;=20/24</formula>
    </cfRule>
    <cfRule type="expression" dxfId="7384" priority="417">
      <formula>AND(L$9&gt;=14/24,L$9&lt;20/24)</formula>
    </cfRule>
    <cfRule type="expression" dxfId="7383" priority="418">
      <formula>AND(L$9&gt;=8/24,L$9&lt;14/24)</formula>
    </cfRule>
    <cfRule type="expression" dxfId="7382" priority="419">
      <formula>L$9&lt;8/24</formula>
    </cfRule>
  </conditionalFormatting>
  <conditionalFormatting sqref="L41:N41 P41:V41">
    <cfRule type="expression" dxfId="7381" priority="412">
      <formula>L$9&gt;=20/24</formula>
    </cfRule>
    <cfRule type="expression" dxfId="7380" priority="413">
      <formula>AND(L$9&gt;=14/24,L$9&lt;20/24)</formula>
    </cfRule>
    <cfRule type="expression" dxfId="7379" priority="414">
      <formula>AND(L$9&gt;=8/24,L$9&lt;14/24)</formula>
    </cfRule>
    <cfRule type="expression" dxfId="7378" priority="415">
      <formula>L$9&lt;8/24</formula>
    </cfRule>
  </conditionalFormatting>
  <conditionalFormatting sqref="AC31:AF31">
    <cfRule type="expression" dxfId="7377" priority="408">
      <formula>AC$9&gt;=20/24</formula>
    </cfRule>
    <cfRule type="expression" dxfId="7376" priority="409">
      <formula>AND(AC$9&gt;=14/24,AC$9&lt;20/24)</formula>
    </cfRule>
    <cfRule type="expression" dxfId="7375" priority="410">
      <formula>AND(AC$9&gt;=8/24,AC$9&lt;14/24)</formula>
    </cfRule>
    <cfRule type="expression" dxfId="7374" priority="411">
      <formula>AC$9&lt;8/24</formula>
    </cfRule>
  </conditionalFormatting>
  <conditionalFormatting sqref="R37:AD37">
    <cfRule type="expression" dxfId="7373" priority="404">
      <formula>R$9&gt;=20/24</formula>
    </cfRule>
    <cfRule type="expression" dxfId="7372" priority="405">
      <formula>AND(R$9&gt;=14/24,R$9&lt;20/24)</formula>
    </cfRule>
    <cfRule type="expression" dxfId="7371" priority="406">
      <formula>AND(R$9&gt;=8/24,R$9&lt;14/24)</formula>
    </cfRule>
    <cfRule type="expression" dxfId="7370" priority="407">
      <formula>R$9&lt;8/24</formula>
    </cfRule>
  </conditionalFormatting>
  <conditionalFormatting sqref="V55:AF55">
    <cfRule type="expression" dxfId="7369" priority="400">
      <formula>V$9&gt;=20/24</formula>
    </cfRule>
    <cfRule type="expression" dxfId="7368" priority="401">
      <formula>AND(V$9&gt;=14/24,V$9&lt;20/24)</formula>
    </cfRule>
    <cfRule type="expression" dxfId="7367" priority="402">
      <formula>AND(V$9&gt;=8/24,V$9&lt;14/24)</formula>
    </cfRule>
    <cfRule type="expression" dxfId="7366" priority="403">
      <formula>V$9&lt;8/24</formula>
    </cfRule>
  </conditionalFormatting>
  <conditionalFormatting sqref="R79:Z79">
    <cfRule type="expression" dxfId="7365" priority="396">
      <formula>R$9&gt;=20/24</formula>
    </cfRule>
    <cfRule type="expression" dxfId="7364" priority="397">
      <formula>AND(R$9&gt;=14/24,R$9&lt;20/24)</formula>
    </cfRule>
    <cfRule type="expression" dxfId="7363" priority="398">
      <formula>AND(R$9&gt;=8/24,R$9&lt;14/24)</formula>
    </cfRule>
    <cfRule type="expression" dxfId="7362" priority="399">
      <formula>R$9&lt;8/24</formula>
    </cfRule>
  </conditionalFormatting>
  <conditionalFormatting sqref="T82:AA82">
    <cfRule type="expression" dxfId="7361" priority="392">
      <formula>T$9&gt;=20/24</formula>
    </cfRule>
    <cfRule type="expression" dxfId="7360" priority="393">
      <formula>AND(T$9&gt;=14/24,T$9&lt;20/24)</formula>
    </cfRule>
    <cfRule type="expression" dxfId="7359" priority="394">
      <formula>AND(T$9&gt;=8/24,T$9&lt;14/24)</formula>
    </cfRule>
    <cfRule type="expression" dxfId="7358" priority="395">
      <formula>T$9&lt;8/24</formula>
    </cfRule>
  </conditionalFormatting>
  <conditionalFormatting sqref="L33:N33">
    <cfRule type="expression" dxfId="7357" priority="388">
      <formula>L$9&gt;=20/24</formula>
    </cfRule>
    <cfRule type="expression" dxfId="7356" priority="389">
      <formula>AND(L$9&gt;=14/24,L$9&lt;20/24)</formula>
    </cfRule>
    <cfRule type="expression" dxfId="7355" priority="390">
      <formula>AND(L$9&gt;=8/24,L$9&lt;14/24)</formula>
    </cfRule>
    <cfRule type="expression" dxfId="7354" priority="391">
      <formula>L$9&lt;8/24</formula>
    </cfRule>
  </conditionalFormatting>
  <conditionalFormatting sqref="L47:N47 P47:V47">
    <cfRule type="expression" dxfId="7353" priority="384">
      <formula>L$9&gt;=20/24</formula>
    </cfRule>
    <cfRule type="expression" dxfId="7352" priority="385">
      <formula>AND(L$9&gt;=14/24,L$9&lt;20/24)</formula>
    </cfRule>
    <cfRule type="expression" dxfId="7351" priority="386">
      <formula>AND(L$9&gt;=8/24,L$9&lt;14/24)</formula>
    </cfRule>
    <cfRule type="expression" dxfId="7350" priority="387">
      <formula>L$9&lt;8/24</formula>
    </cfRule>
  </conditionalFormatting>
  <conditionalFormatting sqref="L48:N48 P48:V48">
    <cfRule type="expression" dxfId="7349" priority="380">
      <formula>L$9&gt;=20/24</formula>
    </cfRule>
    <cfRule type="expression" dxfId="7348" priority="381">
      <formula>AND(L$9&gt;=14/24,L$9&lt;20/24)</formula>
    </cfRule>
    <cfRule type="expression" dxfId="7347" priority="382">
      <formula>AND(L$9&gt;=8/24,L$9&lt;14/24)</formula>
    </cfRule>
    <cfRule type="expression" dxfId="7346" priority="383">
      <formula>L$9&lt;8/24</formula>
    </cfRule>
  </conditionalFormatting>
  <conditionalFormatting sqref="L43:N46 P43:V46">
    <cfRule type="expression" dxfId="7345" priority="376">
      <formula>L$9&gt;=20/24</formula>
    </cfRule>
    <cfRule type="expression" dxfId="7344" priority="377">
      <formula>AND(L$9&gt;=14/24,L$9&lt;20/24)</formula>
    </cfRule>
    <cfRule type="expression" dxfId="7343" priority="378">
      <formula>AND(L$9&gt;=8/24,L$9&lt;14/24)</formula>
    </cfRule>
    <cfRule type="expression" dxfId="7342" priority="379">
      <formula>L$9&lt;8/24</formula>
    </cfRule>
  </conditionalFormatting>
  <conditionalFormatting sqref="R35:AD35">
    <cfRule type="expression" dxfId="7341" priority="372">
      <formula>R$9&gt;=20/24</formula>
    </cfRule>
    <cfRule type="expression" dxfId="7340" priority="373">
      <formula>AND(R$9&gt;=14/24,R$9&lt;20/24)</formula>
    </cfRule>
    <cfRule type="expression" dxfId="7339" priority="374">
      <formula>AND(R$9&gt;=8/24,R$9&lt;14/24)</formula>
    </cfRule>
    <cfRule type="expression" dxfId="7338" priority="375">
      <formula>R$9&lt;8/24</formula>
    </cfRule>
  </conditionalFormatting>
  <conditionalFormatting sqref="W31:AB31 W33:AF33">
    <cfRule type="expression" dxfId="7337" priority="368">
      <formula>W$9&gt;=20/24</formula>
    </cfRule>
    <cfRule type="expression" dxfId="7336" priority="369">
      <formula>AND(W$9&gt;=14/24,W$9&lt;20/24)</formula>
    </cfRule>
    <cfRule type="expression" dxfId="7335" priority="370">
      <formula>AND(W$9&gt;=8/24,W$9&lt;14/24)</formula>
    </cfRule>
    <cfRule type="expression" dxfId="7334" priority="371">
      <formula>W$9&lt;8/24</formula>
    </cfRule>
  </conditionalFormatting>
  <conditionalFormatting sqref="R40:V40 W41:AB41 W43:AD46">
    <cfRule type="expression" dxfId="7333" priority="364">
      <formula>R$9&gt;=20/24</formula>
    </cfRule>
    <cfRule type="expression" dxfId="7332" priority="365">
      <formula>AND(R$9&gt;=14/24,R$9&lt;20/24)</formula>
    </cfRule>
    <cfRule type="expression" dxfId="7331" priority="366">
      <formula>AND(R$9&gt;=8/24,R$9&lt;14/24)</formula>
    </cfRule>
    <cfRule type="expression" dxfId="7330" priority="367">
      <formula>R$9&lt;8/24</formula>
    </cfRule>
  </conditionalFormatting>
  <conditionalFormatting sqref="W47:AD47">
    <cfRule type="expression" dxfId="7329" priority="360">
      <formula>W$9&gt;=20/24</formula>
    </cfRule>
    <cfRule type="expression" dxfId="7328" priority="361">
      <formula>AND(W$9&gt;=14/24,W$9&lt;20/24)</formula>
    </cfRule>
    <cfRule type="expression" dxfId="7327" priority="362">
      <formula>AND(W$9&gt;=8/24,W$9&lt;14/24)</formula>
    </cfRule>
    <cfRule type="expression" dxfId="7326" priority="363">
      <formula>W$9&lt;8/24</formula>
    </cfRule>
  </conditionalFormatting>
  <conditionalFormatting sqref="W48:AD48">
    <cfRule type="expression" dxfId="7325" priority="356">
      <formula>W$9&gt;=20/24</formula>
    </cfRule>
    <cfRule type="expression" dxfId="7324" priority="357">
      <formula>AND(W$9&gt;=14/24,W$9&lt;20/24)</formula>
    </cfRule>
    <cfRule type="expression" dxfId="7323" priority="358">
      <formula>AND(W$9&gt;=8/24,W$9&lt;14/24)</formula>
    </cfRule>
    <cfRule type="expression" dxfId="7322" priority="359">
      <formula>W$9&lt;8/24</formula>
    </cfRule>
  </conditionalFormatting>
  <conditionalFormatting sqref="AA92:AF95">
    <cfRule type="expression" dxfId="7321" priority="348">
      <formula>AA$9&gt;=20/24</formula>
    </cfRule>
    <cfRule type="expression" dxfId="7320" priority="349">
      <formula>AND(AA$9&gt;=14/24,AA$9&lt;20/24)</formula>
    </cfRule>
    <cfRule type="expression" dxfId="7319" priority="350">
      <formula>AND(AA$9&gt;=8/24,AA$9&lt;14/24)</formula>
    </cfRule>
    <cfRule type="expression" dxfId="7318" priority="351">
      <formula>AA$9&lt;8/24</formula>
    </cfRule>
  </conditionalFormatting>
  <conditionalFormatting sqref="C60:K60">
    <cfRule type="expression" dxfId="7317" priority="344">
      <formula>C$9&gt;=20/24</formula>
    </cfRule>
    <cfRule type="expression" dxfId="7316" priority="345">
      <formula>AND(C$9&gt;=14/24,C$9&lt;20/24)</formula>
    </cfRule>
    <cfRule type="expression" dxfId="7315" priority="346">
      <formula>AND(C$9&gt;=8/24,C$9&lt;14/24)</formula>
    </cfRule>
    <cfRule type="expression" dxfId="7314" priority="347">
      <formula>C$9&lt;8/24</formula>
    </cfRule>
  </conditionalFormatting>
  <conditionalFormatting sqref="T92:Z95">
    <cfRule type="expression" dxfId="7313" priority="340">
      <formula>T$9&gt;=20/24</formula>
    </cfRule>
    <cfRule type="expression" dxfId="7312" priority="341">
      <formula>AND(T$9&gt;=14/24,T$9&lt;20/24)</formula>
    </cfRule>
    <cfRule type="expression" dxfId="7311" priority="342">
      <formula>AND(T$9&gt;=8/24,T$9&lt;14/24)</formula>
    </cfRule>
    <cfRule type="expression" dxfId="7310" priority="343">
      <formula>T$9&lt;8/24</formula>
    </cfRule>
  </conditionalFormatting>
  <conditionalFormatting sqref="AG49 I11:P11 I12:M12 I15:K15 L13:M13 C43:M43 L44:M44 L15:N29 N12:N13 L33:N34 C45:M48 N43:N48 C36:AF36 P12:P13 C37:N41 Q11:Q13 T21:V21 R12:V13 T26:V26 F35:AF35 R11:AB11 W17:AB23 C49:AF54 AC11:AF13 W33:AF34 AC15:AF23 P43:AF48 P37:AF41 W24:AF29 W31:AF31 L31:N31">
    <cfRule type="expression" dxfId="7309" priority="339">
      <formula>C11&gt;$AG11</formula>
    </cfRule>
  </conditionalFormatting>
  <conditionalFormatting sqref="A98:A154 A82:A95 A11:A13 A15:A31 A43:A70 A78:A80 A72:A76 A33:A41 A167:A198">
    <cfRule type="expression" dxfId="7308" priority="338">
      <formula>$AH11=0</formula>
    </cfRule>
  </conditionalFormatting>
  <conditionalFormatting sqref="AA96:AF96">
    <cfRule type="expression" dxfId="7307" priority="334">
      <formula>AA$9&gt;=20/24</formula>
    </cfRule>
    <cfRule type="expression" dxfId="7306" priority="335">
      <formula>AND(AA$9&gt;=14/24,AA$9&lt;20/24)</formula>
    </cfRule>
    <cfRule type="expression" dxfId="7305" priority="336">
      <formula>AND(AA$9&gt;=8/24,AA$9&lt;14/24)</formula>
    </cfRule>
    <cfRule type="expression" dxfId="7304" priority="337">
      <formula>AA$9&lt;8/24</formula>
    </cfRule>
  </conditionalFormatting>
  <conditionalFormatting sqref="T96:Z96">
    <cfRule type="expression" dxfId="7303" priority="330">
      <formula>T$9&gt;=20/24</formula>
    </cfRule>
    <cfRule type="expression" dxfId="7302" priority="331">
      <formula>AND(T$9&gt;=14/24,T$9&lt;20/24)</formula>
    </cfRule>
    <cfRule type="expression" dxfId="7301" priority="332">
      <formula>AND(T$9&gt;=8/24,T$9&lt;14/24)</formula>
    </cfRule>
    <cfRule type="expression" dxfId="7300" priority="333">
      <formula>T$9&lt;8/24</formula>
    </cfRule>
  </conditionalFormatting>
  <conditionalFormatting sqref="A96">
    <cfRule type="expression" dxfId="7299" priority="329">
      <formula>$AH96=0</formula>
    </cfRule>
  </conditionalFormatting>
  <conditionalFormatting sqref="L34:N34 W34:AF34">
    <cfRule type="expression" dxfId="7298" priority="325">
      <formula>L$9&gt;=20/24</formula>
    </cfRule>
    <cfRule type="expression" dxfId="7297" priority="326">
      <formula>AND(L$9&gt;=14/24,L$9&lt;20/24)</formula>
    </cfRule>
    <cfRule type="expression" dxfId="7296" priority="327">
      <formula>AND(L$9&gt;=8/24,L$9&lt;14/24)</formula>
    </cfRule>
    <cfRule type="expression" dxfId="7295" priority="328">
      <formula>L$9&lt;8/24</formula>
    </cfRule>
  </conditionalFormatting>
  <conditionalFormatting sqref="W34:AF34">
    <cfRule type="expression" dxfId="7294" priority="321">
      <formula>W$9&gt;=20/24</formula>
    </cfRule>
    <cfRule type="expression" dxfId="7293" priority="322">
      <formula>AND(W$9&gt;=14/24,W$9&lt;20/24)</formula>
    </cfRule>
    <cfRule type="expression" dxfId="7292" priority="323">
      <formula>AND(W$9&gt;=8/24,W$9&lt;14/24)</formula>
    </cfRule>
    <cfRule type="expression" dxfId="7291" priority="324">
      <formula>W$9&lt;8/24</formula>
    </cfRule>
  </conditionalFormatting>
  <conditionalFormatting sqref="L60:L65">
    <cfRule type="expression" dxfId="7290" priority="309">
      <formula>L$9&gt;=20/24</formula>
    </cfRule>
    <cfRule type="expression" dxfId="7289" priority="310">
      <formula>AND(L$9&gt;=14/24,L$9&lt;20/24)</formula>
    </cfRule>
    <cfRule type="expression" dxfId="7288" priority="311">
      <formula>AND(L$9&gt;=8/24,L$9&lt;14/24)</formula>
    </cfRule>
    <cfRule type="expression" dxfId="7287" priority="312">
      <formula>L$9&lt;8/24</formula>
    </cfRule>
  </conditionalFormatting>
  <conditionalFormatting sqref="AL31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C32:AF32">
    <cfRule type="expression" dxfId="7286" priority="304">
      <formula>AC$9&gt;=20/24</formula>
    </cfRule>
    <cfRule type="expression" dxfId="7285" priority="305">
      <formula>AND(AC$9&gt;=14/24,AC$9&lt;20/24)</formula>
    </cfRule>
    <cfRule type="expression" dxfId="7284" priority="306">
      <formula>AND(AC$9&gt;=8/24,AC$9&lt;14/24)</formula>
    </cfRule>
    <cfRule type="expression" dxfId="7283" priority="307">
      <formula>AC$9&lt;8/24</formula>
    </cfRule>
  </conditionalFormatting>
  <conditionalFormatting sqref="L32:N32">
    <cfRule type="expression" dxfId="7282" priority="300">
      <formula>L$9&gt;=20/24</formula>
    </cfRule>
    <cfRule type="expression" dxfId="7281" priority="301">
      <formula>AND(L$9&gt;=14/24,L$9&lt;20/24)</formula>
    </cfRule>
    <cfRule type="expression" dxfId="7280" priority="302">
      <formula>AND(L$9&gt;=8/24,L$9&lt;14/24)</formula>
    </cfRule>
    <cfRule type="expression" dxfId="7279" priority="303">
      <formula>L$9&lt;8/24</formula>
    </cfRule>
  </conditionalFormatting>
  <conditionalFormatting sqref="W32:AB32">
    <cfRule type="expression" dxfId="7278" priority="296">
      <formula>W$9&gt;=20/24</formula>
    </cfRule>
    <cfRule type="expression" dxfId="7277" priority="297">
      <formula>AND(W$9&gt;=14/24,W$9&lt;20/24)</formula>
    </cfRule>
    <cfRule type="expression" dxfId="7276" priority="298">
      <formula>AND(W$9&gt;=8/24,W$9&lt;14/24)</formula>
    </cfRule>
    <cfRule type="expression" dxfId="7275" priority="299">
      <formula>W$9&lt;8/24</formula>
    </cfRule>
  </conditionalFormatting>
  <conditionalFormatting sqref="L32:N32 W32:AF32">
    <cfRule type="expression" dxfId="7274" priority="295">
      <formula>L32&gt;$AG32</formula>
    </cfRule>
  </conditionalFormatting>
  <conditionalFormatting sqref="A32">
    <cfRule type="expression" dxfId="7273" priority="294">
      <formula>$AH32=0</formula>
    </cfRule>
  </conditionalFormatting>
  <conditionalFormatting sqref="C81:AF81">
    <cfRule type="expression" dxfId="7272" priority="290">
      <formula>C$9&gt;=20/24</formula>
    </cfRule>
    <cfRule type="expression" dxfId="7271" priority="291">
      <formula>AND(C$9&gt;=14/24,C$9&lt;20/24)</formula>
    </cfRule>
    <cfRule type="expression" dxfId="7270" priority="292">
      <formula>AND(C$9&gt;=8/24,C$9&lt;14/24)</formula>
    </cfRule>
    <cfRule type="expression" dxfId="7269" priority="293">
      <formula>C$9&lt;8/24</formula>
    </cfRule>
  </conditionalFormatting>
  <conditionalFormatting sqref="A81">
    <cfRule type="expression" dxfId="7268" priority="289">
      <formula>$AH81=0</formula>
    </cfRule>
  </conditionalFormatting>
  <conditionalFormatting sqref="AC14:AD14">
    <cfRule type="expression" dxfId="7267" priority="285">
      <formula>AC$9&gt;=20/24</formula>
    </cfRule>
    <cfRule type="expression" dxfId="7266" priority="286">
      <formula>AND(AC$9&gt;=14/24,AC$9&lt;20/24)</formula>
    </cfRule>
    <cfRule type="expression" dxfId="7265" priority="287">
      <formula>AND(AC$9&gt;=8/24,AC$9&lt;14/24)</formula>
    </cfRule>
    <cfRule type="expression" dxfId="7264" priority="288">
      <formula>AC$9&lt;8/24</formula>
    </cfRule>
  </conditionalFormatting>
  <conditionalFormatting sqref="L14:N14">
    <cfRule type="expression" dxfId="7263" priority="281">
      <formula>L$9&gt;=20/24</formula>
    </cfRule>
    <cfRule type="expression" dxfId="7262" priority="282">
      <formula>AND(L$9&gt;=14/24,L$9&lt;20/24)</formula>
    </cfRule>
    <cfRule type="expression" dxfId="7261" priority="283">
      <formula>AND(L$9&gt;=8/24,L$9&lt;14/24)</formula>
    </cfRule>
    <cfRule type="expression" dxfId="7260" priority="284">
      <formula>L$9&lt;8/24</formula>
    </cfRule>
  </conditionalFormatting>
  <conditionalFormatting sqref="L14:N14 AC14:AF14">
    <cfRule type="expression" dxfId="7259" priority="280">
      <formula>L14&gt;$AG14</formula>
    </cfRule>
  </conditionalFormatting>
  <conditionalFormatting sqref="A14">
    <cfRule type="expression" dxfId="7258" priority="279">
      <formula>$AH14=0</formula>
    </cfRule>
  </conditionalFormatting>
  <conditionalFormatting sqref="A161:A166">
    <cfRule type="expression" dxfId="7257" priority="278">
      <formula>$AH161=0</formula>
    </cfRule>
  </conditionalFormatting>
  <conditionalFormatting sqref="A155:A160">
    <cfRule type="expression" dxfId="7256" priority="277">
      <formula>$AH155=0</formula>
    </cfRule>
  </conditionalFormatting>
  <conditionalFormatting sqref="AC42:AD42">
    <cfRule type="expression" dxfId="7255" priority="273">
      <formula>AC$9&gt;=20/24</formula>
    </cfRule>
    <cfRule type="expression" dxfId="7254" priority="274">
      <formula>AND(AC$9&gt;=14/24,AC$9&lt;20/24)</formula>
    </cfRule>
    <cfRule type="expression" dxfId="7253" priority="275">
      <formula>AND(AC$9&gt;=8/24,AC$9&lt;14/24)</formula>
    </cfRule>
    <cfRule type="expression" dxfId="7252" priority="276">
      <formula>AC$9&lt;8/24</formula>
    </cfRule>
  </conditionalFormatting>
  <conditionalFormatting sqref="L42:N42 P42:V42">
    <cfRule type="expression" dxfId="7251" priority="269">
      <formula>L$9&gt;=20/24</formula>
    </cfRule>
    <cfRule type="expression" dxfId="7250" priority="270">
      <formula>AND(L$9&gt;=14/24,L$9&lt;20/24)</formula>
    </cfRule>
    <cfRule type="expression" dxfId="7249" priority="271">
      <formula>AND(L$9&gt;=8/24,L$9&lt;14/24)</formula>
    </cfRule>
    <cfRule type="expression" dxfId="7248" priority="272">
      <formula>L$9&lt;8/24</formula>
    </cfRule>
  </conditionalFormatting>
  <conditionalFormatting sqref="W42:AB42">
    <cfRule type="expression" dxfId="7247" priority="265">
      <formula>W$9&gt;=20/24</formula>
    </cfRule>
    <cfRule type="expression" dxfId="7246" priority="266">
      <formula>AND(W$9&gt;=14/24,W$9&lt;20/24)</formula>
    </cfRule>
    <cfRule type="expression" dxfId="7245" priority="267">
      <formula>AND(W$9&gt;=8/24,W$9&lt;14/24)</formula>
    </cfRule>
    <cfRule type="expression" dxfId="7244" priority="268">
      <formula>W$9&lt;8/24</formula>
    </cfRule>
  </conditionalFormatting>
  <conditionalFormatting sqref="C42:N42 P42:AF42">
    <cfRule type="expression" dxfId="7243" priority="264">
      <formula>C42&gt;$AG42</formula>
    </cfRule>
  </conditionalFormatting>
  <conditionalFormatting sqref="A42">
    <cfRule type="expression" dxfId="7242" priority="263">
      <formula>$AH42=0</formula>
    </cfRule>
  </conditionalFormatting>
  <conditionalFormatting sqref="C77:AF77">
    <cfRule type="expression" dxfId="7241" priority="259">
      <formula>C$9&gt;=20/24</formula>
    </cfRule>
    <cfRule type="expression" dxfId="7240" priority="260">
      <formula>AND(C$9&gt;=14/24,C$9&lt;20/24)</formula>
    </cfRule>
    <cfRule type="expression" dxfId="7239" priority="261">
      <formula>AND(C$9&gt;=8/24,C$9&lt;14/24)</formula>
    </cfRule>
    <cfRule type="expression" dxfId="7238" priority="262">
      <formula>C$9&lt;8/24</formula>
    </cfRule>
  </conditionalFormatting>
  <conditionalFormatting sqref="A77">
    <cfRule type="expression" dxfId="7237" priority="258">
      <formula>$AH77=0</formula>
    </cfRule>
  </conditionalFormatting>
  <conditionalFormatting sqref="C71:AG71">
    <cfRule type="expression" dxfId="7236" priority="254">
      <formula>C$9&gt;=20/24</formula>
    </cfRule>
    <cfRule type="expression" dxfId="7235" priority="255">
      <formula>AND(C$9&gt;=14/24,C$9&lt;20/24)</formula>
    </cfRule>
    <cfRule type="expression" dxfId="7234" priority="256">
      <formula>AND(C$9&gt;=8/24,C$9&lt;14/24)</formula>
    </cfRule>
    <cfRule type="expression" dxfId="7233" priority="257">
      <formula>C$9&lt;8/24</formula>
    </cfRule>
  </conditionalFormatting>
  <conditionalFormatting sqref="A71">
    <cfRule type="expression" dxfId="7232" priority="253">
      <formula>$AH71=0</formula>
    </cfRule>
  </conditionalFormatting>
  <conditionalFormatting sqref="AL32:AL33 AL7:AL30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7231" priority="245">
      <formula>T$9&gt;=20/24</formula>
    </cfRule>
    <cfRule type="expression" dxfId="7230" priority="246">
      <formula>AND(T$9&gt;=14/24,T$9&lt;20/24)</formula>
    </cfRule>
    <cfRule type="expression" dxfId="7229" priority="247">
      <formula>AND(T$9&gt;=8/24,T$9&lt;14/24)</formula>
    </cfRule>
    <cfRule type="expression" dxfId="7228" priority="248">
      <formula>T$9&lt;8/24</formula>
    </cfRule>
  </conditionalFormatting>
  <conditionalFormatting sqref="R83:S89 C82:Q89">
    <cfRule type="expression" dxfId="7227" priority="241">
      <formula>C$9&gt;=20/24</formula>
    </cfRule>
    <cfRule type="expression" dxfId="7226" priority="242">
      <formula>AND(C$9&gt;=14/24,C$9&lt;20/24)</formula>
    </cfRule>
    <cfRule type="expression" dxfId="7225" priority="243">
      <formula>AND(C$9&gt;=8/24,C$9&lt;14/24)</formula>
    </cfRule>
    <cfRule type="expression" dxfId="7224" priority="244">
      <formula>C$9&lt;8/24</formula>
    </cfRule>
  </conditionalFormatting>
  <conditionalFormatting sqref="R82:S82">
    <cfRule type="expression" dxfId="7223" priority="237">
      <formula>R$9&gt;=20/24</formula>
    </cfRule>
    <cfRule type="expression" dxfId="7222" priority="238">
      <formula>AND(R$9&gt;=14/24,R$9&lt;20/24)</formula>
    </cfRule>
    <cfRule type="expression" dxfId="7221" priority="239">
      <formula>AND(R$9&gt;=8/24,R$9&lt;14/24)</formula>
    </cfRule>
    <cfRule type="expression" dxfId="7220" priority="240">
      <formula>R$9&lt;8/24</formula>
    </cfRule>
  </conditionalFormatting>
  <conditionalFormatting sqref="C92:E92 D95:D96 C93:M95">
    <cfRule type="expression" dxfId="7219" priority="233">
      <formula>C$9&gt;=20/24</formula>
    </cfRule>
    <cfRule type="expression" dxfId="7218" priority="234">
      <formula>AND(C$9&gt;=14/24,C$9&lt;20/24)</formula>
    </cfRule>
    <cfRule type="expression" dxfId="7217" priority="235">
      <formula>AND(C$9&gt;=8/24,C$9&lt;14/24)</formula>
    </cfRule>
    <cfRule type="expression" dxfId="7216" priority="236">
      <formula>C$9&lt;8/24</formula>
    </cfRule>
  </conditionalFormatting>
  <conditionalFormatting sqref="N92:N95 P92:Q95">
    <cfRule type="expression" dxfId="7215" priority="229">
      <formula>N$9&gt;=20/24</formula>
    </cfRule>
    <cfRule type="expression" dxfId="7214" priority="230">
      <formula>AND(N$9&gt;=14/24,N$9&lt;20/24)</formula>
    </cfRule>
    <cfRule type="expression" dxfId="7213" priority="231">
      <formula>AND(N$9&gt;=8/24,N$9&lt;14/24)</formula>
    </cfRule>
    <cfRule type="expression" dxfId="7212" priority="232">
      <formula>N$9&lt;8/24</formula>
    </cfRule>
  </conditionalFormatting>
  <conditionalFormatting sqref="R92:S95">
    <cfRule type="expression" dxfId="7211" priority="225">
      <formula>R$9&gt;=20/24</formula>
    </cfRule>
    <cfRule type="expression" dxfId="7210" priority="226">
      <formula>AND(R$9&gt;=14/24,R$9&lt;20/24)</formula>
    </cfRule>
    <cfRule type="expression" dxfId="7209" priority="227">
      <formula>AND(R$9&gt;=8/24,R$9&lt;14/24)</formula>
    </cfRule>
    <cfRule type="expression" dxfId="7208" priority="228">
      <formula>R$9&lt;8/24</formula>
    </cfRule>
  </conditionalFormatting>
  <conditionalFormatting sqref="C96:M96">
    <cfRule type="expression" dxfId="7207" priority="221">
      <formula>C$9&gt;=20/24</formula>
    </cfRule>
    <cfRule type="expression" dxfId="7206" priority="222">
      <formula>AND(C$9&gt;=14/24,C$9&lt;20/24)</formula>
    </cfRule>
    <cfRule type="expression" dxfId="7205" priority="223">
      <formula>AND(C$9&gt;=8/24,C$9&lt;14/24)</formula>
    </cfRule>
    <cfRule type="expression" dxfId="7204" priority="224">
      <formula>C$9&lt;8/24</formula>
    </cfRule>
  </conditionalFormatting>
  <conditionalFormatting sqref="N96 P96:Q96">
    <cfRule type="expression" dxfId="7203" priority="217">
      <formula>N$9&gt;=20/24</formula>
    </cfRule>
    <cfRule type="expression" dxfId="7202" priority="218">
      <formula>AND(N$9&gt;=14/24,N$9&lt;20/24)</formula>
    </cfRule>
    <cfRule type="expression" dxfId="7201" priority="219">
      <formula>AND(N$9&gt;=8/24,N$9&lt;14/24)</formula>
    </cfRule>
    <cfRule type="expression" dxfId="7200" priority="220">
      <formula>N$9&lt;8/24</formula>
    </cfRule>
  </conditionalFormatting>
  <conditionalFormatting sqref="R96:S96">
    <cfRule type="expression" dxfId="7199" priority="213">
      <formula>R$9&gt;=20/24</formula>
    </cfRule>
    <cfRule type="expression" dxfId="7198" priority="214">
      <formula>AND(R$9&gt;=14/24,R$9&lt;20/24)</formula>
    </cfRule>
    <cfRule type="expression" dxfId="7197" priority="215">
      <formula>AND(R$9&gt;=8/24,R$9&lt;14/24)</formula>
    </cfRule>
    <cfRule type="expression" dxfId="7196" priority="216">
      <formula>R$9&lt;8/24</formula>
    </cfRule>
  </conditionalFormatting>
  <conditionalFormatting sqref="L92:M92">
    <cfRule type="expression" dxfId="7195" priority="209">
      <formula>L$9&gt;=20/24</formula>
    </cfRule>
    <cfRule type="expression" dxfId="7194" priority="210">
      <formula>AND(L$9&gt;=14/24,L$9&lt;20/24)</formula>
    </cfRule>
    <cfRule type="expression" dxfId="7193" priority="211">
      <formula>AND(L$9&gt;=8/24,L$9&lt;14/24)</formula>
    </cfRule>
    <cfRule type="expression" dxfId="7192" priority="212">
      <formula>L$9&lt;8/24</formula>
    </cfRule>
  </conditionalFormatting>
  <conditionalFormatting sqref="F92:K92">
    <cfRule type="expression" dxfId="7191" priority="205">
      <formula>F$9&gt;=20/24</formula>
    </cfRule>
    <cfRule type="expression" dxfId="7190" priority="206">
      <formula>AND(F$9&gt;=14/24,F$9&lt;20/24)</formula>
    </cfRule>
    <cfRule type="expression" dxfId="7189" priority="207">
      <formula>AND(F$9&gt;=8/24,F$9&lt;14/24)</formula>
    </cfRule>
    <cfRule type="expression" dxfId="7188" priority="208">
      <formula>F$9&lt;8/24</formula>
    </cfRule>
  </conditionalFormatting>
  <conditionalFormatting sqref="T92:V92">
    <cfRule type="expression" dxfId="7187" priority="201">
      <formula>T$9&gt;=20/24</formula>
    </cfRule>
    <cfRule type="expression" dxfId="7186" priority="202">
      <formula>AND(T$9&gt;=14/24,T$9&lt;20/24)</formula>
    </cfRule>
    <cfRule type="expression" dxfId="7185" priority="203">
      <formula>AND(T$9&gt;=8/24,T$9&lt;14/24)</formula>
    </cfRule>
    <cfRule type="expression" dxfId="7184" priority="204">
      <formula>T$9&lt;8/24</formula>
    </cfRule>
  </conditionalFormatting>
  <conditionalFormatting sqref="N92 P92:S92">
    <cfRule type="expression" dxfId="7183" priority="197">
      <formula>N$9&gt;=20/24</formula>
    </cfRule>
    <cfRule type="expression" dxfId="7182" priority="198">
      <formula>AND(N$9&gt;=14/24,N$9&lt;20/24)</formula>
    </cfRule>
    <cfRule type="expression" dxfId="7181" priority="199">
      <formula>AND(N$9&gt;=8/24,N$9&lt;14/24)</formula>
    </cfRule>
    <cfRule type="expression" dxfId="7180" priority="200">
      <formula>N$9&lt;8/24</formula>
    </cfRule>
  </conditionalFormatting>
  <conditionalFormatting sqref="AA97:AF97">
    <cfRule type="expression" dxfId="7179" priority="193">
      <formula>AA$9&gt;=20/24</formula>
    </cfRule>
    <cfRule type="expression" dxfId="7178" priority="194">
      <formula>AND(AA$9&gt;=14/24,AA$9&lt;20/24)</formula>
    </cfRule>
    <cfRule type="expression" dxfId="7177" priority="195">
      <formula>AND(AA$9&gt;=8/24,AA$9&lt;14/24)</formula>
    </cfRule>
    <cfRule type="expression" dxfId="7176" priority="196">
      <formula>AA$9&lt;8/24</formula>
    </cfRule>
  </conditionalFormatting>
  <conditionalFormatting sqref="T97:Z97">
    <cfRule type="expression" dxfId="7175" priority="189">
      <formula>T$9&gt;=20/24</formula>
    </cfRule>
    <cfRule type="expression" dxfId="7174" priority="190">
      <formula>AND(T$9&gt;=14/24,T$9&lt;20/24)</formula>
    </cfRule>
    <cfRule type="expression" dxfId="7173" priority="191">
      <formula>AND(T$9&gt;=8/24,T$9&lt;14/24)</formula>
    </cfRule>
    <cfRule type="expression" dxfId="7172" priority="192">
      <formula>T$9&lt;8/24</formula>
    </cfRule>
  </conditionalFormatting>
  <conditionalFormatting sqref="A97">
    <cfRule type="expression" dxfId="7171" priority="188">
      <formula>$AH97=0</formula>
    </cfRule>
  </conditionalFormatting>
  <conditionalFormatting sqref="C97:M97">
    <cfRule type="expression" dxfId="7170" priority="184">
      <formula>C$9&gt;=20/24</formula>
    </cfRule>
    <cfRule type="expression" dxfId="7169" priority="185">
      <formula>AND(C$9&gt;=14/24,C$9&lt;20/24)</formula>
    </cfRule>
    <cfRule type="expression" dxfId="7168" priority="186">
      <formula>AND(C$9&gt;=8/24,C$9&lt;14/24)</formula>
    </cfRule>
    <cfRule type="expression" dxfId="7167" priority="187">
      <formula>C$9&lt;8/24</formula>
    </cfRule>
  </conditionalFormatting>
  <conditionalFormatting sqref="N97 P97:Q97">
    <cfRule type="expression" dxfId="7166" priority="180">
      <formula>N$9&gt;=20/24</formula>
    </cfRule>
    <cfRule type="expression" dxfId="7165" priority="181">
      <formula>AND(N$9&gt;=14/24,N$9&lt;20/24)</formula>
    </cfRule>
    <cfRule type="expression" dxfId="7164" priority="182">
      <formula>AND(N$9&gt;=8/24,N$9&lt;14/24)</formula>
    </cfRule>
    <cfRule type="expression" dxfId="7163" priority="183">
      <formula>N$9&lt;8/24</formula>
    </cfRule>
  </conditionalFormatting>
  <conditionalFormatting sqref="R97:S97">
    <cfRule type="expression" dxfId="7162" priority="176">
      <formula>R$9&gt;=20/24</formula>
    </cfRule>
    <cfRule type="expression" dxfId="7161" priority="177">
      <formula>AND(R$9&gt;=14/24,R$9&lt;20/24)</formula>
    </cfRule>
    <cfRule type="expression" dxfId="7160" priority="178">
      <formula>AND(R$9&gt;=8/24,R$9&lt;14/24)</formula>
    </cfRule>
    <cfRule type="expression" dxfId="7159" priority="179">
      <formula>R$9&lt;8/24</formula>
    </cfRule>
  </conditionalFormatting>
  <conditionalFormatting sqref="W12:AB15">
    <cfRule type="expression" dxfId="7158" priority="172">
      <formula>W$9&gt;=20/24</formula>
    </cfRule>
    <cfRule type="expression" dxfId="7157" priority="173">
      <formula>AND(W$9&gt;=14/24,W$9&lt;20/24)</formula>
    </cfRule>
    <cfRule type="expression" dxfId="7156" priority="174">
      <formula>AND(W$9&gt;=8/24,W$9&lt;14/24)</formula>
    </cfRule>
    <cfRule type="expression" dxfId="7155" priority="175">
      <formula>W$9&lt;8/24</formula>
    </cfRule>
  </conditionalFormatting>
  <conditionalFormatting sqref="W16:AB16">
    <cfRule type="expression" dxfId="7154" priority="168">
      <formula>W$9&gt;=20/24</formula>
    </cfRule>
    <cfRule type="expression" dxfId="7153" priority="169">
      <formula>AND(W$9&gt;=14/24,W$9&lt;20/24)</formula>
    </cfRule>
    <cfRule type="expression" dxfId="7152" priority="170">
      <formula>AND(W$9&gt;=8/24,W$9&lt;14/24)</formula>
    </cfRule>
    <cfRule type="expression" dxfId="7151" priority="171">
      <formula>W$9&lt;8/24</formula>
    </cfRule>
  </conditionalFormatting>
  <conditionalFormatting sqref="W12:AB12">
    <cfRule type="expression" dxfId="7150" priority="164">
      <formula>W$9&gt;=20/24</formula>
    </cfRule>
    <cfRule type="expression" dxfId="7149" priority="165">
      <formula>AND(W$9&gt;=14/24,W$9&lt;20/24)</formula>
    </cfRule>
    <cfRule type="expression" dxfId="7148" priority="166">
      <formula>AND(W$9&gt;=8/24,W$9&lt;14/24)</formula>
    </cfRule>
    <cfRule type="expression" dxfId="7147" priority="167">
      <formula>W$9&lt;8/24</formula>
    </cfRule>
  </conditionalFormatting>
  <conditionalFormatting sqref="AA56:AF57">
    <cfRule type="expression" dxfId="7146" priority="160">
      <formula>AA$9&gt;=20/24</formula>
    </cfRule>
    <cfRule type="expression" dxfId="7145" priority="161">
      <formula>AND(AA$9&gt;=14/24,AA$9&lt;20/24)</formula>
    </cfRule>
    <cfRule type="expression" dxfId="7144" priority="162">
      <formula>AND(AA$9&gt;=8/24,AA$9&lt;14/24)</formula>
    </cfRule>
    <cfRule type="expression" dxfId="7143" priority="163">
      <formula>AA$9&lt;8/24</formula>
    </cfRule>
  </conditionalFormatting>
  <conditionalFormatting sqref="B66:B70 B82:B89 B72:B76 B78:B80 B51:B58 B11:H11 B17:K29">
    <cfRule type="expression" dxfId="7142" priority="156">
      <formula>B$9&gt;=20/24</formula>
    </cfRule>
    <cfRule type="expression" dxfId="7141" priority="157">
      <formula>AND(B$9&gt;=14/24,B$9&lt;20/24)</formula>
    </cfRule>
    <cfRule type="expression" dxfId="7140" priority="158">
      <formula>AND(B$9&gt;=8/24,B$9&lt;14/24)</formula>
    </cfRule>
    <cfRule type="expression" dxfId="7139" priority="159">
      <formula>B$9&lt;8/24</formula>
    </cfRule>
  </conditionalFormatting>
  <conditionalFormatting sqref="B35:E35">
    <cfRule type="expression" dxfId="7138" priority="152">
      <formula>B$9&gt;=20/24</formula>
    </cfRule>
    <cfRule type="expression" dxfId="7137" priority="153">
      <formula>AND(B$9&gt;=14/24,B$9&lt;20/24)</formula>
    </cfRule>
    <cfRule type="expression" dxfId="7136" priority="154">
      <formula>AND(B$9&gt;=8/24,B$9&lt;14/24)</formula>
    </cfRule>
    <cfRule type="expression" dxfId="7135" priority="155">
      <formula>B$9&lt;8/24</formula>
    </cfRule>
  </conditionalFormatting>
  <conditionalFormatting sqref="B31:K31 B33:K33 B30:AF30">
    <cfRule type="expression" dxfId="7134" priority="148">
      <formula>B$9&gt;=20/24</formula>
    </cfRule>
    <cfRule type="expression" dxfId="7133" priority="149">
      <formula>AND(B$9&gt;=14/24,B$9&lt;20/24)</formula>
    </cfRule>
    <cfRule type="expression" dxfId="7132" priority="150">
      <formula>AND(B$9&gt;=8/24,B$9&lt;14/24)</formula>
    </cfRule>
    <cfRule type="expression" dxfId="7131" priority="151">
      <formula>B$9&lt;8/24</formula>
    </cfRule>
  </conditionalFormatting>
  <conditionalFormatting sqref="B59:B65">
    <cfRule type="expression" dxfId="7130" priority="144">
      <formula>B$9&gt;=20/24</formula>
    </cfRule>
    <cfRule type="expression" dxfId="7129" priority="145">
      <formula>AND(B$9&gt;=14/24,B$9&lt;20/24)</formula>
    </cfRule>
    <cfRule type="expression" dxfId="7128" priority="146">
      <formula>AND(B$9&gt;=8/24,B$9&lt;14/24)</formula>
    </cfRule>
    <cfRule type="expression" dxfId="7127" priority="147">
      <formula>B$9&lt;8/24</formula>
    </cfRule>
  </conditionalFormatting>
  <conditionalFormatting sqref="B92:B95">
    <cfRule type="expression" dxfId="7126" priority="140">
      <formula>B$9&gt;=20/24</formula>
    </cfRule>
    <cfRule type="expression" dxfId="7125" priority="141">
      <formula>AND(B$9&gt;=14/24,B$9&lt;20/24)</formula>
    </cfRule>
    <cfRule type="expression" dxfId="7124" priority="142">
      <formula>AND(B$9&gt;=8/24,B$9&lt;14/24)</formula>
    </cfRule>
    <cfRule type="expression" dxfId="7123" priority="143">
      <formula>B$9&lt;8/24</formula>
    </cfRule>
  </conditionalFormatting>
  <conditionalFormatting sqref="B43:B54 B33:B41 C33:E35 B11:H11 F33:K34 B17:K29 C44:K44 B31:K31 B30:AF30">
    <cfRule type="expression" dxfId="7122" priority="139">
      <formula>B11&gt;$AG11</formula>
    </cfRule>
  </conditionalFormatting>
  <conditionalFormatting sqref="B96">
    <cfRule type="expression" dxfId="7121" priority="135">
      <formula>B$9&gt;=20/24</formula>
    </cfRule>
    <cfRule type="expression" dxfId="7120" priority="136">
      <formula>AND(B$9&gt;=14/24,B$9&lt;20/24)</formula>
    </cfRule>
    <cfRule type="expression" dxfId="7119" priority="137">
      <formula>AND(B$9&gt;=8/24,B$9&lt;14/24)</formula>
    </cfRule>
    <cfRule type="expression" dxfId="7118" priority="138">
      <formula>B$9&lt;8/24</formula>
    </cfRule>
  </conditionalFormatting>
  <conditionalFormatting sqref="B34:K34">
    <cfRule type="expression" dxfId="7117" priority="131">
      <formula>B$9&gt;=20/24</formula>
    </cfRule>
    <cfRule type="expression" dxfId="7116" priority="132">
      <formula>AND(B$9&gt;=14/24,B$9&lt;20/24)</formula>
    </cfRule>
    <cfRule type="expression" dxfId="7115" priority="133">
      <formula>AND(B$9&gt;=8/24,B$9&lt;14/24)</formula>
    </cfRule>
    <cfRule type="expression" dxfId="7114" priority="134">
      <formula>B$9&lt;8/24</formula>
    </cfRule>
  </conditionalFormatting>
  <conditionalFormatting sqref="B34:K34">
    <cfRule type="expression" dxfId="7113" priority="127">
      <formula>B$9&gt;=20/24</formula>
    </cfRule>
    <cfRule type="expression" dxfId="7112" priority="128">
      <formula>AND(B$9&gt;=14/24,B$9&lt;20/24)</formula>
    </cfRule>
    <cfRule type="expression" dxfId="7111" priority="129">
      <formula>AND(B$9&gt;=8/24,B$9&lt;14/24)</formula>
    </cfRule>
    <cfRule type="expression" dxfId="7110" priority="130">
      <formula>B$9&lt;8/24</formula>
    </cfRule>
  </conditionalFormatting>
  <conditionalFormatting sqref="B32:K32">
    <cfRule type="expression" dxfId="7109" priority="123">
      <formula>B$9&gt;=20/24</formula>
    </cfRule>
    <cfRule type="expression" dxfId="7108" priority="124">
      <formula>AND(B$9&gt;=14/24,B$9&lt;20/24)</formula>
    </cfRule>
    <cfRule type="expression" dxfId="7107" priority="125">
      <formula>AND(B$9&gt;=8/24,B$9&lt;14/24)</formula>
    </cfRule>
    <cfRule type="expression" dxfId="7106" priority="126">
      <formula>B$9&lt;8/24</formula>
    </cfRule>
  </conditionalFormatting>
  <conditionalFormatting sqref="B32:K32">
    <cfRule type="expression" dxfId="7105" priority="122">
      <formula>B32&gt;$AG32</formula>
    </cfRule>
  </conditionalFormatting>
  <conditionalFormatting sqref="B81">
    <cfRule type="expression" dxfId="7104" priority="118">
      <formula>B$9&gt;=20/24</formula>
    </cfRule>
    <cfRule type="expression" dxfId="7103" priority="119">
      <formula>AND(B$9&gt;=14/24,B$9&lt;20/24)</formula>
    </cfRule>
    <cfRule type="expression" dxfId="7102" priority="120">
      <formula>AND(B$9&gt;=8/24,B$9&lt;14/24)</formula>
    </cfRule>
    <cfRule type="expression" dxfId="7101" priority="121">
      <formula>B$9&lt;8/24</formula>
    </cfRule>
  </conditionalFormatting>
  <conditionalFormatting sqref="B42">
    <cfRule type="expression" dxfId="7100" priority="117">
      <formula>B42&gt;$AG42</formula>
    </cfRule>
  </conditionalFormatting>
  <conditionalFormatting sqref="B77">
    <cfRule type="expression" dxfId="7099" priority="113">
      <formula>B$9&gt;=20/24</formula>
    </cfRule>
    <cfRule type="expression" dxfId="7098" priority="114">
      <formula>AND(B$9&gt;=14/24,B$9&lt;20/24)</formula>
    </cfRule>
    <cfRule type="expression" dxfId="7097" priority="115">
      <formula>AND(B$9&gt;=8/24,B$9&lt;14/24)</formula>
    </cfRule>
    <cfRule type="expression" dxfId="7096" priority="116">
      <formula>B$9&lt;8/24</formula>
    </cfRule>
  </conditionalFormatting>
  <conditionalFormatting sqref="B71">
    <cfRule type="expression" dxfId="7095" priority="109">
      <formula>B$9&gt;=20/24</formula>
    </cfRule>
    <cfRule type="expression" dxfId="7094" priority="110">
      <formula>AND(B$9&gt;=14/24,B$9&lt;20/24)</formula>
    </cfRule>
    <cfRule type="expression" dxfId="7093" priority="111">
      <formula>AND(B$9&gt;=8/24,B$9&lt;14/24)</formula>
    </cfRule>
    <cfRule type="expression" dxfId="7092" priority="112">
      <formula>B$9&lt;8/24</formula>
    </cfRule>
  </conditionalFormatting>
  <conditionalFormatting sqref="B97">
    <cfRule type="expression" dxfId="7091" priority="105">
      <formula>B$9&gt;=20/24</formula>
    </cfRule>
    <cfRule type="expression" dxfId="7090" priority="106">
      <formula>AND(B$9&gt;=14/24,B$9&lt;20/24)</formula>
    </cfRule>
    <cfRule type="expression" dxfId="7089" priority="107">
      <formula>AND(B$9&gt;=8/24,B$9&lt;14/24)</formula>
    </cfRule>
    <cfRule type="expression" dxfId="7088" priority="108">
      <formula>B$9&lt;8/24</formula>
    </cfRule>
  </conditionalFormatting>
  <conditionalFormatting sqref="B12:H15 I13:K14">
    <cfRule type="expression" dxfId="7087" priority="101">
      <formula>B$9&gt;=20/24</formula>
    </cfRule>
    <cfRule type="expression" dxfId="7086" priority="102">
      <formula>AND(B$9&gt;=14/24,B$9&lt;20/24)</formula>
    </cfRule>
    <cfRule type="expression" dxfId="7085" priority="103">
      <formula>AND(B$9&gt;=8/24,B$9&lt;14/24)</formula>
    </cfRule>
    <cfRule type="expression" dxfId="7084" priority="104">
      <formula>B$9&lt;8/24</formula>
    </cfRule>
  </conditionalFormatting>
  <conditionalFormatting sqref="B16:K16">
    <cfRule type="expression" dxfId="7083" priority="97">
      <formula>B$9&gt;=20/24</formula>
    </cfRule>
    <cfRule type="expression" dxfId="7082" priority="98">
      <formula>AND(B$9&gt;=14/24,B$9&lt;20/24)</formula>
    </cfRule>
    <cfRule type="expression" dxfId="7081" priority="99">
      <formula>AND(B$9&gt;=8/24,B$9&lt;14/24)</formula>
    </cfRule>
    <cfRule type="expression" dxfId="7080" priority="100">
      <formula>B$9&lt;8/24</formula>
    </cfRule>
  </conditionalFormatting>
  <conditionalFormatting sqref="B12:H12">
    <cfRule type="expression" dxfId="7079" priority="93">
      <formula>B$9&gt;=20/24</formula>
    </cfRule>
    <cfRule type="expression" dxfId="7078" priority="94">
      <formula>AND(B$9&gt;=14/24,B$9&lt;20/24)</formula>
    </cfRule>
    <cfRule type="expression" dxfId="7077" priority="95">
      <formula>AND(B$9&gt;=8/24,B$9&lt;14/24)</formula>
    </cfRule>
    <cfRule type="expression" dxfId="7076" priority="96">
      <formula>B$9&lt;8/24</formula>
    </cfRule>
  </conditionalFormatting>
  <conditionalFormatting sqref="D97">
    <cfRule type="expression" dxfId="7075" priority="89">
      <formula>D$9&gt;=20/24</formula>
    </cfRule>
    <cfRule type="expression" dxfId="7074" priority="90">
      <formula>AND(D$9&gt;=14/24,D$9&lt;20/24)</formula>
    </cfRule>
    <cfRule type="expression" dxfId="7073" priority="91">
      <formula>AND(D$9&gt;=8/24,D$9&lt;14/24)</formula>
    </cfRule>
    <cfRule type="expression" dxfId="7072" priority="92">
      <formula>D$9&lt;8/24</formula>
    </cfRule>
  </conditionalFormatting>
  <conditionalFormatting sqref="O15:O29 O12:O13 O31">
    <cfRule type="expression" dxfId="7071" priority="85">
      <formula>O$9&gt;=20/24</formula>
    </cfRule>
    <cfRule type="expression" dxfId="7070" priority="86">
      <formula>AND(O$9&gt;=14/24,O$9&lt;20/24)</formula>
    </cfRule>
    <cfRule type="expression" dxfId="7069" priority="87">
      <formula>AND(O$9&gt;=8/24,O$9&lt;14/24)</formula>
    </cfRule>
    <cfRule type="expression" dxfId="7068" priority="88">
      <formula>O$9&lt;8/24</formula>
    </cfRule>
  </conditionalFormatting>
  <conditionalFormatting sqref="O33">
    <cfRule type="expression" dxfId="7067" priority="81">
      <formula>O$9&gt;=20/24</formula>
    </cfRule>
    <cfRule type="expression" dxfId="7066" priority="82">
      <formula>AND(O$9&gt;=14/24,O$9&lt;20/24)</formula>
    </cfRule>
    <cfRule type="expression" dxfId="7065" priority="83">
      <formula>AND(O$9&gt;=8/24,O$9&lt;14/24)</formula>
    </cfRule>
    <cfRule type="expression" dxfId="7064" priority="84">
      <formula>O$9&lt;8/24</formula>
    </cfRule>
  </conditionalFormatting>
  <conditionalFormatting sqref="O15:O29 O12:O13 O33:O34 O31">
    <cfRule type="expression" dxfId="7063" priority="80">
      <formula>O12&gt;$AG12</formula>
    </cfRule>
  </conditionalFormatting>
  <conditionalFormatting sqref="O34">
    <cfRule type="expression" dxfId="7062" priority="76">
      <formula>O$9&gt;=20/24</formula>
    </cfRule>
    <cfRule type="expression" dxfId="7061" priority="77">
      <formula>AND(O$9&gt;=14/24,O$9&lt;20/24)</formula>
    </cfRule>
    <cfRule type="expression" dxfId="7060" priority="78">
      <formula>AND(O$9&gt;=8/24,O$9&lt;14/24)</formula>
    </cfRule>
    <cfRule type="expression" dxfId="7059" priority="79">
      <formula>O$9&lt;8/24</formula>
    </cfRule>
  </conditionalFormatting>
  <conditionalFormatting sqref="O32">
    <cfRule type="expression" dxfId="7058" priority="72">
      <formula>O$9&gt;=20/24</formula>
    </cfRule>
    <cfRule type="expression" dxfId="7057" priority="73">
      <formula>AND(O$9&gt;=14/24,O$9&lt;20/24)</formula>
    </cfRule>
    <cfRule type="expression" dxfId="7056" priority="74">
      <formula>AND(O$9&gt;=8/24,O$9&lt;14/24)</formula>
    </cfRule>
    <cfRule type="expression" dxfId="7055" priority="75">
      <formula>O$9&lt;8/24</formula>
    </cfRule>
  </conditionalFormatting>
  <conditionalFormatting sqref="O32">
    <cfRule type="expression" dxfId="7054" priority="71">
      <formula>O32&gt;$AG32</formula>
    </cfRule>
  </conditionalFormatting>
  <conditionalFormatting sqref="O14">
    <cfRule type="expression" dxfId="7053" priority="67">
      <formula>O$9&gt;=20/24</formula>
    </cfRule>
    <cfRule type="expression" dxfId="7052" priority="68">
      <formula>AND(O$9&gt;=14/24,O$9&lt;20/24)</formula>
    </cfRule>
    <cfRule type="expression" dxfId="7051" priority="69">
      <formula>AND(O$9&gt;=8/24,O$9&lt;14/24)</formula>
    </cfRule>
    <cfRule type="expression" dxfId="7050" priority="70">
      <formula>O$9&lt;8/24</formula>
    </cfRule>
  </conditionalFormatting>
  <conditionalFormatting sqref="O14">
    <cfRule type="expression" dxfId="7049" priority="66">
      <formula>O14&gt;$AG14</formula>
    </cfRule>
  </conditionalFormatting>
  <conditionalFormatting sqref="O37:O40">
    <cfRule type="expression" dxfId="7048" priority="62">
      <formula>O$9&gt;=20/24</formula>
    </cfRule>
    <cfRule type="expression" dxfId="7047" priority="63">
      <formula>AND(O$9&gt;=14/24,O$9&lt;20/24)</formula>
    </cfRule>
    <cfRule type="expression" dxfId="7046" priority="64">
      <formula>AND(O$9&gt;=8/24,O$9&lt;14/24)</formula>
    </cfRule>
    <cfRule type="expression" dxfId="7045" priority="65">
      <formula>O$9&lt;8/24</formula>
    </cfRule>
  </conditionalFormatting>
  <conditionalFormatting sqref="O41">
    <cfRule type="expression" dxfId="7044" priority="58">
      <formula>O$9&gt;=20/24</formula>
    </cfRule>
    <cfRule type="expression" dxfId="7043" priority="59">
      <formula>AND(O$9&gt;=14/24,O$9&lt;20/24)</formula>
    </cfRule>
    <cfRule type="expression" dxfId="7042" priority="60">
      <formula>AND(O$9&gt;=8/24,O$9&lt;14/24)</formula>
    </cfRule>
    <cfRule type="expression" dxfId="7041" priority="61">
      <formula>O$9&lt;8/24</formula>
    </cfRule>
  </conditionalFormatting>
  <conditionalFormatting sqref="O47">
    <cfRule type="expression" dxfId="7040" priority="54">
      <formula>O$9&gt;=20/24</formula>
    </cfRule>
    <cfRule type="expression" dxfId="7039" priority="55">
      <formula>AND(O$9&gt;=14/24,O$9&lt;20/24)</formula>
    </cfRule>
    <cfRule type="expression" dxfId="7038" priority="56">
      <formula>AND(O$9&gt;=8/24,O$9&lt;14/24)</formula>
    </cfRule>
    <cfRule type="expression" dxfId="7037" priority="57">
      <formula>O$9&lt;8/24</formula>
    </cfRule>
  </conditionalFormatting>
  <conditionalFormatting sqref="O48">
    <cfRule type="expression" dxfId="7036" priority="50">
      <formula>O$9&gt;=20/24</formula>
    </cfRule>
    <cfRule type="expression" dxfId="7035" priority="51">
      <formula>AND(O$9&gt;=14/24,O$9&lt;20/24)</formula>
    </cfRule>
    <cfRule type="expression" dxfId="7034" priority="52">
      <formula>AND(O$9&gt;=8/24,O$9&lt;14/24)</formula>
    </cfRule>
    <cfRule type="expression" dxfId="7033" priority="53">
      <formula>O$9&lt;8/24</formula>
    </cfRule>
  </conditionalFormatting>
  <conditionalFormatting sqref="O43:O46">
    <cfRule type="expression" dxfId="7032" priority="46">
      <formula>O$9&gt;=20/24</formula>
    </cfRule>
    <cfRule type="expression" dxfId="7031" priority="47">
      <formula>AND(O$9&gt;=14/24,O$9&lt;20/24)</formula>
    </cfRule>
    <cfRule type="expression" dxfId="7030" priority="48">
      <formula>AND(O$9&gt;=8/24,O$9&lt;14/24)</formula>
    </cfRule>
    <cfRule type="expression" dxfId="7029" priority="49">
      <formula>O$9&lt;8/24</formula>
    </cfRule>
  </conditionalFormatting>
  <conditionalFormatting sqref="O43:O48 O37:O41">
    <cfRule type="expression" dxfId="7028" priority="45">
      <formula>O37&gt;$AG37</formula>
    </cfRule>
  </conditionalFormatting>
  <conditionalFormatting sqref="O42">
    <cfRule type="expression" dxfId="7027" priority="41">
      <formula>O$9&gt;=20/24</formula>
    </cfRule>
    <cfRule type="expression" dxfId="7026" priority="42">
      <formula>AND(O$9&gt;=14/24,O$9&lt;20/24)</formula>
    </cfRule>
    <cfRule type="expression" dxfId="7025" priority="43">
      <formula>AND(O$9&gt;=8/24,O$9&lt;14/24)</formula>
    </cfRule>
    <cfRule type="expression" dxfId="7024" priority="44">
      <formula>O$9&lt;8/24</formula>
    </cfRule>
  </conditionalFormatting>
  <conditionalFormatting sqref="O42">
    <cfRule type="expression" dxfId="7023" priority="40">
      <formula>O42&gt;$AG42</formula>
    </cfRule>
  </conditionalFormatting>
  <conditionalFormatting sqref="P15:S29 T15:V20 T22:V25 T27:V29 P31:V31">
    <cfRule type="expression" dxfId="7022" priority="36">
      <formula>P$9&gt;=20/24</formula>
    </cfRule>
    <cfRule type="expression" dxfId="7021" priority="37">
      <formula>AND(P$9&gt;=14/24,P$9&lt;20/24)</formula>
    </cfRule>
    <cfRule type="expression" dxfId="7020" priority="38">
      <formula>AND(P$9&gt;=8/24,P$9&lt;14/24)</formula>
    </cfRule>
    <cfRule type="expression" dxfId="7019" priority="39">
      <formula>P$9&lt;8/24</formula>
    </cfRule>
  </conditionalFormatting>
  <conditionalFormatting sqref="P33:V33">
    <cfRule type="expression" dxfId="7018" priority="32">
      <formula>P$9&gt;=20/24</formula>
    </cfRule>
    <cfRule type="expression" dxfId="7017" priority="33">
      <formula>AND(P$9&gt;=14/24,P$9&lt;20/24)</formula>
    </cfRule>
    <cfRule type="expression" dxfId="7016" priority="34">
      <formula>AND(P$9&gt;=8/24,P$9&lt;14/24)</formula>
    </cfRule>
    <cfRule type="expression" dxfId="7015" priority="35">
      <formula>P$9&lt;8/24</formula>
    </cfRule>
  </conditionalFormatting>
  <conditionalFormatting sqref="P15:S29 T15:V20 T22:V25 T27:V29 P33:V34 P31:V31">
    <cfRule type="expression" dxfId="7014" priority="31">
      <formula>P15&gt;$AG15</formula>
    </cfRule>
  </conditionalFormatting>
  <conditionalFormatting sqref="P34:V34">
    <cfRule type="expression" dxfId="7013" priority="27">
      <formula>P$9&gt;=20/24</formula>
    </cfRule>
    <cfRule type="expression" dxfId="7012" priority="28">
      <formula>AND(P$9&gt;=14/24,P$9&lt;20/24)</formula>
    </cfRule>
    <cfRule type="expression" dxfId="7011" priority="29">
      <formula>AND(P$9&gt;=8/24,P$9&lt;14/24)</formula>
    </cfRule>
    <cfRule type="expression" dxfId="7010" priority="30">
      <formula>P$9&lt;8/24</formula>
    </cfRule>
  </conditionalFormatting>
  <conditionalFormatting sqref="P32:V32">
    <cfRule type="expression" dxfId="7009" priority="23">
      <formula>P$9&gt;=20/24</formula>
    </cfRule>
    <cfRule type="expression" dxfId="7008" priority="24">
      <formula>AND(P$9&gt;=14/24,P$9&lt;20/24)</formula>
    </cfRule>
    <cfRule type="expression" dxfId="7007" priority="25">
      <formula>AND(P$9&gt;=8/24,P$9&lt;14/24)</formula>
    </cfRule>
    <cfRule type="expression" dxfId="7006" priority="26">
      <formula>P$9&lt;8/24</formula>
    </cfRule>
  </conditionalFormatting>
  <conditionalFormatting sqref="P32:V32">
    <cfRule type="expression" dxfId="7005" priority="22">
      <formula>P32&gt;$AG32</formula>
    </cfRule>
  </conditionalFormatting>
  <conditionalFormatting sqref="P14:V14">
    <cfRule type="expression" dxfId="7004" priority="18">
      <formula>P$9&gt;=20/24</formula>
    </cfRule>
    <cfRule type="expression" dxfId="7003" priority="19">
      <formula>AND(P$9&gt;=14/24,P$9&lt;20/24)</formula>
    </cfRule>
    <cfRule type="expression" dxfId="7002" priority="20">
      <formula>AND(P$9&gt;=8/24,P$9&lt;14/24)</formula>
    </cfRule>
    <cfRule type="expression" dxfId="7001" priority="21">
      <formula>P$9&lt;8/24</formula>
    </cfRule>
  </conditionalFormatting>
  <conditionalFormatting sqref="P14:V14">
    <cfRule type="expression" dxfId="7000" priority="17">
      <formula>P14&gt;$AG14</formula>
    </cfRule>
  </conditionalFormatting>
  <conditionalFormatting sqref="O92:O95">
    <cfRule type="expression" dxfId="6999" priority="13">
      <formula>O$9&gt;=20/24</formula>
    </cfRule>
    <cfRule type="expression" dxfId="6998" priority="14">
      <formula>AND(O$9&gt;=14/24,O$9&lt;20/24)</formula>
    </cfRule>
    <cfRule type="expression" dxfId="6997" priority="15">
      <formula>AND(O$9&gt;=8/24,O$9&lt;14/24)</formula>
    </cfRule>
    <cfRule type="expression" dxfId="6996" priority="16">
      <formula>O$9&lt;8/24</formula>
    </cfRule>
  </conditionalFormatting>
  <conditionalFormatting sqref="O96">
    <cfRule type="expression" dxfId="6995" priority="9">
      <formula>O$9&gt;=20/24</formula>
    </cfRule>
    <cfRule type="expression" dxfId="6994" priority="10">
      <formula>AND(O$9&gt;=14/24,O$9&lt;20/24)</formula>
    </cfRule>
    <cfRule type="expression" dxfId="6993" priority="11">
      <formula>AND(O$9&gt;=8/24,O$9&lt;14/24)</formula>
    </cfRule>
    <cfRule type="expression" dxfId="6992" priority="12">
      <formula>O$9&lt;8/24</formula>
    </cfRule>
  </conditionalFormatting>
  <conditionalFormatting sqref="O92">
    <cfRule type="expression" dxfId="6991" priority="5">
      <formula>O$9&gt;=20/24</formula>
    </cfRule>
    <cfRule type="expression" dxfId="6990" priority="6">
      <formula>AND(O$9&gt;=14/24,O$9&lt;20/24)</formula>
    </cfRule>
    <cfRule type="expression" dxfId="6989" priority="7">
      <formula>AND(O$9&gt;=8/24,O$9&lt;14/24)</formula>
    </cfRule>
    <cfRule type="expression" dxfId="6988" priority="8">
      <formula>O$9&lt;8/24</formula>
    </cfRule>
  </conditionalFormatting>
  <conditionalFormatting sqref="O97">
    <cfRule type="expression" dxfId="6987" priority="1">
      <formula>O$9&gt;=20/24</formula>
    </cfRule>
    <cfRule type="expression" dxfId="6986" priority="2">
      <formula>AND(O$9&gt;=14/24,O$9&lt;20/24)</formula>
    </cfRule>
    <cfRule type="expression" dxfId="6985" priority="3">
      <formula>AND(O$9&gt;=8/24,O$9&lt;14/24)</formula>
    </cfRule>
    <cfRule type="expression" dxfId="6984" priority="4">
      <formula>O$9&lt;8/24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Normal="10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S60" sqref="S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10" style="1" bestFit="1" customWidth="1"/>
    <col min="38" max="38" width="14.7109375" customWidth="1"/>
    <col min="39" max="39" width="11.7109375" customWidth="1"/>
    <col min="40" max="40" width="12.5703125" customWidth="1"/>
    <col min="41" max="41" width="12.710937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44" t="s">
        <v>1</v>
      </c>
      <c r="AH1" s="245"/>
      <c r="AI1" s="246"/>
      <c r="AL1" s="197" t="s">
        <v>246</v>
      </c>
      <c r="AM1" s="54" t="s">
        <v>248</v>
      </c>
      <c r="AN1" s="54" t="s">
        <v>247</v>
      </c>
      <c r="AO1" s="54" t="s">
        <v>248</v>
      </c>
      <c r="AP1" s="54" t="s">
        <v>249</v>
      </c>
      <c r="AQ1" s="198" t="s">
        <v>248</v>
      </c>
    </row>
    <row r="2" spans="1:88" ht="21" thickBot="1" x14ac:dyDescent="0.3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88">
        <f>AG36</f>
        <v>1201.9000000000001</v>
      </c>
      <c r="AH2" s="189" t="s">
        <v>7</v>
      </c>
      <c r="AI2" s="190"/>
      <c r="AL2" s="199">
        <v>637.03</v>
      </c>
      <c r="AM2" s="200">
        <v>560</v>
      </c>
      <c r="AN2" s="200">
        <f>814.7+52.4+4+6.2+8.6+20</f>
        <v>905.90000000000009</v>
      </c>
      <c r="AO2" s="200">
        <v>760</v>
      </c>
      <c r="AP2" s="200">
        <f>456+60+22</f>
        <v>538</v>
      </c>
      <c r="AQ2" s="201">
        <v>538</v>
      </c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191">
        <f>AG50</f>
        <v>489.91</v>
      </c>
      <c r="AH3" s="189" t="s">
        <v>10</v>
      </c>
      <c r="AI3" s="190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2078/07/12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191">
        <f>AG54</f>
        <v>106</v>
      </c>
      <c r="AH4" s="189" t="s">
        <v>12</v>
      </c>
      <c r="AI4" s="190"/>
      <c r="AL4" s="26" t="s">
        <v>250</v>
      </c>
      <c r="AM4" s="63">
        <v>2080.9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-12.6</v>
      </c>
      <c r="C5" s="32">
        <f t="shared" ref="C5:AF5" si="0">C66</f>
        <v>-14.8</v>
      </c>
      <c r="D5" s="32">
        <f t="shared" si="0"/>
        <v>-21.5</v>
      </c>
      <c r="E5" s="32">
        <f t="shared" si="0"/>
        <v>-2.5</v>
      </c>
      <c r="F5" s="32">
        <f t="shared" si="0"/>
        <v>-10</v>
      </c>
      <c r="G5" s="32">
        <f t="shared" si="0"/>
        <v>-21.9</v>
      </c>
      <c r="H5" s="32">
        <f t="shared" si="0"/>
        <v>-17.399999999999999</v>
      </c>
      <c r="I5" s="32">
        <f t="shared" si="0"/>
        <v>-37</v>
      </c>
      <c r="J5" s="32">
        <f t="shared" si="0"/>
        <v>-1.4</v>
      </c>
      <c r="K5" s="32">
        <f t="shared" si="0"/>
        <v>-12</v>
      </c>
      <c r="L5" s="32">
        <f t="shared" si="0"/>
        <v>-29.5</v>
      </c>
      <c r="M5" s="32">
        <f t="shared" si="0"/>
        <v>-44.8</v>
      </c>
      <c r="N5" s="32">
        <f t="shared" si="0"/>
        <v>-29.1</v>
      </c>
      <c r="O5" s="32">
        <f t="shared" si="0"/>
        <v>-20</v>
      </c>
      <c r="P5" s="32">
        <f t="shared" si="0"/>
        <v>-20.2</v>
      </c>
      <c r="Q5" s="32">
        <f t="shared" si="0"/>
        <v>-3</v>
      </c>
      <c r="R5" s="32">
        <f t="shared" si="0"/>
        <v>-9.5</v>
      </c>
      <c r="S5" s="32">
        <f t="shared" si="0"/>
        <v>-16.8</v>
      </c>
      <c r="T5" s="32">
        <f t="shared" si="0"/>
        <v>2.1</v>
      </c>
      <c r="U5" s="32">
        <f t="shared" si="0"/>
        <v>-28</v>
      </c>
      <c r="V5" s="32">
        <f t="shared" si="0"/>
        <v>-5.2</v>
      </c>
      <c r="W5" s="32">
        <f t="shared" si="0"/>
        <v>-7.4</v>
      </c>
      <c r="X5" s="32">
        <f t="shared" si="0"/>
        <v>-5.7</v>
      </c>
      <c r="Y5" s="32">
        <f t="shared" si="0"/>
        <v>-10</v>
      </c>
      <c r="Z5" s="32">
        <f t="shared" si="0"/>
        <v>1.1000000000000001</v>
      </c>
      <c r="AA5" s="32">
        <f t="shared" si="0"/>
        <v>-32.4</v>
      </c>
      <c r="AB5" s="32">
        <f t="shared" si="0"/>
        <v>-28</v>
      </c>
      <c r="AC5" s="32">
        <f t="shared" si="0"/>
        <v>-15</v>
      </c>
      <c r="AD5" s="32">
        <f t="shared" si="0"/>
        <v>-10.7</v>
      </c>
      <c r="AE5" s="32">
        <f t="shared" si="0"/>
        <v>-4.7</v>
      </c>
      <c r="AF5" s="32">
        <f t="shared" si="0"/>
        <v>-9</v>
      </c>
      <c r="AG5" s="191"/>
      <c r="AH5" s="189"/>
      <c r="AI5" s="190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1192MW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191">
        <f>SUM(AG2:AG4)</f>
        <v>1797.8100000000002</v>
      </c>
      <c r="AH6" s="192" t="s">
        <v>13</v>
      </c>
      <c r="AI6" s="190"/>
      <c r="AL6" s="26" t="s">
        <v>253</v>
      </c>
      <c r="AM6" s="26" t="s">
        <v>254</v>
      </c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Load=784</v>
      </c>
      <c r="B7" s="37">
        <f t="shared" ref="B7:AF7" si="1">B73</f>
        <v>820.74</v>
      </c>
      <c r="C7" s="37">
        <f t="shared" si="1"/>
        <v>808.14</v>
      </c>
      <c r="D7" s="37">
        <f t="shared" si="1"/>
        <v>784.04000000000008</v>
      </c>
      <c r="E7" s="37">
        <f t="shared" si="1"/>
        <v>816.04</v>
      </c>
      <c r="F7" s="37">
        <f t="shared" si="1"/>
        <v>839.54</v>
      </c>
      <c r="G7" s="37">
        <f t="shared" si="1"/>
        <v>902.44</v>
      </c>
      <c r="H7" s="37">
        <f t="shared" si="1"/>
        <v>962.74</v>
      </c>
      <c r="I7" s="37">
        <f t="shared" si="1"/>
        <v>1014.44</v>
      </c>
      <c r="J7" s="37">
        <f t="shared" si="1"/>
        <v>1107.54</v>
      </c>
      <c r="K7" s="37">
        <f t="shared" si="1"/>
        <v>1191.8399999999999</v>
      </c>
      <c r="L7" s="37">
        <f>L73</f>
        <v>1184.04</v>
      </c>
      <c r="M7" s="37">
        <f t="shared" si="1"/>
        <v>1150.04</v>
      </c>
      <c r="N7" s="37">
        <f t="shared" si="1"/>
        <v>1145.7399999999998</v>
      </c>
      <c r="O7" s="37">
        <f t="shared" si="1"/>
        <v>1121.74</v>
      </c>
      <c r="P7" s="37">
        <f t="shared" si="1"/>
        <v>1094.94</v>
      </c>
      <c r="Q7" s="37">
        <f t="shared" si="1"/>
        <v>1089.1399999999999</v>
      </c>
      <c r="R7" s="37">
        <f t="shared" si="1"/>
        <v>1082.6399999999999</v>
      </c>
      <c r="S7" s="37">
        <f t="shared" si="1"/>
        <v>1093.3399999999999</v>
      </c>
      <c r="T7" s="37">
        <f t="shared" si="1"/>
        <v>1143.1399999999999</v>
      </c>
      <c r="U7" s="37">
        <f t="shared" si="1"/>
        <v>1159.74</v>
      </c>
      <c r="V7" s="37">
        <f t="shared" si="1"/>
        <v>1264.74</v>
      </c>
      <c r="W7" s="37">
        <f t="shared" si="1"/>
        <v>1391</v>
      </c>
      <c r="X7" s="37">
        <f t="shared" si="1"/>
        <v>1365.04</v>
      </c>
      <c r="Y7" s="37">
        <f t="shared" si="1"/>
        <v>1253.1399999999999</v>
      </c>
      <c r="Z7" s="37">
        <f t="shared" si="1"/>
        <v>1192.94</v>
      </c>
      <c r="AA7" s="37">
        <f t="shared" si="1"/>
        <v>1117.54</v>
      </c>
      <c r="AB7" s="37">
        <f t="shared" si="1"/>
        <v>1064.3400000000001</v>
      </c>
      <c r="AC7" s="37">
        <f t="shared" si="1"/>
        <v>1000.44</v>
      </c>
      <c r="AD7" s="37">
        <f t="shared" si="1"/>
        <v>878.1400000000001</v>
      </c>
      <c r="AE7" s="37">
        <f t="shared" si="1"/>
        <v>856.44</v>
      </c>
      <c r="AF7" s="37">
        <f t="shared" si="1"/>
        <v>838.64</v>
      </c>
      <c r="AG7" s="193" t="s">
        <v>245</v>
      </c>
      <c r="AH7" s="194">
        <f>39+14.1</f>
        <v>53.1</v>
      </c>
      <c r="AI7" s="195"/>
      <c r="AJ7" s="196">
        <f>AG6+AH7</f>
        <v>1850.91</v>
      </c>
      <c r="AK7" s="202" t="s">
        <v>252</v>
      </c>
      <c r="AL7" s="203">
        <f>SUM(AK11:AK24)</f>
        <v>6643.8967741935467</v>
      </c>
      <c r="AM7" s="204">
        <f>AL7/24</f>
        <v>276.82903225806444</v>
      </c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187"/>
      <c r="AH8" s="44"/>
      <c r="AI8" s="45"/>
      <c r="AK8" s="205" t="s">
        <v>220</v>
      </c>
      <c r="AL8" s="206">
        <v>1553</v>
      </c>
      <c r="AM8" s="207">
        <f>AL8/24</f>
        <v>64.708333333333329</v>
      </c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K9" s="205" t="s">
        <v>255</v>
      </c>
      <c r="AL9" s="206">
        <f>AL7+AL8</f>
        <v>8196.8967741935467</v>
      </c>
      <c r="AM9" s="207">
        <f>AM7+AM8</f>
        <v>341.53736559139776</v>
      </c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J10" s="209" t="s">
        <v>256</v>
      </c>
      <c r="AK10" s="175" t="s">
        <v>257</v>
      </c>
      <c r="AL10" s="20" t="s">
        <v>258</v>
      </c>
      <c r="AM10" s="208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75</v>
      </c>
      <c r="C11" s="49">
        <v>75</v>
      </c>
      <c r="D11" s="49">
        <v>64.8</v>
      </c>
      <c r="E11" s="49">
        <v>85.4</v>
      </c>
      <c r="F11" s="49">
        <v>86.6</v>
      </c>
      <c r="G11" s="49">
        <v>83.2</v>
      </c>
      <c r="H11" s="49">
        <v>100</v>
      </c>
      <c r="I11" s="49">
        <v>140</v>
      </c>
      <c r="J11" s="49">
        <v>104.2</v>
      </c>
      <c r="K11" s="49">
        <v>172.5</v>
      </c>
      <c r="L11" s="50">
        <v>225</v>
      </c>
      <c r="M11" s="50">
        <v>200</v>
      </c>
      <c r="N11" s="50">
        <v>180</v>
      </c>
      <c r="O11" s="50">
        <v>170</v>
      </c>
      <c r="P11" s="50">
        <v>190</v>
      </c>
      <c r="Q11" s="51">
        <v>170</v>
      </c>
      <c r="R11" s="53">
        <v>180</v>
      </c>
      <c r="S11" s="53">
        <v>198</v>
      </c>
      <c r="T11" s="53">
        <v>171</v>
      </c>
      <c r="U11" s="53">
        <v>206</v>
      </c>
      <c r="V11" s="53">
        <v>275</v>
      </c>
      <c r="W11" s="53">
        <v>328.5</v>
      </c>
      <c r="X11" s="53">
        <v>300</v>
      </c>
      <c r="Y11" s="53">
        <v>250</v>
      </c>
      <c r="Z11" s="54">
        <v>189</v>
      </c>
      <c r="AA11" s="54">
        <v>165</v>
      </c>
      <c r="AB11" s="54">
        <v>135</v>
      </c>
      <c r="AC11" s="54">
        <v>100</v>
      </c>
      <c r="AD11" s="54">
        <v>50</v>
      </c>
      <c r="AE11" s="49">
        <v>0</v>
      </c>
      <c r="AF11" s="49">
        <v>0</v>
      </c>
      <c r="AG11" s="55">
        <v>456</v>
      </c>
      <c r="AH11" s="56">
        <f>MAX(B11:AF11)</f>
        <v>328.5</v>
      </c>
      <c r="AI11" s="57">
        <f>MIN(B11:AF11)</f>
        <v>0</v>
      </c>
      <c r="AJ11" s="210">
        <f>AVERAGE(B11:AF11)</f>
        <v>150.61935483870968</v>
      </c>
      <c r="AK11" s="210">
        <f>(375-AJ11)*24</f>
        <v>5385.1354838709676</v>
      </c>
      <c r="AL11" s="210">
        <f>AK11/24</f>
        <v>224.38064516129032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50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50</v>
      </c>
      <c r="P12" s="49">
        <v>50</v>
      </c>
      <c r="Q12" s="49">
        <v>50</v>
      </c>
      <c r="R12" s="60">
        <v>40</v>
      </c>
      <c r="S12" s="60">
        <v>40</v>
      </c>
      <c r="T12" s="60">
        <v>50</v>
      </c>
      <c r="U12" s="60">
        <v>50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0">
        <v>50</v>
      </c>
      <c r="AB12" s="50">
        <v>50</v>
      </c>
      <c r="AC12" s="50">
        <v>50</v>
      </c>
      <c r="AD12" s="50">
        <v>40</v>
      </c>
      <c r="AE12" s="49">
        <v>60</v>
      </c>
      <c r="AF12" s="49">
        <v>60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J12" s="210">
        <f>AVERAGE(B12:AF12)</f>
        <v>51.935483870967744</v>
      </c>
      <c r="AK12" s="210">
        <f>(60-AJ12)*24</f>
        <v>193.54838709677415</v>
      </c>
      <c r="AL12" s="210">
        <f t="shared" ref="AL12:AL24" si="4">AK12/24</f>
        <v>8.0645161290322562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25.5</v>
      </c>
      <c r="C13" s="49">
        <v>25.5</v>
      </c>
      <c r="D13" s="49">
        <v>25.5</v>
      </c>
      <c r="E13" s="49">
        <v>25.5</v>
      </c>
      <c r="F13" s="49">
        <v>25.5</v>
      </c>
      <c r="G13" s="49">
        <v>25.5</v>
      </c>
      <c r="H13" s="49">
        <v>25.5</v>
      </c>
      <c r="I13" s="49">
        <v>25.5</v>
      </c>
      <c r="J13" s="49">
        <v>25.5</v>
      </c>
      <c r="K13" s="49">
        <v>25.5</v>
      </c>
      <c r="L13" s="50">
        <v>25.5</v>
      </c>
      <c r="M13" s="50">
        <v>25.5</v>
      </c>
      <c r="N13" s="50">
        <v>25.5</v>
      </c>
      <c r="O13" s="50">
        <v>25</v>
      </c>
      <c r="P13" s="50">
        <v>25</v>
      </c>
      <c r="Q13" s="50">
        <v>25</v>
      </c>
      <c r="R13" s="62">
        <v>25</v>
      </c>
      <c r="S13" s="62">
        <v>25</v>
      </c>
      <c r="T13" s="62">
        <v>25</v>
      </c>
      <c r="U13" s="62">
        <v>25</v>
      </c>
      <c r="V13" s="62">
        <v>25</v>
      </c>
      <c r="W13" s="62">
        <v>25.4</v>
      </c>
      <c r="X13" s="62">
        <v>25.4</v>
      </c>
      <c r="Y13" s="62">
        <v>25.4</v>
      </c>
      <c r="Z13" s="62">
        <v>25.4</v>
      </c>
      <c r="AA13" s="50">
        <v>25.4</v>
      </c>
      <c r="AB13" s="50">
        <v>25.4</v>
      </c>
      <c r="AC13" s="50">
        <v>25.4</v>
      </c>
      <c r="AD13" s="50">
        <v>25.4</v>
      </c>
      <c r="AE13" s="50">
        <v>25.4</v>
      </c>
      <c r="AF13" s="50">
        <v>25.4</v>
      </c>
      <c r="AG13" s="61">
        <v>50</v>
      </c>
      <c r="AH13" s="56">
        <f t="shared" si="2"/>
        <v>25.5</v>
      </c>
      <c r="AI13" s="57">
        <f t="shared" si="3"/>
        <v>25</v>
      </c>
      <c r="AJ13" s="210">
        <f>AVERAGE(B13:AF13)</f>
        <v>25.338709677419349</v>
      </c>
      <c r="AK13" s="210">
        <f>(60-AJ13)*24</f>
        <v>831.87096774193571</v>
      </c>
      <c r="AL13" s="210">
        <f t="shared" si="4"/>
        <v>34.661290322580655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36.9</v>
      </c>
      <c r="C14" s="63">
        <v>36.9</v>
      </c>
      <c r="D14" s="63">
        <v>36.9</v>
      </c>
      <c r="E14" s="63">
        <v>36.9</v>
      </c>
      <c r="F14" s="63">
        <v>36.9</v>
      </c>
      <c r="G14" s="63">
        <v>42</v>
      </c>
      <c r="H14" s="63">
        <v>42</v>
      </c>
      <c r="I14" s="63">
        <v>42</v>
      </c>
      <c r="J14" s="63">
        <v>42</v>
      </c>
      <c r="K14" s="63">
        <v>42</v>
      </c>
      <c r="L14" s="50">
        <v>45.8</v>
      </c>
      <c r="M14" s="50">
        <v>45.8</v>
      </c>
      <c r="N14" s="50">
        <v>45.8</v>
      </c>
      <c r="O14" s="50">
        <v>41.6</v>
      </c>
      <c r="P14" s="50">
        <v>41.6</v>
      </c>
      <c r="Q14" s="50">
        <v>41.6</v>
      </c>
      <c r="R14" s="62">
        <v>41.6</v>
      </c>
      <c r="S14" s="62">
        <v>41.6</v>
      </c>
      <c r="T14" s="62">
        <v>41.6</v>
      </c>
      <c r="U14" s="62">
        <v>41.6</v>
      </c>
      <c r="V14" s="62">
        <v>45</v>
      </c>
      <c r="W14" s="62">
        <v>45.8</v>
      </c>
      <c r="X14" s="62">
        <v>45.8</v>
      </c>
      <c r="Y14" s="62">
        <v>45.8</v>
      </c>
      <c r="Z14" s="62">
        <v>45.8</v>
      </c>
      <c r="AA14" s="50">
        <v>40.9</v>
      </c>
      <c r="AB14" s="50">
        <v>40.9</v>
      </c>
      <c r="AC14" s="50">
        <v>36</v>
      </c>
      <c r="AD14" s="50">
        <v>36</v>
      </c>
      <c r="AE14" s="50">
        <v>36</v>
      </c>
      <c r="AF14" s="50">
        <v>36</v>
      </c>
      <c r="AG14" s="64">
        <v>45</v>
      </c>
      <c r="AH14" s="56">
        <f t="shared" si="2"/>
        <v>45.8</v>
      </c>
      <c r="AI14" s="57">
        <f t="shared" si="3"/>
        <v>36</v>
      </c>
      <c r="AJ14" s="210">
        <f>AVERAGE(B14:AF14)</f>
        <v>41.196774193548393</v>
      </c>
      <c r="AK14" s="210">
        <f>(45-AJ14)*24</f>
        <v>91.277419354838571</v>
      </c>
      <c r="AL14" s="210">
        <f t="shared" si="4"/>
        <v>3.8032258064516071</v>
      </c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23</v>
      </c>
      <c r="C15" s="49">
        <v>23</v>
      </c>
      <c r="D15" s="49">
        <v>23</v>
      </c>
      <c r="E15" s="49">
        <v>0</v>
      </c>
      <c r="F15" s="49">
        <v>23</v>
      </c>
      <c r="G15" s="49">
        <v>23</v>
      </c>
      <c r="H15" s="49">
        <v>23</v>
      </c>
      <c r="I15" s="49">
        <v>23</v>
      </c>
      <c r="J15" s="49">
        <v>23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65">
        <v>26</v>
      </c>
      <c r="S15" s="65">
        <v>26</v>
      </c>
      <c r="T15" s="65">
        <v>26</v>
      </c>
      <c r="U15" s="65">
        <v>26</v>
      </c>
      <c r="V15" s="65">
        <v>26</v>
      </c>
      <c r="W15" s="65">
        <v>26</v>
      </c>
      <c r="X15" s="65">
        <v>26</v>
      </c>
      <c r="Y15" s="65">
        <v>26</v>
      </c>
      <c r="Z15" s="65">
        <v>26</v>
      </c>
      <c r="AA15" s="50">
        <v>26</v>
      </c>
      <c r="AB15" s="50">
        <v>26</v>
      </c>
      <c r="AC15" s="50">
        <v>26</v>
      </c>
      <c r="AD15" s="50">
        <v>26</v>
      </c>
      <c r="AE15" s="50">
        <v>23</v>
      </c>
      <c r="AF15" s="50">
        <v>23</v>
      </c>
      <c r="AG15" s="61">
        <v>42</v>
      </c>
      <c r="AH15" s="56">
        <f t="shared" si="2"/>
        <v>26</v>
      </c>
      <c r="AI15" s="57">
        <f t="shared" si="3"/>
        <v>0</v>
      </c>
      <c r="AJ15" s="210">
        <v>0</v>
      </c>
      <c r="AK15" s="210">
        <v>0</v>
      </c>
      <c r="AL15" s="210">
        <f t="shared" si="4"/>
        <v>0</v>
      </c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25</v>
      </c>
      <c r="C16" s="49">
        <v>25</v>
      </c>
      <c r="D16" s="49">
        <v>20</v>
      </c>
      <c r="E16" s="49">
        <v>20</v>
      </c>
      <c r="F16" s="49">
        <v>20</v>
      </c>
      <c r="G16" s="49">
        <v>20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62">
        <v>25</v>
      </c>
      <c r="S16" s="62">
        <v>25</v>
      </c>
      <c r="T16" s="62">
        <v>25</v>
      </c>
      <c r="U16" s="62">
        <v>25</v>
      </c>
      <c r="V16" s="62">
        <v>25</v>
      </c>
      <c r="W16" s="62">
        <v>25</v>
      </c>
      <c r="X16" s="62">
        <v>25</v>
      </c>
      <c r="Y16" s="62">
        <v>25</v>
      </c>
      <c r="Z16" s="62">
        <v>25</v>
      </c>
      <c r="AA16" s="50">
        <v>25</v>
      </c>
      <c r="AB16" s="50">
        <v>25</v>
      </c>
      <c r="AC16" s="50">
        <v>25</v>
      </c>
      <c r="AD16" s="50">
        <v>25</v>
      </c>
      <c r="AE16" s="50">
        <v>20</v>
      </c>
      <c r="AF16" s="50">
        <v>20</v>
      </c>
      <c r="AG16" s="61">
        <v>25</v>
      </c>
      <c r="AH16" s="56">
        <f t="shared" si="2"/>
        <v>25</v>
      </c>
      <c r="AI16" s="57">
        <f t="shared" si="3"/>
        <v>20</v>
      </c>
      <c r="AJ16" s="210">
        <f>AVERAGE(B16:AF16)</f>
        <v>24.032258064516128</v>
      </c>
      <c r="AK16" s="210">
        <f>(25-AJ16)*24</f>
        <v>23.225806451612925</v>
      </c>
      <c r="AL16" s="210">
        <f t="shared" si="4"/>
        <v>0.96774193548387188</v>
      </c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25</v>
      </c>
      <c r="AH17" s="56">
        <f t="shared" si="2"/>
        <v>25</v>
      </c>
      <c r="AI17" s="57">
        <f t="shared" si="3"/>
        <v>20</v>
      </c>
      <c r="AJ17" s="210">
        <f>AVERAGE(B17:AF17)</f>
        <v>24.032258064516128</v>
      </c>
      <c r="AK17" s="210">
        <f>(25-AJ17)*24</f>
        <v>23.225806451612925</v>
      </c>
      <c r="AL17" s="210">
        <f t="shared" si="4"/>
        <v>0.96774193548387188</v>
      </c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23.8</v>
      </c>
      <c r="C18" s="49">
        <v>23.8</v>
      </c>
      <c r="D18" s="49">
        <v>23.8</v>
      </c>
      <c r="E18" s="49">
        <v>23.8</v>
      </c>
      <c r="F18" s="49">
        <v>23.8</v>
      </c>
      <c r="G18" s="49">
        <v>23.8</v>
      </c>
      <c r="H18" s="49">
        <v>23.8</v>
      </c>
      <c r="I18" s="49">
        <v>23.8</v>
      </c>
      <c r="J18" s="49">
        <v>23.8</v>
      </c>
      <c r="K18" s="49">
        <v>23.8</v>
      </c>
      <c r="L18" s="50">
        <v>23.8</v>
      </c>
      <c r="M18" s="50">
        <v>23.8</v>
      </c>
      <c r="N18" s="50">
        <v>23.8</v>
      </c>
      <c r="O18" s="50">
        <v>23.7</v>
      </c>
      <c r="P18" s="50">
        <v>23.7</v>
      </c>
      <c r="Q18" s="50">
        <v>23.7</v>
      </c>
      <c r="R18" s="50">
        <v>23.7</v>
      </c>
      <c r="S18" s="50">
        <v>23.7</v>
      </c>
      <c r="T18" s="50">
        <v>23.7</v>
      </c>
      <c r="U18" s="50">
        <v>23.7</v>
      </c>
      <c r="V18" s="50">
        <v>23.7</v>
      </c>
      <c r="W18" s="50">
        <v>25.7</v>
      </c>
      <c r="X18" s="50">
        <v>25.7</v>
      </c>
      <c r="Y18" s="50">
        <v>25.7</v>
      </c>
      <c r="Z18" s="50">
        <v>25.7</v>
      </c>
      <c r="AA18" s="50">
        <v>23.7</v>
      </c>
      <c r="AB18" s="50">
        <v>23.7</v>
      </c>
      <c r="AC18" s="50">
        <v>23.7</v>
      </c>
      <c r="AD18" s="50">
        <v>23.7</v>
      </c>
      <c r="AE18" s="50">
        <v>20</v>
      </c>
      <c r="AF18" s="50">
        <v>20</v>
      </c>
      <c r="AG18" s="61">
        <v>25</v>
      </c>
      <c r="AH18" s="56">
        <f t="shared" si="2"/>
        <v>25.7</v>
      </c>
      <c r="AI18" s="57">
        <f t="shared" si="3"/>
        <v>20</v>
      </c>
      <c r="AJ18" s="210">
        <f>AVERAGE(B18:AF18)</f>
        <v>23.761290322580656</v>
      </c>
      <c r="AK18" s="210">
        <f>(25-AJ18)*24</f>
        <v>29.729032258064251</v>
      </c>
      <c r="AL18" s="210">
        <f t="shared" si="4"/>
        <v>1.2387096774193438</v>
      </c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23.5</v>
      </c>
      <c r="AH19" s="56">
        <f t="shared" si="2"/>
        <v>6.2</v>
      </c>
      <c r="AI19" s="57">
        <f t="shared" si="3"/>
        <v>6.2</v>
      </c>
      <c r="AJ19" s="210">
        <v>0</v>
      </c>
      <c r="AK19" s="210">
        <v>0</v>
      </c>
      <c r="AL19" s="210">
        <f t="shared" si="4"/>
        <v>0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J20" s="210">
        <v>0</v>
      </c>
      <c r="AK20" s="210">
        <v>0</v>
      </c>
      <c r="AL20" s="210">
        <f t="shared" si="4"/>
        <v>0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50">
        <v>22</v>
      </c>
      <c r="AF21" s="50">
        <v>22</v>
      </c>
      <c r="AG21" s="61">
        <v>22</v>
      </c>
      <c r="AH21" s="56">
        <f t="shared" si="2"/>
        <v>22</v>
      </c>
      <c r="AI21" s="57">
        <f t="shared" si="3"/>
        <v>22</v>
      </c>
      <c r="AJ21" s="210">
        <v>0</v>
      </c>
      <c r="AK21" s="210">
        <v>0</v>
      </c>
      <c r="AL21" s="210">
        <f t="shared" si="4"/>
        <v>0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22.1</v>
      </c>
      <c r="C22" s="49">
        <v>22.1</v>
      </c>
      <c r="D22" s="49">
        <v>17</v>
      </c>
      <c r="E22" s="49">
        <v>17</v>
      </c>
      <c r="F22" s="49">
        <v>17</v>
      </c>
      <c r="G22" s="49">
        <v>17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22.1</v>
      </c>
      <c r="AD22" s="50">
        <v>22.1</v>
      </c>
      <c r="AE22" s="50">
        <v>22.1</v>
      </c>
      <c r="AF22" s="50">
        <v>22.1</v>
      </c>
      <c r="AG22" s="61">
        <v>22.1</v>
      </c>
      <c r="AH22" s="56">
        <f t="shared" si="2"/>
        <v>22.1</v>
      </c>
      <c r="AI22" s="57">
        <f t="shared" si="3"/>
        <v>17</v>
      </c>
      <c r="AJ22" s="210">
        <f>AVERAGE(B22:AF22)</f>
        <v>21.419354838709687</v>
      </c>
      <c r="AK22" s="210">
        <f>(22.1-AJ22)*24</f>
        <v>16.335483870967551</v>
      </c>
      <c r="AL22" s="210">
        <f t="shared" si="4"/>
        <v>0.6806451612903146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17</v>
      </c>
      <c r="C23" s="49">
        <v>17</v>
      </c>
      <c r="D23" s="49">
        <v>17</v>
      </c>
      <c r="E23" s="49">
        <v>17</v>
      </c>
      <c r="F23" s="49">
        <v>17</v>
      </c>
      <c r="G23" s="49">
        <v>17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17</v>
      </c>
      <c r="AF23" s="50">
        <v>17</v>
      </c>
      <c r="AG23" s="61">
        <v>22</v>
      </c>
      <c r="AH23" s="56">
        <f t="shared" si="2"/>
        <v>22</v>
      </c>
      <c r="AI23" s="57">
        <f t="shared" si="3"/>
        <v>17</v>
      </c>
      <c r="AJ23" s="210">
        <f>AVERAGE(B23:AF23)</f>
        <v>20.70967741935484</v>
      </c>
      <c r="AK23" s="210">
        <f>(22-AJ23)*24</f>
        <v>30.967741935483843</v>
      </c>
      <c r="AL23" s="210">
        <f t="shared" si="4"/>
        <v>1.2903225806451601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22</v>
      </c>
      <c r="C24" s="49">
        <v>22</v>
      </c>
      <c r="D24" s="49">
        <v>17</v>
      </c>
      <c r="E24" s="49">
        <v>17</v>
      </c>
      <c r="F24" s="49">
        <v>17</v>
      </c>
      <c r="G24" s="49">
        <v>17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20</v>
      </c>
      <c r="AF24" s="50">
        <v>20</v>
      </c>
      <c r="AG24" s="61">
        <v>22</v>
      </c>
      <c r="AH24" s="56">
        <f t="shared" si="2"/>
        <v>22</v>
      </c>
      <c r="AI24" s="57">
        <f t="shared" si="3"/>
        <v>17</v>
      </c>
      <c r="AJ24" s="210">
        <f>AVERAGE(B24:AF24)</f>
        <v>21.225806451612904</v>
      </c>
      <c r="AK24" s="210">
        <f>(22-AJ24)*24</f>
        <v>18.580645161290306</v>
      </c>
      <c r="AL24" s="210">
        <f t="shared" si="4"/>
        <v>0.77419354838709609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186" t="s">
        <v>33</v>
      </c>
      <c r="B25" s="49">
        <v>4</v>
      </c>
      <c r="C25" s="49">
        <v>4</v>
      </c>
      <c r="D25" s="49">
        <v>4</v>
      </c>
      <c r="E25" s="49">
        <v>0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4</v>
      </c>
      <c r="AF25" s="50">
        <v>4</v>
      </c>
      <c r="AG25" s="61">
        <v>20</v>
      </c>
      <c r="AH25" s="56">
        <f>MAX(B25:AF25)</f>
        <v>8</v>
      </c>
      <c r="AI25" s="57">
        <f>MIN(B25:AF25)</f>
        <v>0</v>
      </c>
      <c r="AJ25" s="183"/>
      <c r="AK25" s="183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14</v>
      </c>
      <c r="C26" s="49">
        <v>14</v>
      </c>
      <c r="D26" s="49">
        <v>14</v>
      </c>
      <c r="E26" s="49">
        <v>14</v>
      </c>
      <c r="F26" s="49">
        <v>14</v>
      </c>
      <c r="G26" s="49">
        <v>14</v>
      </c>
      <c r="H26" s="49">
        <v>14</v>
      </c>
      <c r="I26" s="49">
        <v>14</v>
      </c>
      <c r="J26" s="49">
        <v>14</v>
      </c>
      <c r="K26" s="49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49">
        <v>14</v>
      </c>
      <c r="AB26" s="49">
        <v>14</v>
      </c>
      <c r="AC26" s="49">
        <v>14</v>
      </c>
      <c r="AD26" s="49">
        <v>14</v>
      </c>
      <c r="AE26" s="49">
        <v>14</v>
      </c>
      <c r="AF26" s="49">
        <v>14</v>
      </c>
      <c r="AG26" s="61">
        <v>14.9</v>
      </c>
      <c r="AH26" s="56">
        <f t="shared" si="2"/>
        <v>14</v>
      </c>
      <c r="AI26" s="57">
        <f t="shared" si="3"/>
        <v>14</v>
      </c>
      <c r="AJ26" s="183"/>
      <c r="AK26" s="183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6.8</v>
      </c>
      <c r="C27" s="49">
        <v>6.8</v>
      </c>
      <c r="D27" s="49">
        <v>6.8</v>
      </c>
      <c r="E27" s="49">
        <v>6.8</v>
      </c>
      <c r="F27" s="49">
        <v>6.8</v>
      </c>
      <c r="G27" s="49">
        <v>6.8</v>
      </c>
      <c r="H27" s="49">
        <v>6.8</v>
      </c>
      <c r="I27" s="49">
        <v>6.8</v>
      </c>
      <c r="J27" s="49">
        <v>6.8</v>
      </c>
      <c r="K27" s="49">
        <v>6.8</v>
      </c>
      <c r="L27" s="50">
        <v>6.8</v>
      </c>
      <c r="M27" s="50">
        <v>6.8</v>
      </c>
      <c r="N27" s="50">
        <v>6.8</v>
      </c>
      <c r="O27" s="50">
        <v>6.8</v>
      </c>
      <c r="P27" s="50">
        <v>6.8</v>
      </c>
      <c r="Q27" s="50">
        <v>6.8</v>
      </c>
      <c r="R27" s="50">
        <v>6.8</v>
      </c>
      <c r="S27" s="50">
        <v>6.8</v>
      </c>
      <c r="T27" s="50">
        <v>6.8</v>
      </c>
      <c r="U27" s="50">
        <v>6.8</v>
      </c>
      <c r="V27" s="50">
        <v>6.8</v>
      </c>
      <c r="W27" s="50">
        <v>6.8</v>
      </c>
      <c r="X27" s="50">
        <v>6.8</v>
      </c>
      <c r="Y27" s="50">
        <v>6.8</v>
      </c>
      <c r="Z27" s="50">
        <v>6.8</v>
      </c>
      <c r="AA27" s="50">
        <v>6.8</v>
      </c>
      <c r="AB27" s="50">
        <v>6.8</v>
      </c>
      <c r="AC27" s="50">
        <v>6.8</v>
      </c>
      <c r="AD27" s="50">
        <v>6.8</v>
      </c>
      <c r="AE27" s="50">
        <v>6.8</v>
      </c>
      <c r="AF27" s="50">
        <v>6.8</v>
      </c>
      <c r="AG27" s="61">
        <v>13.6</v>
      </c>
      <c r="AH27" s="56">
        <f t="shared" si="2"/>
        <v>6.8</v>
      </c>
      <c r="AI27" s="57">
        <f t="shared" si="3"/>
        <v>6.8</v>
      </c>
      <c r="AJ27" s="183"/>
      <c r="AK27" s="183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13</v>
      </c>
      <c r="AH28" s="56">
        <f t="shared" si="2"/>
        <v>0</v>
      </c>
      <c r="AI28" s="57">
        <f t="shared" si="3"/>
        <v>0</v>
      </c>
      <c r="AJ28" s="183"/>
      <c r="AK28" s="183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12</v>
      </c>
      <c r="AH29" s="56">
        <f t="shared" si="2"/>
        <v>12</v>
      </c>
      <c r="AI29" s="57">
        <f t="shared" si="3"/>
        <v>12</v>
      </c>
      <c r="AJ29" s="183"/>
      <c r="AK29" s="183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4">
        <v>12</v>
      </c>
      <c r="AH30" s="56">
        <f t="shared" si="2"/>
        <v>0</v>
      </c>
      <c r="AI30" s="57">
        <f t="shared" si="3"/>
        <v>0</v>
      </c>
      <c r="AJ30" s="183"/>
      <c r="AK30" s="183"/>
      <c r="AL30" s="30"/>
      <c r="AM30" s="26"/>
      <c r="AN30" s="26" t="s">
        <v>251</v>
      </c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11.8</v>
      </c>
      <c r="AH31" s="56">
        <f t="shared" si="2"/>
        <v>0</v>
      </c>
      <c r="AI31" s="57">
        <f t="shared" si="3"/>
        <v>0</v>
      </c>
      <c r="AJ31" s="183"/>
      <c r="AK31" s="183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7.9</v>
      </c>
      <c r="C32" s="63">
        <v>7.9</v>
      </c>
      <c r="D32" s="63">
        <v>7.9</v>
      </c>
      <c r="E32" s="63">
        <v>7.9</v>
      </c>
      <c r="F32" s="63">
        <v>7.9</v>
      </c>
      <c r="G32" s="63">
        <v>7.9</v>
      </c>
      <c r="H32" s="63">
        <v>7.9</v>
      </c>
      <c r="I32" s="63">
        <v>7.9</v>
      </c>
      <c r="J32" s="63">
        <v>7.9</v>
      </c>
      <c r="K32" s="63">
        <v>7.9</v>
      </c>
      <c r="L32" s="50">
        <v>7.9</v>
      </c>
      <c r="M32" s="50">
        <v>7.9</v>
      </c>
      <c r="N32" s="50">
        <v>7.9</v>
      </c>
      <c r="O32" s="50">
        <v>8</v>
      </c>
      <c r="P32" s="50">
        <v>8</v>
      </c>
      <c r="Q32" s="50">
        <v>8</v>
      </c>
      <c r="R32" s="50">
        <v>8</v>
      </c>
      <c r="S32" s="50">
        <v>8</v>
      </c>
      <c r="T32" s="50">
        <v>8</v>
      </c>
      <c r="U32" s="50">
        <v>8</v>
      </c>
      <c r="V32" s="50">
        <v>8</v>
      </c>
      <c r="W32" s="50">
        <v>8.3000000000000007</v>
      </c>
      <c r="X32" s="50">
        <v>8.3000000000000007</v>
      </c>
      <c r="Y32" s="50">
        <v>8.3000000000000007</v>
      </c>
      <c r="Z32" s="50">
        <v>8.3000000000000007</v>
      </c>
      <c r="AA32" s="50">
        <v>8.3000000000000007</v>
      </c>
      <c r="AB32" s="50">
        <v>8.3000000000000007</v>
      </c>
      <c r="AC32" s="50">
        <v>8.3000000000000007</v>
      </c>
      <c r="AD32" s="50">
        <v>8.3000000000000007</v>
      </c>
      <c r="AE32" s="50">
        <v>8.3000000000000007</v>
      </c>
      <c r="AF32" s="50">
        <v>8.3000000000000007</v>
      </c>
      <c r="AG32" s="69">
        <v>10</v>
      </c>
      <c r="AH32" s="56">
        <f t="shared" si="2"/>
        <v>8.3000000000000007</v>
      </c>
      <c r="AI32" s="57">
        <f t="shared" si="3"/>
        <v>7.9</v>
      </c>
      <c r="AJ32" s="183"/>
      <c r="AK32" s="183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10</v>
      </c>
      <c r="AH33" s="56">
        <f t="shared" si="2"/>
        <v>0</v>
      </c>
      <c r="AI33" s="57">
        <f t="shared" si="3"/>
        <v>0</v>
      </c>
      <c r="AJ33" s="183"/>
      <c r="AK33" s="183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200</v>
      </c>
      <c r="C34" s="63">
        <v>200</v>
      </c>
      <c r="D34" s="63">
        <v>200</v>
      </c>
      <c r="E34" s="63">
        <v>180</v>
      </c>
      <c r="F34" s="63">
        <v>200</v>
      </c>
      <c r="G34" s="63">
        <v>200</v>
      </c>
      <c r="H34" s="63">
        <v>200</v>
      </c>
      <c r="I34" s="63">
        <v>200</v>
      </c>
      <c r="J34" s="63">
        <v>200</v>
      </c>
      <c r="K34" s="63">
        <v>200</v>
      </c>
      <c r="L34" s="63">
        <v>220</v>
      </c>
      <c r="M34" s="63">
        <v>220</v>
      </c>
      <c r="N34" s="63">
        <v>220</v>
      </c>
      <c r="O34" s="63">
        <v>220</v>
      </c>
      <c r="P34" s="63">
        <v>220</v>
      </c>
      <c r="Q34" s="63">
        <v>220</v>
      </c>
      <c r="R34" s="63">
        <v>220</v>
      </c>
      <c r="S34" s="63">
        <v>220</v>
      </c>
      <c r="T34" s="63">
        <v>220</v>
      </c>
      <c r="U34" s="63">
        <v>220</v>
      </c>
      <c r="V34" s="63">
        <v>220</v>
      </c>
      <c r="W34" s="63">
        <v>220</v>
      </c>
      <c r="X34" s="63">
        <v>220</v>
      </c>
      <c r="Y34" s="63">
        <v>220</v>
      </c>
      <c r="Z34" s="63">
        <v>220</v>
      </c>
      <c r="AA34" s="63">
        <v>220</v>
      </c>
      <c r="AB34" s="63">
        <v>220</v>
      </c>
      <c r="AC34" s="63">
        <v>220</v>
      </c>
      <c r="AD34" s="63">
        <v>220</v>
      </c>
      <c r="AE34" s="63">
        <v>220</v>
      </c>
      <c r="AF34" s="63">
        <v>220</v>
      </c>
      <c r="AG34" s="69">
        <v>220</v>
      </c>
      <c r="AH34" s="56">
        <f t="shared" si="2"/>
        <v>220</v>
      </c>
      <c r="AI34" s="57">
        <f t="shared" si="3"/>
        <v>180</v>
      </c>
      <c r="AK34" s="58"/>
    </row>
    <row r="35" spans="1:88" ht="15.75" thickBot="1" x14ac:dyDescent="0.3">
      <c r="A35" s="71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72"/>
      <c r="M35" s="72"/>
      <c r="N35" s="72"/>
      <c r="O35" s="72">
        <f>71+50</f>
        <v>121</v>
      </c>
      <c r="P35" s="72"/>
      <c r="Q35" s="72"/>
      <c r="R35" s="72"/>
      <c r="S35" s="72"/>
      <c r="T35" s="72"/>
      <c r="U35" s="72"/>
      <c r="V35" s="72"/>
      <c r="W35" s="72">
        <f>73+51.3</f>
        <v>124.3</v>
      </c>
      <c r="X35" s="72">
        <f>73.2+51.6</f>
        <v>124.80000000000001</v>
      </c>
      <c r="Y35" s="72">
        <f>73.2+51.6</f>
        <v>124.80000000000001</v>
      </c>
      <c r="Z35" s="72">
        <f>53.6+73.4</f>
        <v>127</v>
      </c>
      <c r="AA35" s="72">
        <f>73.8+53.9</f>
        <v>127.69999999999999</v>
      </c>
      <c r="AB35" s="72">
        <v>128</v>
      </c>
      <c r="AC35" s="72">
        <v>128</v>
      </c>
      <c r="AD35" s="72">
        <v>128</v>
      </c>
      <c r="AE35" s="63">
        <v>123</v>
      </c>
      <c r="AF35" s="63">
        <v>124</v>
      </c>
      <c r="AG35" s="69"/>
      <c r="AH35" s="56">
        <f t="shared" si="2"/>
        <v>128</v>
      </c>
      <c r="AI35" s="57">
        <f t="shared" si="3"/>
        <v>121</v>
      </c>
      <c r="AK35" s="58"/>
    </row>
    <row r="36" spans="1:88" ht="15.75" thickBot="1" x14ac:dyDescent="0.3">
      <c r="A36" s="73" t="s">
        <v>44</v>
      </c>
      <c r="B36" s="74">
        <f t="shared" ref="B36:AF36" si="5">SUM(B11:B34)</f>
        <v>614.20000000000005</v>
      </c>
      <c r="C36" s="74">
        <f t="shared" si="5"/>
        <v>614.20000000000005</v>
      </c>
      <c r="D36" s="74">
        <f t="shared" si="5"/>
        <v>588.90000000000009</v>
      </c>
      <c r="E36" s="74">
        <f t="shared" si="5"/>
        <v>562.5</v>
      </c>
      <c r="F36" s="74">
        <f t="shared" si="5"/>
        <v>610.70000000000005</v>
      </c>
      <c r="G36" s="74">
        <f t="shared" si="5"/>
        <v>622.4</v>
      </c>
      <c r="H36" s="74">
        <f t="shared" si="5"/>
        <v>674.2</v>
      </c>
      <c r="I36" s="74">
        <f t="shared" si="5"/>
        <v>714.2</v>
      </c>
      <c r="J36" s="74">
        <f t="shared" si="5"/>
        <v>678.4</v>
      </c>
      <c r="K36" s="74">
        <f t="shared" si="5"/>
        <v>753.69999999999993</v>
      </c>
      <c r="L36" s="74">
        <f t="shared" si="5"/>
        <v>829.99999999999989</v>
      </c>
      <c r="M36" s="74">
        <f t="shared" si="5"/>
        <v>804.99999999999989</v>
      </c>
      <c r="N36" s="74">
        <f t="shared" si="5"/>
        <v>784.99999999999989</v>
      </c>
      <c r="O36" s="74">
        <f t="shared" si="5"/>
        <v>760.4</v>
      </c>
      <c r="P36" s="74">
        <f t="shared" si="5"/>
        <v>780.4</v>
      </c>
      <c r="Q36" s="74">
        <f t="shared" si="5"/>
        <v>760.4</v>
      </c>
      <c r="R36" s="74">
        <f t="shared" si="5"/>
        <v>760.4</v>
      </c>
      <c r="S36" s="74">
        <f t="shared" si="5"/>
        <v>778.4</v>
      </c>
      <c r="T36" s="74">
        <f t="shared" si="5"/>
        <v>761.4</v>
      </c>
      <c r="U36" s="74">
        <f t="shared" si="5"/>
        <v>796.4</v>
      </c>
      <c r="V36" s="74">
        <f t="shared" si="5"/>
        <v>878.8</v>
      </c>
      <c r="W36" s="74">
        <f t="shared" si="5"/>
        <v>935.80000000000007</v>
      </c>
      <c r="X36" s="74">
        <f t="shared" si="5"/>
        <v>907.3</v>
      </c>
      <c r="Y36" s="74">
        <f t="shared" si="5"/>
        <v>857.29999999999984</v>
      </c>
      <c r="Z36" s="74">
        <f t="shared" si="5"/>
        <v>796.3</v>
      </c>
      <c r="AA36" s="74">
        <f t="shared" si="5"/>
        <v>755.4</v>
      </c>
      <c r="AB36" s="74">
        <f t="shared" si="5"/>
        <v>725.40000000000009</v>
      </c>
      <c r="AC36" s="74">
        <f t="shared" si="5"/>
        <v>685.5</v>
      </c>
      <c r="AD36" s="74">
        <f t="shared" si="5"/>
        <v>625.5</v>
      </c>
      <c r="AE36" s="74">
        <f t="shared" si="5"/>
        <v>572.79999999999995</v>
      </c>
      <c r="AF36" s="74">
        <f t="shared" si="5"/>
        <v>572.79999999999995</v>
      </c>
      <c r="AG36" s="69">
        <f>SUM(AG11:AG34)</f>
        <v>1201.9000000000001</v>
      </c>
      <c r="AH36" s="56">
        <f t="shared" si="2"/>
        <v>935.80000000000007</v>
      </c>
      <c r="AI36" s="57">
        <f t="shared" si="3"/>
        <v>562.5</v>
      </c>
      <c r="AK36" s="58"/>
    </row>
    <row r="37" spans="1:88" x14ac:dyDescent="0.25">
      <c r="A37" s="59" t="s">
        <v>45</v>
      </c>
      <c r="B37" s="63">
        <v>65.7</v>
      </c>
      <c r="C37" s="63">
        <v>65.7</v>
      </c>
      <c r="D37" s="63">
        <v>67</v>
      </c>
      <c r="E37" s="63">
        <v>89.2</v>
      </c>
      <c r="F37" s="63">
        <v>81.2</v>
      </c>
      <c r="G37" s="63">
        <v>106.7</v>
      </c>
      <c r="H37" s="63">
        <v>106.6</v>
      </c>
      <c r="I37" s="63">
        <v>121.8</v>
      </c>
      <c r="J37" s="63">
        <v>145.19999999999999</v>
      </c>
      <c r="K37" s="63">
        <v>145.19999999999999</v>
      </c>
      <c r="L37" s="50">
        <v>145.19999999999999</v>
      </c>
      <c r="M37" s="50">
        <v>145</v>
      </c>
      <c r="N37" s="50">
        <v>145</v>
      </c>
      <c r="O37" s="50">
        <v>144</v>
      </c>
      <c r="P37" s="50">
        <v>97.4</v>
      </c>
      <c r="Q37" s="50">
        <v>97.4</v>
      </c>
      <c r="R37" s="50">
        <v>97.4</v>
      </c>
      <c r="S37" s="50">
        <v>97.4</v>
      </c>
      <c r="T37" s="50">
        <v>133.6</v>
      </c>
      <c r="U37" s="50">
        <v>145.30000000000001</v>
      </c>
      <c r="V37" s="50">
        <v>145.1</v>
      </c>
      <c r="W37" s="50">
        <v>144.69999999999999</v>
      </c>
      <c r="X37" s="50">
        <v>145</v>
      </c>
      <c r="Y37" s="50">
        <v>145.1</v>
      </c>
      <c r="Z37" s="50">
        <v>144.4</v>
      </c>
      <c r="AA37" s="50">
        <v>144.4</v>
      </c>
      <c r="AB37" s="50">
        <v>130</v>
      </c>
      <c r="AC37" s="50">
        <v>114</v>
      </c>
      <c r="AD37" s="50">
        <v>85</v>
      </c>
      <c r="AE37" s="49">
        <v>97</v>
      </c>
      <c r="AF37" s="49">
        <v>80.5</v>
      </c>
      <c r="AG37" s="64">
        <v>144</v>
      </c>
      <c r="AH37" s="56">
        <f t="shared" si="2"/>
        <v>145.30000000000001</v>
      </c>
      <c r="AI37" s="57">
        <f t="shared" si="3"/>
        <v>65.7</v>
      </c>
      <c r="AK37" s="58"/>
    </row>
    <row r="38" spans="1:88" x14ac:dyDescent="0.25">
      <c r="A38" s="68" t="s">
        <v>46</v>
      </c>
      <c r="B38" s="63">
        <v>26.2</v>
      </c>
      <c r="C38" s="63">
        <v>26.2</v>
      </c>
      <c r="D38" s="63">
        <v>26.2</v>
      </c>
      <c r="E38" s="63">
        <v>34.799999999999997</v>
      </c>
      <c r="F38" s="63">
        <v>34.799999999999997</v>
      </c>
      <c r="G38" s="63">
        <v>34.799999999999997</v>
      </c>
      <c r="H38" s="63">
        <v>34.799999999999997</v>
      </c>
      <c r="I38" s="63">
        <v>30</v>
      </c>
      <c r="J38" s="63">
        <v>35.200000000000003</v>
      </c>
      <c r="K38" s="63">
        <v>35.200000000000003</v>
      </c>
      <c r="L38" s="52">
        <v>35.200000000000003</v>
      </c>
      <c r="M38" s="52">
        <v>35.4</v>
      </c>
      <c r="N38" s="52">
        <v>35.4</v>
      </c>
      <c r="O38" s="52">
        <v>35</v>
      </c>
      <c r="P38" s="52">
        <v>35</v>
      </c>
      <c r="Q38" s="52">
        <v>35</v>
      </c>
      <c r="R38" s="52">
        <v>35</v>
      </c>
      <c r="S38" s="52">
        <v>35</v>
      </c>
      <c r="T38" s="52">
        <v>35.299999999999997</v>
      </c>
      <c r="U38" s="52">
        <v>35.299999999999997</v>
      </c>
      <c r="V38" s="52">
        <v>35.299999999999997</v>
      </c>
      <c r="W38" s="52">
        <v>35.200000000000003</v>
      </c>
      <c r="X38" s="52">
        <v>35.6</v>
      </c>
      <c r="Y38" s="52">
        <v>35.6</v>
      </c>
      <c r="Z38" s="52">
        <v>35.6</v>
      </c>
      <c r="AA38" s="52">
        <v>35.6</v>
      </c>
      <c r="AB38" s="52">
        <v>35</v>
      </c>
      <c r="AC38" s="52">
        <v>25</v>
      </c>
      <c r="AD38" s="52">
        <v>25</v>
      </c>
      <c r="AE38" s="63">
        <v>35</v>
      </c>
      <c r="AF38" s="63">
        <v>50</v>
      </c>
      <c r="AG38" s="69">
        <v>70</v>
      </c>
      <c r="AH38" s="56">
        <f t="shared" si="2"/>
        <v>50</v>
      </c>
      <c r="AI38" s="57">
        <f t="shared" si="3"/>
        <v>25</v>
      </c>
      <c r="AK38" s="58"/>
    </row>
    <row r="39" spans="1:88" x14ac:dyDescent="0.25">
      <c r="A39" s="68" t="s">
        <v>47</v>
      </c>
      <c r="B39" s="63">
        <v>33.799999999999997</v>
      </c>
      <c r="C39" s="63">
        <v>33.799999999999997</v>
      </c>
      <c r="D39" s="63">
        <v>35.9</v>
      </c>
      <c r="E39" s="63">
        <v>49.2</v>
      </c>
      <c r="F39" s="63">
        <v>35</v>
      </c>
      <c r="G39" s="63">
        <v>57</v>
      </c>
      <c r="H39" s="63">
        <v>54.9</v>
      </c>
      <c r="I39" s="63">
        <v>55</v>
      </c>
      <c r="J39" s="63">
        <v>70</v>
      </c>
      <c r="K39" s="63">
        <v>70</v>
      </c>
      <c r="L39" s="52">
        <v>69.599999999999994</v>
      </c>
      <c r="M39" s="52">
        <v>69.8</v>
      </c>
      <c r="N39" s="52">
        <v>69.8</v>
      </c>
      <c r="O39" s="52">
        <v>63</v>
      </c>
      <c r="P39" s="52">
        <v>63</v>
      </c>
      <c r="Q39" s="52">
        <v>70</v>
      </c>
      <c r="R39" s="52">
        <v>70</v>
      </c>
      <c r="S39" s="52">
        <v>70</v>
      </c>
      <c r="T39" s="52">
        <v>70</v>
      </c>
      <c r="U39" s="52">
        <v>70</v>
      </c>
      <c r="V39" s="52">
        <v>70</v>
      </c>
      <c r="W39" s="52">
        <v>70.599999999999994</v>
      </c>
      <c r="X39" s="52">
        <v>70.2</v>
      </c>
      <c r="Y39" s="52">
        <v>69.8</v>
      </c>
      <c r="Z39" s="52">
        <v>60.2</v>
      </c>
      <c r="AA39" s="52">
        <v>69.7</v>
      </c>
      <c r="AB39" s="52">
        <v>57</v>
      </c>
      <c r="AC39" s="52">
        <v>57</v>
      </c>
      <c r="AD39" s="52">
        <v>37</v>
      </c>
      <c r="AE39" s="63">
        <v>45</v>
      </c>
      <c r="AF39" s="63">
        <v>33</v>
      </c>
      <c r="AG39" s="69">
        <v>69</v>
      </c>
      <c r="AH39" s="56">
        <f t="shared" si="2"/>
        <v>70.599999999999994</v>
      </c>
      <c r="AI39" s="57">
        <f t="shared" si="3"/>
        <v>33</v>
      </c>
      <c r="AK39" s="58"/>
    </row>
    <row r="40" spans="1:88" x14ac:dyDescent="0.25">
      <c r="A40" s="68" t="s">
        <v>48</v>
      </c>
      <c r="B40" s="63">
        <v>22.4</v>
      </c>
      <c r="C40" s="63">
        <v>12</v>
      </c>
      <c r="D40" s="63">
        <v>25.7</v>
      </c>
      <c r="E40" s="63">
        <v>30</v>
      </c>
      <c r="F40" s="63">
        <v>25</v>
      </c>
      <c r="G40" s="63">
        <v>40.6</v>
      </c>
      <c r="H40" s="63">
        <v>41.1</v>
      </c>
      <c r="I40" s="63">
        <v>40.799999999999997</v>
      </c>
      <c r="J40" s="63">
        <v>61</v>
      </c>
      <c r="K40" s="63">
        <v>61</v>
      </c>
      <c r="L40" s="52">
        <v>60.5</v>
      </c>
      <c r="M40" s="52">
        <v>60.5</v>
      </c>
      <c r="N40" s="52">
        <v>60.5</v>
      </c>
      <c r="O40" s="52">
        <v>60</v>
      </c>
      <c r="P40" s="52">
        <v>60</v>
      </c>
      <c r="Q40" s="52">
        <v>50</v>
      </c>
      <c r="R40" s="52">
        <v>50</v>
      </c>
      <c r="S40" s="52">
        <v>50</v>
      </c>
      <c r="T40" s="52">
        <v>61.4</v>
      </c>
      <c r="U40" s="52">
        <v>61.4</v>
      </c>
      <c r="V40" s="52">
        <v>61.4</v>
      </c>
      <c r="W40" s="52">
        <v>61.4</v>
      </c>
      <c r="X40" s="52">
        <v>61.4</v>
      </c>
      <c r="Y40" s="52">
        <v>61.4</v>
      </c>
      <c r="Z40" s="52">
        <v>61.4</v>
      </c>
      <c r="AA40" s="52">
        <v>50.9</v>
      </c>
      <c r="AB40" s="52">
        <v>51</v>
      </c>
      <c r="AC40" s="52">
        <v>40</v>
      </c>
      <c r="AD40" s="52">
        <v>40</v>
      </c>
      <c r="AE40" s="63">
        <v>30</v>
      </c>
      <c r="AF40" s="63">
        <v>30</v>
      </c>
      <c r="AG40" s="69">
        <v>60</v>
      </c>
      <c r="AH40" s="56">
        <f t="shared" si="2"/>
        <v>61.4</v>
      </c>
      <c r="AI40" s="57">
        <f t="shared" si="3"/>
        <v>12</v>
      </c>
      <c r="AK40" s="58"/>
    </row>
    <row r="41" spans="1:88" x14ac:dyDescent="0.25">
      <c r="A41" s="68" t="s">
        <v>49</v>
      </c>
      <c r="B41" s="63">
        <v>14.9</v>
      </c>
      <c r="C41" s="63">
        <v>14.9</v>
      </c>
      <c r="D41" s="63">
        <v>14.9</v>
      </c>
      <c r="E41" s="63">
        <v>14.9</v>
      </c>
      <c r="F41" s="63">
        <v>14.9</v>
      </c>
      <c r="G41" s="63">
        <v>14.9</v>
      </c>
      <c r="H41" s="63">
        <v>14.9</v>
      </c>
      <c r="I41" s="63">
        <v>14.9</v>
      </c>
      <c r="J41" s="63">
        <v>14.9</v>
      </c>
      <c r="K41" s="63">
        <v>14.9</v>
      </c>
      <c r="L41" s="50">
        <v>15</v>
      </c>
      <c r="M41" s="50">
        <v>14.9</v>
      </c>
      <c r="N41" s="50">
        <v>14.9</v>
      </c>
      <c r="O41" s="50">
        <v>15</v>
      </c>
      <c r="P41" s="50">
        <v>15</v>
      </c>
      <c r="Q41" s="50">
        <v>15</v>
      </c>
      <c r="R41" s="50">
        <v>15</v>
      </c>
      <c r="S41" s="50">
        <v>15</v>
      </c>
      <c r="T41" s="50">
        <v>15</v>
      </c>
      <c r="U41" s="50">
        <v>15</v>
      </c>
      <c r="V41" s="50">
        <v>15</v>
      </c>
      <c r="W41" s="50">
        <v>29.5</v>
      </c>
      <c r="X41" s="50">
        <v>29.8</v>
      </c>
      <c r="Y41" s="52">
        <v>29.7</v>
      </c>
      <c r="Z41" s="52">
        <v>29.7</v>
      </c>
      <c r="AA41" s="52">
        <v>29.7</v>
      </c>
      <c r="AB41" s="52">
        <v>29.7</v>
      </c>
      <c r="AC41" s="52">
        <v>29.7</v>
      </c>
      <c r="AD41" s="52">
        <v>25</v>
      </c>
      <c r="AE41" s="63">
        <v>25</v>
      </c>
      <c r="AF41" s="63">
        <v>25</v>
      </c>
      <c r="AG41" s="69">
        <v>30</v>
      </c>
      <c r="AH41" s="56">
        <f t="shared" si="2"/>
        <v>29.8</v>
      </c>
      <c r="AI41" s="57">
        <f t="shared" si="3"/>
        <v>14.9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17.8</v>
      </c>
      <c r="C43" s="75">
        <v>17.8</v>
      </c>
      <c r="D43" s="75">
        <v>10.6</v>
      </c>
      <c r="E43" s="75">
        <v>10.6</v>
      </c>
      <c r="F43" s="75">
        <v>10.6</v>
      </c>
      <c r="G43" s="75">
        <v>10.6</v>
      </c>
      <c r="H43" s="75">
        <v>16.3</v>
      </c>
      <c r="I43" s="75">
        <v>17.399999999999999</v>
      </c>
      <c r="J43" s="75">
        <v>17.2</v>
      </c>
      <c r="K43" s="75">
        <v>17.2</v>
      </c>
      <c r="L43" s="50">
        <v>17.7</v>
      </c>
      <c r="M43" s="50">
        <v>17.899999999999999</v>
      </c>
      <c r="N43" s="50">
        <v>17.899999999999999</v>
      </c>
      <c r="O43" s="50">
        <v>18</v>
      </c>
      <c r="P43" s="50">
        <v>18</v>
      </c>
      <c r="Q43" s="50">
        <v>18</v>
      </c>
      <c r="R43" s="50">
        <v>18</v>
      </c>
      <c r="S43" s="50">
        <v>18</v>
      </c>
      <c r="T43" s="50">
        <v>18</v>
      </c>
      <c r="U43" s="50">
        <v>18</v>
      </c>
      <c r="V43" s="50">
        <v>18</v>
      </c>
      <c r="W43" s="50">
        <v>17.899999999999999</v>
      </c>
      <c r="X43" s="50">
        <v>17.899999999999999</v>
      </c>
      <c r="Y43" s="50">
        <v>17.899999999999999</v>
      </c>
      <c r="Z43" s="50">
        <v>17.899999999999999</v>
      </c>
      <c r="AA43" s="50">
        <v>17.899999999999999</v>
      </c>
      <c r="AB43" s="50">
        <v>17.899999999999999</v>
      </c>
      <c r="AC43" s="50">
        <v>17.899999999999999</v>
      </c>
      <c r="AD43" s="50">
        <v>10</v>
      </c>
      <c r="AE43" s="63">
        <v>13</v>
      </c>
      <c r="AF43" s="63">
        <v>13</v>
      </c>
      <c r="AG43" s="69">
        <v>24</v>
      </c>
      <c r="AH43" s="56">
        <f t="shared" si="2"/>
        <v>18</v>
      </c>
      <c r="AI43" s="57">
        <f t="shared" si="3"/>
        <v>10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10</v>
      </c>
      <c r="C45" s="63">
        <v>10</v>
      </c>
      <c r="D45" s="63">
        <v>8</v>
      </c>
      <c r="E45" s="63">
        <v>8</v>
      </c>
      <c r="F45" s="63">
        <v>8</v>
      </c>
      <c r="G45" s="63">
        <v>8</v>
      </c>
      <c r="H45" s="63">
        <v>8</v>
      </c>
      <c r="I45" s="63">
        <v>8</v>
      </c>
      <c r="J45" s="63">
        <v>8</v>
      </c>
      <c r="K45" s="63">
        <v>8</v>
      </c>
      <c r="L45" s="50">
        <v>8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8</v>
      </c>
      <c r="AE45" s="63">
        <v>10</v>
      </c>
      <c r="AF45" s="63">
        <v>10</v>
      </c>
      <c r="AG45" s="69">
        <v>14.1</v>
      </c>
      <c r="AH45" s="56">
        <f t="shared" si="2"/>
        <v>13</v>
      </c>
      <c r="AI45" s="57">
        <f t="shared" si="3"/>
        <v>8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9</v>
      </c>
      <c r="C46" s="75">
        <v>9</v>
      </c>
      <c r="D46" s="75">
        <v>9</v>
      </c>
      <c r="E46" s="75">
        <v>0</v>
      </c>
      <c r="F46" s="75">
        <v>10</v>
      </c>
      <c r="G46" s="75">
        <v>10</v>
      </c>
      <c r="H46" s="75">
        <v>10</v>
      </c>
      <c r="I46" s="75">
        <v>10</v>
      </c>
      <c r="J46" s="75">
        <v>10</v>
      </c>
      <c r="K46" s="75">
        <v>10</v>
      </c>
      <c r="L46" s="50">
        <v>13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50">
        <v>14</v>
      </c>
      <c r="AF46" s="50">
        <v>14</v>
      </c>
      <c r="AG46" s="69">
        <v>14</v>
      </c>
      <c r="AH46" s="56">
        <f t="shared" si="2"/>
        <v>14</v>
      </c>
      <c r="AI46" s="57">
        <f t="shared" si="3"/>
        <v>0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6.2</v>
      </c>
      <c r="C48" s="63">
        <v>6.2</v>
      </c>
      <c r="D48" s="63">
        <v>6.2</v>
      </c>
      <c r="E48" s="63">
        <v>6.2</v>
      </c>
      <c r="F48" s="63">
        <v>6.2</v>
      </c>
      <c r="G48" s="63">
        <v>6.2</v>
      </c>
      <c r="H48" s="63">
        <v>6.2</v>
      </c>
      <c r="I48" s="63">
        <v>6.2</v>
      </c>
      <c r="J48" s="63">
        <v>6.2</v>
      </c>
      <c r="K48" s="63">
        <v>6.2</v>
      </c>
      <c r="L48" s="50">
        <v>6.2</v>
      </c>
      <c r="M48" s="50">
        <v>6.2</v>
      </c>
      <c r="N48" s="50">
        <v>6.2</v>
      </c>
      <c r="O48" s="50">
        <v>6.2</v>
      </c>
      <c r="P48" s="50">
        <v>6.2</v>
      </c>
      <c r="Q48" s="50">
        <v>6.2</v>
      </c>
      <c r="R48" s="50">
        <v>6.2</v>
      </c>
      <c r="S48" s="50">
        <v>6.2</v>
      </c>
      <c r="T48" s="50">
        <v>6.2</v>
      </c>
      <c r="U48" s="50">
        <v>6.2</v>
      </c>
      <c r="V48" s="50">
        <v>6.2</v>
      </c>
      <c r="W48" s="50">
        <v>6.2</v>
      </c>
      <c r="X48" s="50">
        <v>6.2</v>
      </c>
      <c r="Y48" s="50">
        <v>6.2</v>
      </c>
      <c r="Z48" s="50">
        <v>6.2</v>
      </c>
      <c r="AA48" s="50">
        <v>6.2</v>
      </c>
      <c r="AB48" s="50">
        <v>6.2</v>
      </c>
      <c r="AC48" s="50">
        <v>6.2</v>
      </c>
      <c r="AD48" s="50">
        <v>6.2</v>
      </c>
      <c r="AE48" s="50">
        <v>6.2</v>
      </c>
      <c r="AF48" s="50">
        <v>6.2</v>
      </c>
      <c r="AG48" s="69">
        <v>6.2</v>
      </c>
      <c r="AH48" s="56">
        <f t="shared" si="2"/>
        <v>6.2</v>
      </c>
      <c r="AI48" s="57">
        <f t="shared" si="3"/>
        <v>6.2</v>
      </c>
      <c r="AK48" s="58"/>
    </row>
    <row r="49" spans="1:38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6">T197</f>
        <v>3.54</v>
      </c>
      <c r="U49" s="78">
        <f t="shared" si="6"/>
        <v>3.54</v>
      </c>
      <c r="V49" s="78">
        <f t="shared" si="6"/>
        <v>3.54</v>
      </c>
      <c r="W49" s="78">
        <v>3.5</v>
      </c>
      <c r="X49" s="78">
        <f t="shared" si="6"/>
        <v>3.54</v>
      </c>
      <c r="Y49" s="78">
        <v>3.54</v>
      </c>
      <c r="Z49" s="78">
        <f t="shared" si="6"/>
        <v>3.54</v>
      </c>
      <c r="AA49" s="78">
        <f t="shared" si="6"/>
        <v>3.54</v>
      </c>
      <c r="AB49" s="78">
        <f t="shared" si="6"/>
        <v>3.54</v>
      </c>
      <c r="AC49" s="78">
        <f t="shared" si="6"/>
        <v>3.54</v>
      </c>
      <c r="AD49" s="78">
        <f t="shared" si="6"/>
        <v>3.54</v>
      </c>
      <c r="AE49" s="78">
        <f t="shared" si="6"/>
        <v>3.54</v>
      </c>
      <c r="AF49" s="78">
        <f t="shared" si="6"/>
        <v>3.54</v>
      </c>
      <c r="AG49" s="78">
        <f t="shared" si="6"/>
        <v>8.56</v>
      </c>
      <c r="AH49" s="56">
        <f t="shared" si="2"/>
        <v>3.54</v>
      </c>
      <c r="AI49" s="57">
        <f t="shared" si="3"/>
        <v>3.5</v>
      </c>
      <c r="AK49" s="58"/>
    </row>
    <row r="50" spans="1:38" ht="15.75" thickBot="1" x14ac:dyDescent="0.3">
      <c r="A50" s="73" t="s">
        <v>58</v>
      </c>
      <c r="B50" s="74">
        <f t="shared" ref="B50:AF50" si="7">SUM(B37:B49)</f>
        <v>219.14</v>
      </c>
      <c r="C50" s="74">
        <f t="shared" si="7"/>
        <v>208.73999999999998</v>
      </c>
      <c r="D50" s="74">
        <f t="shared" si="7"/>
        <v>216.63999999999996</v>
      </c>
      <c r="E50" s="74">
        <f t="shared" si="7"/>
        <v>256.03999999999996</v>
      </c>
      <c r="F50" s="74">
        <f t="shared" si="7"/>
        <v>238.83999999999997</v>
      </c>
      <c r="G50" s="74">
        <f t="shared" si="7"/>
        <v>301.94000000000005</v>
      </c>
      <c r="H50" s="74">
        <f t="shared" si="7"/>
        <v>305.94</v>
      </c>
      <c r="I50" s="74">
        <f t="shared" si="7"/>
        <v>317.24</v>
      </c>
      <c r="J50" s="74">
        <f t="shared" si="7"/>
        <v>380.84</v>
      </c>
      <c r="K50" s="74">
        <f t="shared" si="7"/>
        <v>380.84</v>
      </c>
      <c r="L50" s="74">
        <f t="shared" si="7"/>
        <v>383.54</v>
      </c>
      <c r="M50" s="74">
        <f t="shared" si="7"/>
        <v>389.84</v>
      </c>
      <c r="N50" s="74">
        <f t="shared" si="7"/>
        <v>389.84</v>
      </c>
      <c r="O50" s="74">
        <f t="shared" si="7"/>
        <v>381.34000000000003</v>
      </c>
      <c r="P50" s="74">
        <f t="shared" si="7"/>
        <v>334.74</v>
      </c>
      <c r="Q50" s="74">
        <f t="shared" si="7"/>
        <v>331.74</v>
      </c>
      <c r="R50" s="74">
        <f t="shared" si="7"/>
        <v>331.74</v>
      </c>
      <c r="S50" s="74">
        <f t="shared" si="7"/>
        <v>331.74</v>
      </c>
      <c r="T50" s="74">
        <f t="shared" si="7"/>
        <v>379.64</v>
      </c>
      <c r="U50" s="74">
        <f t="shared" si="7"/>
        <v>391.34000000000003</v>
      </c>
      <c r="V50" s="74">
        <f t="shared" si="7"/>
        <v>391.14</v>
      </c>
      <c r="W50" s="74">
        <f>SUM(W37:W49)</f>
        <v>405.59999999999997</v>
      </c>
      <c r="X50" s="74">
        <f t="shared" si="7"/>
        <v>406.24</v>
      </c>
      <c r="Y50" s="74">
        <f t="shared" si="7"/>
        <v>405.84</v>
      </c>
      <c r="Z50" s="74">
        <f t="shared" si="7"/>
        <v>395.53999999999996</v>
      </c>
      <c r="AA50" s="74">
        <f t="shared" si="7"/>
        <v>394.53999999999996</v>
      </c>
      <c r="AB50" s="74">
        <f t="shared" si="7"/>
        <v>366.94</v>
      </c>
      <c r="AC50" s="74">
        <f t="shared" si="7"/>
        <v>329.94</v>
      </c>
      <c r="AD50" s="74">
        <f t="shared" si="7"/>
        <v>263.34000000000003</v>
      </c>
      <c r="AE50" s="74">
        <f t="shared" si="7"/>
        <v>288.34000000000003</v>
      </c>
      <c r="AF50" s="74">
        <f t="shared" si="7"/>
        <v>274.84000000000003</v>
      </c>
      <c r="AG50" s="79">
        <f>SUM(AG37:AG49)</f>
        <v>489.91</v>
      </c>
      <c r="AH50" s="56">
        <f t="shared" si="2"/>
        <v>406.24</v>
      </c>
      <c r="AI50" s="57">
        <f t="shared" si="3"/>
        <v>208.73999999999998</v>
      </c>
      <c r="AJ50" s="183">
        <f>AVERAGE(B50:AF50)</f>
        <v>335.2903225806453</v>
      </c>
      <c r="AK50" s="183">
        <f>(400-AJ50)*24</f>
        <v>1553.0322580645129</v>
      </c>
      <c r="AL50">
        <f>AK50/24</f>
        <v>64.709677419354705</v>
      </c>
    </row>
    <row r="51" spans="1:38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30.2</v>
      </c>
      <c r="K51" s="63">
        <v>40.1</v>
      </c>
      <c r="L51" s="80">
        <v>0</v>
      </c>
      <c r="M51" s="80">
        <v>0</v>
      </c>
      <c r="N51" s="80">
        <v>0</v>
      </c>
      <c r="O51" s="8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34.9</v>
      </c>
      <c r="X51" s="50">
        <v>35.1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40.1</v>
      </c>
      <c r="AI51" s="57">
        <f t="shared" si="3"/>
        <v>0</v>
      </c>
      <c r="AK51" s="58"/>
    </row>
    <row r="52" spans="1:38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14.3</v>
      </c>
      <c r="K52" s="63">
        <v>21.4</v>
      </c>
      <c r="L52" s="80">
        <v>0</v>
      </c>
      <c r="M52" s="80">
        <v>0</v>
      </c>
      <c r="N52" s="80">
        <v>0</v>
      </c>
      <c r="O52" s="80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2">
        <v>16.2</v>
      </c>
      <c r="X52" s="52">
        <v>16.2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21.4</v>
      </c>
      <c r="AI52" s="57">
        <f t="shared" si="3"/>
        <v>0</v>
      </c>
      <c r="AK52" s="58"/>
    </row>
    <row r="53" spans="1:38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5.2</v>
      </c>
      <c r="K53" s="75">
        <v>7.8</v>
      </c>
      <c r="L53" s="81">
        <v>0</v>
      </c>
      <c r="M53" s="81">
        <v>0</v>
      </c>
      <c r="N53" s="81">
        <v>0</v>
      </c>
      <c r="O53" s="81">
        <v>0</v>
      </c>
      <c r="P53" s="82">
        <v>0</v>
      </c>
      <c r="Q53" s="82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82">
        <v>5.9</v>
      </c>
      <c r="X53" s="82">
        <v>5.9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7.8</v>
      </c>
      <c r="AI53" s="57">
        <f t="shared" si="3"/>
        <v>0</v>
      </c>
      <c r="AK53" s="52">
        <f>595+39+14.41-25</f>
        <v>623.41</v>
      </c>
    </row>
    <row r="54" spans="1:38" ht="15.75" thickBot="1" x14ac:dyDescent="0.3">
      <c r="A54" s="73" t="s">
        <v>62</v>
      </c>
      <c r="B54" s="74">
        <f>SUM(B51:B53)</f>
        <v>0</v>
      </c>
      <c r="C54" s="74">
        <f t="shared" ref="C54:AF54" si="8">SUM(C51:C53)</f>
        <v>0</v>
      </c>
      <c r="D54" s="74">
        <f t="shared" si="8"/>
        <v>0</v>
      </c>
      <c r="E54" s="74">
        <f t="shared" si="8"/>
        <v>0</v>
      </c>
      <c r="F54" s="74">
        <f t="shared" si="8"/>
        <v>0</v>
      </c>
      <c r="G54" s="74">
        <f t="shared" si="8"/>
        <v>0</v>
      </c>
      <c r="H54" s="74">
        <f t="shared" si="8"/>
        <v>0</v>
      </c>
      <c r="I54" s="74">
        <f t="shared" si="8"/>
        <v>0</v>
      </c>
      <c r="J54" s="74">
        <f t="shared" si="8"/>
        <v>49.7</v>
      </c>
      <c r="K54" s="74">
        <f t="shared" si="8"/>
        <v>69.3</v>
      </c>
      <c r="L54" s="74">
        <f t="shared" si="8"/>
        <v>0</v>
      </c>
      <c r="M54" s="74">
        <f t="shared" si="8"/>
        <v>0</v>
      </c>
      <c r="N54" s="74">
        <f t="shared" si="8"/>
        <v>0</v>
      </c>
      <c r="O54" s="74">
        <f t="shared" si="8"/>
        <v>0</v>
      </c>
      <c r="P54" s="74">
        <f t="shared" si="8"/>
        <v>0</v>
      </c>
      <c r="Q54" s="74">
        <f t="shared" si="8"/>
        <v>0</v>
      </c>
      <c r="R54" s="74">
        <f t="shared" si="8"/>
        <v>0</v>
      </c>
      <c r="S54" s="74">
        <f t="shared" si="8"/>
        <v>0</v>
      </c>
      <c r="T54" s="74">
        <f t="shared" si="8"/>
        <v>0</v>
      </c>
      <c r="U54" s="74">
        <f t="shared" si="8"/>
        <v>0</v>
      </c>
      <c r="V54" s="74">
        <f t="shared" si="8"/>
        <v>0</v>
      </c>
      <c r="W54" s="74">
        <f>SUM(W51:W53)</f>
        <v>56.999999999999993</v>
      </c>
      <c r="X54" s="74">
        <f t="shared" si="8"/>
        <v>57.199999999999996</v>
      </c>
      <c r="Y54" s="74">
        <f t="shared" si="8"/>
        <v>0</v>
      </c>
      <c r="Z54" s="74">
        <f t="shared" si="8"/>
        <v>0</v>
      </c>
      <c r="AA54" s="74">
        <f t="shared" si="8"/>
        <v>0</v>
      </c>
      <c r="AB54" s="74">
        <f t="shared" si="8"/>
        <v>0</v>
      </c>
      <c r="AC54" s="74">
        <f t="shared" si="8"/>
        <v>0</v>
      </c>
      <c r="AD54" s="74">
        <f t="shared" si="8"/>
        <v>0</v>
      </c>
      <c r="AE54" s="74">
        <f t="shared" si="8"/>
        <v>0</v>
      </c>
      <c r="AF54" s="74">
        <f t="shared" si="8"/>
        <v>0</v>
      </c>
      <c r="AG54" s="79">
        <f>SUM(AG51:AG53)</f>
        <v>106</v>
      </c>
      <c r="AH54" s="56">
        <f t="shared" si="2"/>
        <v>69.3</v>
      </c>
      <c r="AI54" s="57">
        <f t="shared" si="3"/>
        <v>0</v>
      </c>
      <c r="AK54" s="58"/>
    </row>
    <row r="55" spans="1:38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8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8" x14ac:dyDescent="0.25">
      <c r="A57" s="68" t="s">
        <v>65</v>
      </c>
      <c r="B57" s="52">
        <v>-12.6</v>
      </c>
      <c r="C57" s="52">
        <v>-14.8</v>
      </c>
      <c r="D57" s="52">
        <v>-21.5</v>
      </c>
      <c r="E57" s="52">
        <v>-2.5</v>
      </c>
      <c r="F57" s="52">
        <v>-10</v>
      </c>
      <c r="G57" s="50">
        <v>-21.9</v>
      </c>
      <c r="H57" s="50">
        <v>-17.399999999999999</v>
      </c>
      <c r="I57" s="50">
        <v>-37</v>
      </c>
      <c r="J57" s="50">
        <v>-1.4</v>
      </c>
      <c r="K57" s="50">
        <v>-12</v>
      </c>
      <c r="L57" s="52">
        <v>-29.5</v>
      </c>
      <c r="M57" s="52">
        <v>-44.8</v>
      </c>
      <c r="N57" s="52">
        <v>-29.1</v>
      </c>
      <c r="O57" s="52">
        <v>-20</v>
      </c>
      <c r="P57" s="52">
        <v>-20.2</v>
      </c>
      <c r="Q57" s="52">
        <v>-3</v>
      </c>
      <c r="R57" s="52">
        <v>-9.5</v>
      </c>
      <c r="S57" s="52">
        <v>-16.8</v>
      </c>
      <c r="T57" s="52">
        <v>2.1</v>
      </c>
      <c r="U57" s="52">
        <v>-28</v>
      </c>
      <c r="V57" s="52">
        <v>-5.2</v>
      </c>
      <c r="W57" s="85">
        <v>-7.4</v>
      </c>
      <c r="X57" s="85">
        <v>-5.7</v>
      </c>
      <c r="Y57" s="85">
        <v>-10</v>
      </c>
      <c r="Z57" s="85">
        <v>1.1000000000000001</v>
      </c>
      <c r="AA57" s="52">
        <v>-32.4</v>
      </c>
      <c r="AB57" s="52">
        <v>-28</v>
      </c>
      <c r="AC57" s="52">
        <v>-15</v>
      </c>
      <c r="AD57" s="52">
        <v>-10.7</v>
      </c>
      <c r="AE57" s="52">
        <v>-4.7</v>
      </c>
      <c r="AF57" s="52">
        <v>-9</v>
      </c>
      <c r="AG57" s="86"/>
      <c r="AH57" s="56">
        <f t="shared" si="2"/>
        <v>2.1</v>
      </c>
      <c r="AI57" s="57">
        <f t="shared" si="3"/>
        <v>-44.8</v>
      </c>
      <c r="AK57" s="58"/>
    </row>
    <row r="58" spans="1:38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8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8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8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8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8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8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-12.6</v>
      </c>
      <c r="C66" s="74">
        <f t="shared" ref="C66:AF66" si="9">SUM(C55:C65)</f>
        <v>-14.8</v>
      </c>
      <c r="D66" s="74">
        <f t="shared" si="9"/>
        <v>-21.5</v>
      </c>
      <c r="E66" s="74">
        <f t="shared" si="9"/>
        <v>-2.5</v>
      </c>
      <c r="F66" s="74">
        <f t="shared" si="9"/>
        <v>-10</v>
      </c>
      <c r="G66" s="74">
        <f t="shared" si="9"/>
        <v>-21.9</v>
      </c>
      <c r="H66" s="74">
        <f t="shared" si="9"/>
        <v>-17.399999999999999</v>
      </c>
      <c r="I66" s="74">
        <f t="shared" si="9"/>
        <v>-37</v>
      </c>
      <c r="J66" s="74">
        <f t="shared" si="9"/>
        <v>-1.4</v>
      </c>
      <c r="K66" s="74">
        <f t="shared" si="9"/>
        <v>-12</v>
      </c>
      <c r="L66" s="74">
        <f t="shared" si="9"/>
        <v>-29.5</v>
      </c>
      <c r="M66" s="74">
        <f t="shared" si="9"/>
        <v>-44.8</v>
      </c>
      <c r="N66" s="74">
        <f t="shared" si="9"/>
        <v>-29.1</v>
      </c>
      <c r="O66" s="74">
        <f t="shared" si="9"/>
        <v>-20</v>
      </c>
      <c r="P66" s="74">
        <f t="shared" si="9"/>
        <v>-20.2</v>
      </c>
      <c r="Q66" s="74">
        <f t="shared" si="9"/>
        <v>-3</v>
      </c>
      <c r="R66" s="74">
        <f t="shared" si="9"/>
        <v>-9.5</v>
      </c>
      <c r="S66" s="74">
        <f t="shared" si="9"/>
        <v>-16.8</v>
      </c>
      <c r="T66" s="74">
        <f t="shared" si="9"/>
        <v>2.1</v>
      </c>
      <c r="U66" s="74">
        <f t="shared" si="9"/>
        <v>-28</v>
      </c>
      <c r="V66" s="74">
        <f t="shared" si="9"/>
        <v>-5.2</v>
      </c>
      <c r="W66" s="74">
        <f t="shared" si="9"/>
        <v>-7.4</v>
      </c>
      <c r="X66" s="74">
        <f t="shared" si="9"/>
        <v>-5.7</v>
      </c>
      <c r="Y66" s="74">
        <f t="shared" si="9"/>
        <v>-10</v>
      </c>
      <c r="Z66" s="74">
        <f t="shared" si="9"/>
        <v>1.1000000000000001</v>
      </c>
      <c r="AA66" s="74">
        <f t="shared" si="9"/>
        <v>-32.4</v>
      </c>
      <c r="AB66" s="74">
        <f t="shared" si="9"/>
        <v>-28</v>
      </c>
      <c r="AC66" s="74">
        <f t="shared" si="9"/>
        <v>-15</v>
      </c>
      <c r="AD66" s="74">
        <f t="shared" si="9"/>
        <v>-10.7</v>
      </c>
      <c r="AE66" s="74">
        <f t="shared" si="9"/>
        <v>-4.7</v>
      </c>
      <c r="AF66" s="74">
        <f t="shared" si="9"/>
        <v>-9</v>
      </c>
      <c r="AG66" s="79">
        <f>SUM(AG55:AG65)</f>
        <v>0</v>
      </c>
      <c r="AH66" s="56">
        <f t="shared" si="2"/>
        <v>2.1</v>
      </c>
      <c r="AI66" s="57">
        <f t="shared" si="3"/>
        <v>-44.8</v>
      </c>
      <c r="AK66" s="58"/>
    </row>
    <row r="67" spans="1:88" x14ac:dyDescent="0.25">
      <c r="A67" s="59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76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77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10">SUM(C67:C69)</f>
        <v>0</v>
      </c>
      <c r="D70" s="74">
        <f t="shared" si="10"/>
        <v>0</v>
      </c>
      <c r="E70" s="74">
        <f t="shared" si="10"/>
        <v>0</v>
      </c>
      <c r="F70" s="74">
        <f t="shared" si="10"/>
        <v>0</v>
      </c>
      <c r="G70" s="74">
        <f t="shared" si="10"/>
        <v>0</v>
      </c>
      <c r="H70" s="74">
        <f t="shared" si="10"/>
        <v>0</v>
      </c>
      <c r="I70" s="74">
        <f t="shared" si="10"/>
        <v>0</v>
      </c>
      <c r="J70" s="74">
        <f t="shared" si="10"/>
        <v>0</v>
      </c>
      <c r="K70" s="74">
        <f t="shared" si="10"/>
        <v>0</v>
      </c>
      <c r="L70" s="74">
        <f t="shared" si="10"/>
        <v>0</v>
      </c>
      <c r="M70" s="74">
        <f t="shared" si="10"/>
        <v>0</v>
      </c>
      <c r="N70" s="74">
        <f t="shared" si="10"/>
        <v>0</v>
      </c>
      <c r="O70" s="74">
        <f t="shared" si="10"/>
        <v>0</v>
      </c>
      <c r="P70" s="74">
        <f t="shared" si="10"/>
        <v>0</v>
      </c>
      <c r="Q70" s="74">
        <f t="shared" si="10"/>
        <v>0</v>
      </c>
      <c r="R70" s="74">
        <f t="shared" si="10"/>
        <v>0</v>
      </c>
      <c r="S70" s="74">
        <f t="shared" si="10"/>
        <v>0</v>
      </c>
      <c r="T70" s="74">
        <f t="shared" si="10"/>
        <v>0</v>
      </c>
      <c r="U70" s="74">
        <f t="shared" si="10"/>
        <v>0</v>
      </c>
      <c r="V70" s="74">
        <f t="shared" si="10"/>
        <v>0</v>
      </c>
      <c r="W70" s="74">
        <f t="shared" si="10"/>
        <v>0</v>
      </c>
      <c r="X70" s="74">
        <f t="shared" si="10"/>
        <v>0</v>
      </c>
      <c r="Y70" s="74">
        <f t="shared" si="10"/>
        <v>0</v>
      </c>
      <c r="Z70" s="74">
        <f t="shared" si="10"/>
        <v>0</v>
      </c>
      <c r="AA70" s="74">
        <f t="shared" si="10"/>
        <v>0</v>
      </c>
      <c r="AB70" s="74">
        <f t="shared" si="10"/>
        <v>0</v>
      </c>
      <c r="AC70" s="74">
        <f t="shared" si="10"/>
        <v>0</v>
      </c>
      <c r="AD70" s="74">
        <f t="shared" si="10"/>
        <v>0</v>
      </c>
      <c r="AE70" s="74">
        <f t="shared" si="10"/>
        <v>0</v>
      </c>
      <c r="AF70" s="74">
        <f t="shared" si="10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820.74</v>
      </c>
      <c r="C71" s="90">
        <f t="shared" ref="C71:AG71" si="11">C66+C54+C50+C36+C70</f>
        <v>808.14</v>
      </c>
      <c r="D71" s="90">
        <f t="shared" si="11"/>
        <v>784.04000000000008</v>
      </c>
      <c r="E71" s="90">
        <f t="shared" si="11"/>
        <v>816.04</v>
      </c>
      <c r="F71" s="90">
        <f t="shared" si="11"/>
        <v>839.54</v>
      </c>
      <c r="G71" s="90">
        <f t="shared" si="11"/>
        <v>902.44</v>
      </c>
      <c r="H71" s="90">
        <f t="shared" si="11"/>
        <v>962.74</v>
      </c>
      <c r="I71" s="90">
        <f t="shared" si="11"/>
        <v>994.44</v>
      </c>
      <c r="J71" s="90">
        <f t="shared" si="11"/>
        <v>1107.54</v>
      </c>
      <c r="K71" s="90">
        <f t="shared" si="11"/>
        <v>1191.8399999999999</v>
      </c>
      <c r="L71" s="90">
        <f t="shared" si="11"/>
        <v>1184.04</v>
      </c>
      <c r="M71" s="90">
        <f t="shared" si="11"/>
        <v>1150.04</v>
      </c>
      <c r="N71" s="90">
        <f t="shared" si="11"/>
        <v>1145.7399999999998</v>
      </c>
      <c r="O71" s="90">
        <f t="shared" si="11"/>
        <v>1121.74</v>
      </c>
      <c r="P71" s="90">
        <f t="shared" si="11"/>
        <v>1094.94</v>
      </c>
      <c r="Q71" s="90">
        <f t="shared" si="11"/>
        <v>1089.1399999999999</v>
      </c>
      <c r="R71" s="90">
        <f t="shared" si="11"/>
        <v>1082.6399999999999</v>
      </c>
      <c r="S71" s="90">
        <f t="shared" si="11"/>
        <v>1093.3399999999999</v>
      </c>
      <c r="T71" s="90">
        <f t="shared" si="11"/>
        <v>1143.1399999999999</v>
      </c>
      <c r="U71" s="90">
        <f t="shared" si="11"/>
        <v>1159.74</v>
      </c>
      <c r="V71" s="90">
        <f t="shared" si="11"/>
        <v>1264.74</v>
      </c>
      <c r="W71" s="90">
        <f t="shared" si="11"/>
        <v>1391</v>
      </c>
      <c r="X71" s="90">
        <f t="shared" si="11"/>
        <v>1365.04</v>
      </c>
      <c r="Y71" s="90">
        <f t="shared" si="11"/>
        <v>1253.1399999999999</v>
      </c>
      <c r="Z71" s="90">
        <f t="shared" si="11"/>
        <v>1192.94</v>
      </c>
      <c r="AA71" s="90">
        <f t="shared" si="11"/>
        <v>1117.54</v>
      </c>
      <c r="AB71" s="90">
        <f t="shared" si="11"/>
        <v>1064.3400000000001</v>
      </c>
      <c r="AC71" s="90">
        <f t="shared" si="11"/>
        <v>1000.44</v>
      </c>
      <c r="AD71" s="90">
        <f t="shared" si="11"/>
        <v>878.1400000000001</v>
      </c>
      <c r="AE71" s="90">
        <f t="shared" si="11"/>
        <v>856.44</v>
      </c>
      <c r="AF71" s="90">
        <f t="shared" si="11"/>
        <v>838.64</v>
      </c>
      <c r="AG71" s="90">
        <f t="shared" si="11"/>
        <v>1853.2100000000003</v>
      </c>
      <c r="AH71" s="56">
        <f t="shared" si="2"/>
        <v>1391</v>
      </c>
      <c r="AI71" s="57">
        <f t="shared" si="3"/>
        <v>784.04000000000008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>
        <v>20</v>
      </c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20</v>
      </c>
      <c r="AI72" s="57">
        <f t="shared" si="3"/>
        <v>20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820.74</v>
      </c>
      <c r="C73" s="90">
        <f t="shared" ref="C73:AF73" si="12">C70+C66+C54+C50+C36+C72</f>
        <v>808.14</v>
      </c>
      <c r="D73" s="90">
        <f t="shared" si="12"/>
        <v>784.04000000000008</v>
      </c>
      <c r="E73" s="90">
        <f t="shared" si="12"/>
        <v>816.04</v>
      </c>
      <c r="F73" s="90">
        <f t="shared" si="12"/>
        <v>839.54</v>
      </c>
      <c r="G73" s="90">
        <f t="shared" si="12"/>
        <v>902.44</v>
      </c>
      <c r="H73" s="90">
        <f t="shared" si="12"/>
        <v>962.74</v>
      </c>
      <c r="I73" s="90">
        <f t="shared" si="12"/>
        <v>1014.44</v>
      </c>
      <c r="J73" s="90">
        <f t="shared" si="12"/>
        <v>1107.54</v>
      </c>
      <c r="K73" s="90">
        <f t="shared" si="12"/>
        <v>1191.8399999999999</v>
      </c>
      <c r="L73" s="90">
        <f t="shared" si="12"/>
        <v>1184.04</v>
      </c>
      <c r="M73" s="90">
        <f t="shared" si="12"/>
        <v>1150.04</v>
      </c>
      <c r="N73" s="90">
        <f t="shared" si="12"/>
        <v>1145.7399999999998</v>
      </c>
      <c r="O73" s="90">
        <f t="shared" si="12"/>
        <v>1121.74</v>
      </c>
      <c r="P73" s="90">
        <f t="shared" si="12"/>
        <v>1094.94</v>
      </c>
      <c r="Q73" s="90">
        <f t="shared" si="12"/>
        <v>1089.1399999999999</v>
      </c>
      <c r="R73" s="90">
        <f t="shared" si="12"/>
        <v>1082.6399999999999</v>
      </c>
      <c r="S73" s="90">
        <f t="shared" si="12"/>
        <v>1093.3399999999999</v>
      </c>
      <c r="T73" s="90">
        <f t="shared" si="12"/>
        <v>1143.1399999999999</v>
      </c>
      <c r="U73" s="90">
        <f t="shared" si="12"/>
        <v>1159.74</v>
      </c>
      <c r="V73" s="90">
        <f t="shared" si="12"/>
        <v>1264.74</v>
      </c>
      <c r="W73" s="90">
        <f t="shared" si="12"/>
        <v>1391</v>
      </c>
      <c r="X73" s="90">
        <f t="shared" si="12"/>
        <v>1365.04</v>
      </c>
      <c r="Y73" s="90">
        <f t="shared" si="12"/>
        <v>1253.1399999999999</v>
      </c>
      <c r="Z73" s="90">
        <f t="shared" si="12"/>
        <v>1192.94</v>
      </c>
      <c r="AA73" s="90">
        <f t="shared" si="12"/>
        <v>1117.54</v>
      </c>
      <c r="AB73" s="90">
        <f t="shared" si="12"/>
        <v>1064.3400000000001</v>
      </c>
      <c r="AC73" s="90">
        <f t="shared" si="12"/>
        <v>1000.44</v>
      </c>
      <c r="AD73" s="90">
        <f t="shared" si="12"/>
        <v>878.1400000000001</v>
      </c>
      <c r="AE73" s="90">
        <f t="shared" si="12"/>
        <v>856.44</v>
      </c>
      <c r="AF73" s="90">
        <f t="shared" si="12"/>
        <v>838.64</v>
      </c>
      <c r="AG73" s="79">
        <f>AG70+AG66+AG54+AG50+AG36+AG72</f>
        <v>1853.21</v>
      </c>
      <c r="AH73" s="56">
        <f t="shared" si="2"/>
        <v>1391</v>
      </c>
      <c r="AI73" s="57">
        <f t="shared" si="3"/>
        <v>784.04000000000008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3">IF(C58&lt;0,C58*-1,0)</f>
        <v>0</v>
      </c>
      <c r="D74" s="60">
        <f t="shared" si="13"/>
        <v>0</v>
      </c>
      <c r="E74" s="60">
        <f t="shared" si="13"/>
        <v>0</v>
      </c>
      <c r="F74" s="60">
        <f t="shared" si="13"/>
        <v>0</v>
      </c>
      <c r="G74" s="60">
        <f t="shared" si="13"/>
        <v>0</v>
      </c>
      <c r="H74" s="60">
        <f t="shared" si="13"/>
        <v>0</v>
      </c>
      <c r="I74" s="60">
        <f t="shared" si="13"/>
        <v>0</v>
      </c>
      <c r="J74" s="60">
        <f t="shared" si="13"/>
        <v>0</v>
      </c>
      <c r="K74" s="60">
        <f t="shared" si="13"/>
        <v>0</v>
      </c>
      <c r="L74" s="60">
        <f t="shared" si="13"/>
        <v>0</v>
      </c>
      <c r="M74" s="60">
        <f t="shared" si="13"/>
        <v>0</v>
      </c>
      <c r="N74" s="60">
        <f t="shared" si="13"/>
        <v>0</v>
      </c>
      <c r="O74" s="60">
        <f t="shared" si="13"/>
        <v>0</v>
      </c>
      <c r="P74" s="60">
        <f t="shared" si="13"/>
        <v>0</v>
      </c>
      <c r="Q74" s="60">
        <f t="shared" si="13"/>
        <v>0</v>
      </c>
      <c r="R74" s="60">
        <f t="shared" si="13"/>
        <v>0</v>
      </c>
      <c r="S74" s="60">
        <f t="shared" si="13"/>
        <v>0</v>
      </c>
      <c r="T74" s="60">
        <f t="shared" si="13"/>
        <v>0</v>
      </c>
      <c r="U74" s="60">
        <f t="shared" si="13"/>
        <v>0</v>
      </c>
      <c r="V74" s="60">
        <f t="shared" si="13"/>
        <v>0</v>
      </c>
      <c r="W74" s="60">
        <f t="shared" si="13"/>
        <v>0</v>
      </c>
      <c r="X74" s="60">
        <f t="shared" si="13"/>
        <v>0</v>
      </c>
      <c r="Y74" s="60">
        <f t="shared" si="13"/>
        <v>0</v>
      </c>
      <c r="Z74" s="60">
        <f t="shared" si="13"/>
        <v>0</v>
      </c>
      <c r="AA74" s="60">
        <f t="shared" si="13"/>
        <v>0</v>
      </c>
      <c r="AB74" s="60">
        <f t="shared" si="13"/>
        <v>0</v>
      </c>
      <c r="AC74" s="60">
        <f t="shared" si="13"/>
        <v>0</v>
      </c>
      <c r="AD74" s="60">
        <f t="shared" si="13"/>
        <v>0</v>
      </c>
      <c r="AE74" s="60">
        <f t="shared" si="13"/>
        <v>0</v>
      </c>
      <c r="AF74" s="60">
        <f t="shared" si="13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4">IF(C56&lt;0,C56*-1,0)</f>
        <v>0</v>
      </c>
      <c r="D75" s="60">
        <f t="shared" si="14"/>
        <v>0</v>
      </c>
      <c r="E75" s="60">
        <f t="shared" si="14"/>
        <v>0</v>
      </c>
      <c r="F75" s="60">
        <f t="shared" si="14"/>
        <v>0</v>
      </c>
      <c r="G75" s="60">
        <f t="shared" si="14"/>
        <v>0</v>
      </c>
      <c r="H75" s="60">
        <f t="shared" si="14"/>
        <v>0</v>
      </c>
      <c r="I75" s="60">
        <f t="shared" si="14"/>
        <v>0</v>
      </c>
      <c r="J75" s="60">
        <f t="shared" si="14"/>
        <v>0</v>
      </c>
      <c r="K75" s="60">
        <f t="shared" si="14"/>
        <v>0</v>
      </c>
      <c r="L75" s="60">
        <f t="shared" si="14"/>
        <v>0</v>
      </c>
      <c r="M75" s="60">
        <f t="shared" si="14"/>
        <v>0</v>
      </c>
      <c r="N75" s="60">
        <f t="shared" si="14"/>
        <v>0</v>
      </c>
      <c r="O75" s="60">
        <f t="shared" si="14"/>
        <v>0</v>
      </c>
      <c r="P75" s="60">
        <f t="shared" si="14"/>
        <v>0</v>
      </c>
      <c r="Q75" s="60">
        <f t="shared" si="14"/>
        <v>0</v>
      </c>
      <c r="R75" s="60">
        <f t="shared" si="14"/>
        <v>0</v>
      </c>
      <c r="S75" s="60">
        <f t="shared" si="14"/>
        <v>0</v>
      </c>
      <c r="T75" s="60">
        <f t="shared" si="14"/>
        <v>0</v>
      </c>
      <c r="U75" s="60">
        <f t="shared" si="14"/>
        <v>0</v>
      </c>
      <c r="V75" s="60">
        <f t="shared" si="14"/>
        <v>0</v>
      </c>
      <c r="W75" s="60">
        <f t="shared" si="14"/>
        <v>0</v>
      </c>
      <c r="X75" s="60">
        <f t="shared" si="14"/>
        <v>0</v>
      </c>
      <c r="Y75" s="60">
        <f t="shared" si="14"/>
        <v>0</v>
      </c>
      <c r="Z75" s="60">
        <f t="shared" si="14"/>
        <v>0</v>
      </c>
      <c r="AA75" s="60">
        <f t="shared" si="14"/>
        <v>0</v>
      </c>
      <c r="AB75" s="60">
        <f t="shared" si="14"/>
        <v>0</v>
      </c>
      <c r="AC75" s="60">
        <f t="shared" si="14"/>
        <v>0</v>
      </c>
      <c r="AD75" s="60">
        <f t="shared" si="14"/>
        <v>0</v>
      </c>
      <c r="AE75" s="60">
        <f t="shared" si="14"/>
        <v>0</v>
      </c>
      <c r="AF75" s="60">
        <f t="shared" si="14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5">IF(C59&lt;0,C59*-1,0)</f>
        <v>0</v>
      </c>
      <c r="D76" s="60">
        <f t="shared" si="15"/>
        <v>0</v>
      </c>
      <c r="E76" s="60">
        <f t="shared" si="15"/>
        <v>0</v>
      </c>
      <c r="F76" s="60">
        <f t="shared" si="15"/>
        <v>0</v>
      </c>
      <c r="G76" s="60">
        <f t="shared" si="15"/>
        <v>0</v>
      </c>
      <c r="H76" s="60">
        <f t="shared" si="15"/>
        <v>0</v>
      </c>
      <c r="I76" s="60">
        <f t="shared" si="15"/>
        <v>0</v>
      </c>
      <c r="J76" s="60">
        <f t="shared" si="15"/>
        <v>0</v>
      </c>
      <c r="K76" s="60">
        <f t="shared" si="15"/>
        <v>0</v>
      </c>
      <c r="L76" s="60">
        <f t="shared" si="15"/>
        <v>0</v>
      </c>
      <c r="M76" s="60">
        <f t="shared" si="15"/>
        <v>0</v>
      </c>
      <c r="N76" s="60">
        <f t="shared" si="15"/>
        <v>0</v>
      </c>
      <c r="O76" s="60">
        <f t="shared" si="15"/>
        <v>0</v>
      </c>
      <c r="P76" s="60">
        <f t="shared" si="15"/>
        <v>0</v>
      </c>
      <c r="Q76" s="60">
        <f t="shared" si="15"/>
        <v>0</v>
      </c>
      <c r="R76" s="60">
        <f t="shared" si="15"/>
        <v>0</v>
      </c>
      <c r="S76" s="60">
        <f t="shared" si="15"/>
        <v>0</v>
      </c>
      <c r="T76" s="60">
        <f t="shared" si="15"/>
        <v>0</v>
      </c>
      <c r="U76" s="60">
        <f t="shared" si="15"/>
        <v>0</v>
      </c>
      <c r="V76" s="60">
        <f t="shared" si="15"/>
        <v>0</v>
      </c>
      <c r="W76" s="60">
        <f t="shared" si="15"/>
        <v>0</v>
      </c>
      <c r="X76" s="60">
        <f t="shared" si="15"/>
        <v>0</v>
      </c>
      <c r="Y76" s="60">
        <f t="shared" si="15"/>
        <v>0</v>
      </c>
      <c r="Z76" s="60">
        <f t="shared" si="15"/>
        <v>0</v>
      </c>
      <c r="AA76" s="60">
        <f t="shared" si="15"/>
        <v>0</v>
      </c>
      <c r="AB76" s="60">
        <f t="shared" si="15"/>
        <v>0</v>
      </c>
      <c r="AC76" s="60">
        <f t="shared" si="15"/>
        <v>0</v>
      </c>
      <c r="AD76" s="60">
        <f t="shared" si="15"/>
        <v>0</v>
      </c>
      <c r="AE76" s="60">
        <f t="shared" si="15"/>
        <v>0</v>
      </c>
      <c r="AF76" s="60">
        <f t="shared" si="15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12.6</v>
      </c>
      <c r="C77" s="60">
        <f t="shared" ref="C77:AF77" si="16">IF(C57&lt;0,C57*-1,0)</f>
        <v>14.8</v>
      </c>
      <c r="D77" s="60">
        <f t="shared" si="16"/>
        <v>21.5</v>
      </c>
      <c r="E77" s="60">
        <f t="shared" si="16"/>
        <v>2.5</v>
      </c>
      <c r="F77" s="60">
        <f t="shared" si="16"/>
        <v>10</v>
      </c>
      <c r="G77" s="60">
        <f t="shared" si="16"/>
        <v>21.9</v>
      </c>
      <c r="H77" s="60">
        <f t="shared" si="16"/>
        <v>17.399999999999999</v>
      </c>
      <c r="I77" s="60">
        <f t="shared" si="16"/>
        <v>37</v>
      </c>
      <c r="J77" s="60">
        <f t="shared" si="16"/>
        <v>1.4</v>
      </c>
      <c r="K77" s="60">
        <f t="shared" si="16"/>
        <v>12</v>
      </c>
      <c r="L77" s="60">
        <f t="shared" si="16"/>
        <v>29.5</v>
      </c>
      <c r="M77" s="60">
        <f t="shared" si="16"/>
        <v>44.8</v>
      </c>
      <c r="N77" s="60">
        <f t="shared" si="16"/>
        <v>29.1</v>
      </c>
      <c r="O77" s="60">
        <f t="shared" si="16"/>
        <v>20</v>
      </c>
      <c r="P77" s="60">
        <f t="shared" si="16"/>
        <v>20.2</v>
      </c>
      <c r="Q77" s="60">
        <f t="shared" si="16"/>
        <v>3</v>
      </c>
      <c r="R77" s="60">
        <f t="shared" si="16"/>
        <v>9.5</v>
      </c>
      <c r="S77" s="60">
        <f t="shared" si="16"/>
        <v>16.8</v>
      </c>
      <c r="T77" s="60">
        <f t="shared" si="16"/>
        <v>0</v>
      </c>
      <c r="U77" s="60">
        <f t="shared" si="16"/>
        <v>28</v>
      </c>
      <c r="V77" s="60">
        <f t="shared" si="16"/>
        <v>5.2</v>
      </c>
      <c r="W77" s="60">
        <f t="shared" si="16"/>
        <v>7.4</v>
      </c>
      <c r="X77" s="60">
        <f t="shared" si="16"/>
        <v>5.7</v>
      </c>
      <c r="Y77" s="60">
        <f t="shared" si="16"/>
        <v>10</v>
      </c>
      <c r="Z77" s="60">
        <f t="shared" si="16"/>
        <v>0</v>
      </c>
      <c r="AA77" s="60">
        <f t="shared" si="16"/>
        <v>32.4</v>
      </c>
      <c r="AB77" s="60">
        <f t="shared" si="16"/>
        <v>28</v>
      </c>
      <c r="AC77" s="60">
        <f t="shared" si="16"/>
        <v>15</v>
      </c>
      <c r="AD77" s="60">
        <f t="shared" si="16"/>
        <v>10.7</v>
      </c>
      <c r="AE77" s="60">
        <f t="shared" si="16"/>
        <v>4.7</v>
      </c>
      <c r="AF77" s="60">
        <f t="shared" si="16"/>
        <v>9</v>
      </c>
      <c r="AG77" s="93"/>
      <c r="AH77" s="56">
        <f t="shared" ref="AH77:AH89" si="17">MAX(B77:AF77)</f>
        <v>44.8</v>
      </c>
      <c r="AI77" s="57">
        <f t="shared" ref="AI77:AI89" si="18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9">IF(C55&lt;0,C55*-1,0)</f>
        <v>0</v>
      </c>
      <c r="D78" s="60">
        <f t="shared" si="19"/>
        <v>0</v>
      </c>
      <c r="E78" s="60">
        <f t="shared" si="19"/>
        <v>0</v>
      </c>
      <c r="F78" s="60">
        <f t="shared" si="19"/>
        <v>0</v>
      </c>
      <c r="G78" s="60">
        <f t="shared" si="19"/>
        <v>0</v>
      </c>
      <c r="H78" s="60">
        <f t="shared" si="19"/>
        <v>0</v>
      </c>
      <c r="I78" s="60">
        <f t="shared" si="19"/>
        <v>0</v>
      </c>
      <c r="J78" s="60">
        <f t="shared" si="19"/>
        <v>0</v>
      </c>
      <c r="K78" s="60">
        <f t="shared" si="19"/>
        <v>0</v>
      </c>
      <c r="L78" s="60">
        <f t="shared" si="19"/>
        <v>0</v>
      </c>
      <c r="M78" s="60">
        <f t="shared" si="19"/>
        <v>0</v>
      </c>
      <c r="N78" s="60">
        <f t="shared" si="19"/>
        <v>0</v>
      </c>
      <c r="O78" s="60">
        <f t="shared" si="19"/>
        <v>0</v>
      </c>
      <c r="P78" s="60">
        <f t="shared" si="19"/>
        <v>0</v>
      </c>
      <c r="Q78" s="60">
        <f t="shared" si="19"/>
        <v>0</v>
      </c>
      <c r="R78" s="60">
        <f t="shared" si="19"/>
        <v>0</v>
      </c>
      <c r="S78" s="60">
        <f t="shared" si="19"/>
        <v>0</v>
      </c>
      <c r="T78" s="60">
        <f t="shared" si="19"/>
        <v>0</v>
      </c>
      <c r="U78" s="60">
        <f t="shared" si="19"/>
        <v>0</v>
      </c>
      <c r="V78" s="60">
        <f t="shared" si="19"/>
        <v>0</v>
      </c>
      <c r="W78" s="60">
        <f t="shared" si="19"/>
        <v>0</v>
      </c>
      <c r="X78" s="60">
        <f t="shared" si="19"/>
        <v>0</v>
      </c>
      <c r="Y78" s="60">
        <f t="shared" si="19"/>
        <v>0</v>
      </c>
      <c r="Z78" s="60">
        <f t="shared" si="19"/>
        <v>0</v>
      </c>
      <c r="AA78" s="60">
        <f t="shared" si="19"/>
        <v>0</v>
      </c>
      <c r="AB78" s="60">
        <f t="shared" si="19"/>
        <v>0</v>
      </c>
      <c r="AC78" s="60">
        <f t="shared" si="19"/>
        <v>0</v>
      </c>
      <c r="AD78" s="60">
        <f t="shared" si="19"/>
        <v>0</v>
      </c>
      <c r="AE78" s="60">
        <f t="shared" si="19"/>
        <v>0</v>
      </c>
      <c r="AF78" s="60">
        <f t="shared" si="19"/>
        <v>0</v>
      </c>
      <c r="AG78" s="93"/>
      <c r="AH78" s="56">
        <f t="shared" si="17"/>
        <v>0</v>
      </c>
      <c r="AI78" s="57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7"/>
        <v>0</v>
      </c>
      <c r="AI79" s="57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20">SUM(B74:B79)</f>
        <v>12.6</v>
      </c>
      <c r="C80" s="74">
        <f t="shared" si="20"/>
        <v>14.8</v>
      </c>
      <c r="D80" s="74">
        <f t="shared" si="20"/>
        <v>21.5</v>
      </c>
      <c r="E80" s="74">
        <f t="shared" si="20"/>
        <v>2.5</v>
      </c>
      <c r="F80" s="74">
        <f t="shared" si="20"/>
        <v>10</v>
      </c>
      <c r="G80" s="74">
        <f t="shared" si="20"/>
        <v>21.9</v>
      </c>
      <c r="H80" s="74">
        <f t="shared" si="20"/>
        <v>17.399999999999999</v>
      </c>
      <c r="I80" s="74">
        <f t="shared" si="20"/>
        <v>37</v>
      </c>
      <c r="J80" s="74">
        <f t="shared" si="20"/>
        <v>1.4</v>
      </c>
      <c r="K80" s="74">
        <f t="shared" si="20"/>
        <v>12</v>
      </c>
      <c r="L80" s="74">
        <f t="shared" si="20"/>
        <v>29.5</v>
      </c>
      <c r="M80" s="74">
        <f t="shared" si="20"/>
        <v>44.8</v>
      </c>
      <c r="N80" s="74">
        <f t="shared" si="20"/>
        <v>29.1</v>
      </c>
      <c r="O80" s="74">
        <f t="shared" si="20"/>
        <v>20</v>
      </c>
      <c r="P80" s="74">
        <f t="shared" si="20"/>
        <v>20.2</v>
      </c>
      <c r="Q80" s="74">
        <f t="shared" si="20"/>
        <v>3</v>
      </c>
      <c r="R80" s="74">
        <f t="shared" si="20"/>
        <v>9.5</v>
      </c>
      <c r="S80" s="74">
        <f t="shared" si="20"/>
        <v>16.8</v>
      </c>
      <c r="T80" s="74">
        <f t="shared" si="20"/>
        <v>0</v>
      </c>
      <c r="U80" s="74">
        <f t="shared" si="20"/>
        <v>28</v>
      </c>
      <c r="V80" s="74">
        <f t="shared" si="20"/>
        <v>5.2</v>
      </c>
      <c r="W80" s="74">
        <f t="shared" si="20"/>
        <v>7.4</v>
      </c>
      <c r="X80" s="74">
        <f t="shared" si="20"/>
        <v>5.7</v>
      </c>
      <c r="Y80" s="74">
        <f t="shared" si="20"/>
        <v>10</v>
      </c>
      <c r="Z80" s="74">
        <f t="shared" si="20"/>
        <v>0</v>
      </c>
      <c r="AA80" s="74">
        <f t="shared" si="20"/>
        <v>32.4</v>
      </c>
      <c r="AB80" s="74">
        <f t="shared" si="20"/>
        <v>28</v>
      </c>
      <c r="AC80" s="74">
        <f t="shared" si="20"/>
        <v>15</v>
      </c>
      <c r="AD80" s="74">
        <f t="shared" si="20"/>
        <v>10.7</v>
      </c>
      <c r="AE80" s="74">
        <f t="shared" si="20"/>
        <v>4.7</v>
      </c>
      <c r="AF80" s="74">
        <f t="shared" si="20"/>
        <v>9</v>
      </c>
      <c r="AG80" s="79">
        <f t="shared" si="20"/>
        <v>0</v>
      </c>
      <c r="AH80" s="56">
        <f t="shared" si="17"/>
        <v>44.8</v>
      </c>
      <c r="AI80" s="57">
        <f t="shared" si="18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1">SUM(B68:B80)</f>
        <v>1666.6799999999998</v>
      </c>
      <c r="C81" s="74">
        <f t="shared" si="21"/>
        <v>1645.8799999999999</v>
      </c>
      <c r="D81" s="74">
        <f t="shared" si="21"/>
        <v>1611.0800000000002</v>
      </c>
      <c r="E81" s="74">
        <f t="shared" si="21"/>
        <v>1637.08</v>
      </c>
      <c r="F81" s="74">
        <f t="shared" si="21"/>
        <v>1699.08</v>
      </c>
      <c r="G81" s="74">
        <f t="shared" si="21"/>
        <v>1848.6800000000003</v>
      </c>
      <c r="H81" s="74">
        <f t="shared" si="21"/>
        <v>1960.2800000000002</v>
      </c>
      <c r="I81" s="74">
        <f t="shared" si="21"/>
        <v>2102.88</v>
      </c>
      <c r="J81" s="74">
        <f t="shared" si="21"/>
        <v>2217.88</v>
      </c>
      <c r="K81" s="74">
        <f t="shared" si="21"/>
        <v>2407.6799999999998</v>
      </c>
      <c r="L81" s="74">
        <f t="shared" si="21"/>
        <v>2427.08</v>
      </c>
      <c r="M81" s="74">
        <f t="shared" si="21"/>
        <v>2389.6800000000003</v>
      </c>
      <c r="N81" s="74">
        <f t="shared" si="21"/>
        <v>2349.6799999999994</v>
      </c>
      <c r="O81" s="74">
        <f t="shared" si="21"/>
        <v>2283.48</v>
      </c>
      <c r="P81" s="74">
        <f t="shared" si="21"/>
        <v>2230.2799999999997</v>
      </c>
      <c r="Q81" s="74">
        <f t="shared" si="21"/>
        <v>2184.2799999999997</v>
      </c>
      <c r="R81" s="74">
        <f t="shared" si="21"/>
        <v>2184.2799999999997</v>
      </c>
      <c r="S81" s="74">
        <f t="shared" si="21"/>
        <v>2220.2800000000002</v>
      </c>
      <c r="T81" s="74">
        <f t="shared" si="21"/>
        <v>2286.2799999999997</v>
      </c>
      <c r="U81" s="74">
        <f t="shared" si="21"/>
        <v>2375.48</v>
      </c>
      <c r="V81" s="74">
        <f t="shared" si="21"/>
        <v>2539.8799999999997</v>
      </c>
      <c r="W81" s="74">
        <f t="shared" si="21"/>
        <v>2796.8</v>
      </c>
      <c r="X81" s="74">
        <f t="shared" si="21"/>
        <v>2741.4799999999996</v>
      </c>
      <c r="Y81" s="74">
        <f t="shared" si="21"/>
        <v>2526.2799999999997</v>
      </c>
      <c r="Z81" s="74">
        <f t="shared" si="21"/>
        <v>2385.88</v>
      </c>
      <c r="AA81" s="74">
        <f t="shared" si="21"/>
        <v>2299.88</v>
      </c>
      <c r="AB81" s="74">
        <f t="shared" si="21"/>
        <v>2184.6800000000003</v>
      </c>
      <c r="AC81" s="74">
        <f t="shared" si="21"/>
        <v>2030.88</v>
      </c>
      <c r="AD81" s="74">
        <f t="shared" si="21"/>
        <v>1777.6800000000003</v>
      </c>
      <c r="AE81" s="74">
        <f t="shared" si="21"/>
        <v>1722.2800000000002</v>
      </c>
      <c r="AF81" s="74">
        <f t="shared" si="21"/>
        <v>1695.28</v>
      </c>
      <c r="AG81" s="79">
        <f t="shared" si="21"/>
        <v>3778.2200000000003</v>
      </c>
      <c r="AH81" s="56">
        <f t="shared" si="17"/>
        <v>2796.8</v>
      </c>
      <c r="AI81" s="57">
        <f t="shared" si="18"/>
        <v>1611.0800000000002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50.042000000000002</v>
      </c>
      <c r="C82" s="96">
        <v>50.078000000000003</v>
      </c>
      <c r="D82" s="96">
        <v>50.006999999999998</v>
      </c>
      <c r="E82" s="96">
        <v>50.045999999999999</v>
      </c>
      <c r="F82" s="96">
        <v>50.045999999999999</v>
      </c>
      <c r="G82" s="96">
        <v>50.064999999999998</v>
      </c>
      <c r="H82" s="96">
        <v>49.912999999999997</v>
      </c>
      <c r="I82" s="96">
        <v>49.927</v>
      </c>
      <c r="J82" s="96">
        <v>49.89</v>
      </c>
      <c r="K82" s="96">
        <v>49.951000000000001</v>
      </c>
      <c r="L82" s="96">
        <v>49.965000000000003</v>
      </c>
      <c r="M82" s="96">
        <v>49.875999999999998</v>
      </c>
      <c r="N82" s="96">
        <v>50.03</v>
      </c>
      <c r="O82" s="96">
        <v>49.850999999999999</v>
      </c>
      <c r="P82" s="96">
        <v>49.899000000000001</v>
      </c>
      <c r="Q82" s="96">
        <v>50.113999999999997</v>
      </c>
      <c r="R82" s="96">
        <v>50.113999999999997</v>
      </c>
      <c r="S82" s="96">
        <v>49.66</v>
      </c>
      <c r="T82" s="96">
        <v>49.807000000000002</v>
      </c>
      <c r="U82" s="96">
        <v>49.881999999999998</v>
      </c>
      <c r="V82" s="96">
        <v>49.970999999999997</v>
      </c>
      <c r="W82" s="96">
        <v>49.970999999999997</v>
      </c>
      <c r="X82" s="96">
        <v>49.9</v>
      </c>
      <c r="Y82" s="96">
        <v>50.06</v>
      </c>
      <c r="Z82" s="96">
        <v>50.07</v>
      </c>
      <c r="AA82" s="96">
        <v>50.051000000000002</v>
      </c>
      <c r="AB82" s="96">
        <v>50</v>
      </c>
      <c r="AC82" s="96">
        <v>50.042999999999999</v>
      </c>
      <c r="AD82" s="96">
        <v>49.996000000000002</v>
      </c>
      <c r="AE82" s="96">
        <v>49.965000000000003</v>
      </c>
      <c r="AF82" s="97">
        <v>50.048000000000002</v>
      </c>
      <c r="AG82" s="98"/>
      <c r="AH82" s="56">
        <f t="shared" si="17"/>
        <v>50.113999999999997</v>
      </c>
      <c r="AI82" s="57">
        <f t="shared" si="18"/>
        <v>49.66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127.3</v>
      </c>
      <c r="C83" s="52">
        <v>127.4</v>
      </c>
      <c r="D83" s="52">
        <v>127.7</v>
      </c>
      <c r="E83" s="52">
        <v>127.3</v>
      </c>
      <c r="F83" s="52">
        <v>127.3</v>
      </c>
      <c r="G83" s="52">
        <v>125.7</v>
      </c>
      <c r="H83" s="52">
        <v>125.5</v>
      </c>
      <c r="I83" s="52">
        <v>125.8</v>
      </c>
      <c r="J83" s="52">
        <v>124.9</v>
      </c>
      <c r="K83" s="52">
        <v>124.8</v>
      </c>
      <c r="L83" s="52">
        <v>123.6</v>
      </c>
      <c r="M83" s="52">
        <v>123.5</v>
      </c>
      <c r="N83" s="52">
        <v>122.3</v>
      </c>
      <c r="O83" s="52">
        <v>123.7</v>
      </c>
      <c r="P83" s="52">
        <v>123.9</v>
      </c>
      <c r="Q83" s="52">
        <v>124.9</v>
      </c>
      <c r="R83" s="52">
        <v>124.9</v>
      </c>
      <c r="S83" s="52">
        <v>123.4</v>
      </c>
      <c r="T83" s="100">
        <v>123.2</v>
      </c>
      <c r="U83" s="100">
        <v>123.4</v>
      </c>
      <c r="V83" s="100">
        <v>123.2</v>
      </c>
      <c r="W83" s="100">
        <v>123.2</v>
      </c>
      <c r="X83" s="100">
        <v>126.1</v>
      </c>
      <c r="Y83" s="100">
        <v>126.7</v>
      </c>
      <c r="Z83" s="100">
        <v>125.9</v>
      </c>
      <c r="AA83" s="52">
        <v>126.4</v>
      </c>
      <c r="AB83" s="52">
        <v>125</v>
      </c>
      <c r="AC83" s="52">
        <v>126</v>
      </c>
      <c r="AD83" s="52">
        <v>126.5</v>
      </c>
      <c r="AE83" s="52">
        <v>124</v>
      </c>
      <c r="AF83" s="101">
        <v>126</v>
      </c>
      <c r="AG83" s="102"/>
      <c r="AH83" s="56">
        <f t="shared" si="17"/>
        <v>127.7</v>
      </c>
      <c r="AI83" s="57">
        <f t="shared" si="18"/>
        <v>122.3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131.1</v>
      </c>
      <c r="C84" s="52">
        <v>131.1</v>
      </c>
      <c r="D84" s="52">
        <v>131.4</v>
      </c>
      <c r="E84" s="52">
        <v>130.9</v>
      </c>
      <c r="F84" s="52">
        <v>130.9</v>
      </c>
      <c r="G84" s="52">
        <v>129.9</v>
      </c>
      <c r="H84" s="52">
        <v>129.1</v>
      </c>
      <c r="I84" s="52">
        <v>129.1</v>
      </c>
      <c r="J84" s="52">
        <v>128.1</v>
      </c>
      <c r="K84" s="52">
        <v>127.3</v>
      </c>
      <c r="L84" s="52">
        <v>126.4</v>
      </c>
      <c r="M84" s="52">
        <v>126.8</v>
      </c>
      <c r="N84" s="52">
        <v>125.4</v>
      </c>
      <c r="O84" s="52">
        <v>127.7</v>
      </c>
      <c r="P84" s="52">
        <v>127.2</v>
      </c>
      <c r="Q84" s="52">
        <v>128.4</v>
      </c>
      <c r="R84" s="52">
        <v>128.4</v>
      </c>
      <c r="S84" s="52">
        <v>126.7</v>
      </c>
      <c r="T84" s="100">
        <v>126.3</v>
      </c>
      <c r="U84" s="100">
        <v>126.9</v>
      </c>
      <c r="V84" s="100">
        <v>126.8</v>
      </c>
      <c r="W84" s="100">
        <v>126.8</v>
      </c>
      <c r="X84" s="100">
        <v>128.6</v>
      </c>
      <c r="Y84" s="100">
        <v>129.4</v>
      </c>
      <c r="Z84" s="100">
        <v>129.30000000000001</v>
      </c>
      <c r="AA84" s="52">
        <v>129.9</v>
      </c>
      <c r="AB84" s="52">
        <v>129</v>
      </c>
      <c r="AC84" s="52">
        <v>129</v>
      </c>
      <c r="AD84" s="52">
        <v>130</v>
      </c>
      <c r="AE84" s="52">
        <v>128</v>
      </c>
      <c r="AF84" s="101">
        <v>129</v>
      </c>
      <c r="AG84" s="102"/>
      <c r="AH84" s="56">
        <f t="shared" si="17"/>
        <v>131.4</v>
      </c>
      <c r="AI84" s="57">
        <f t="shared" si="18"/>
        <v>125.4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>
        <v>124.1</v>
      </c>
      <c r="T85" s="52">
        <v>126.3</v>
      </c>
      <c r="U85" s="52">
        <v>127.3</v>
      </c>
      <c r="V85" s="52">
        <v>124.7</v>
      </c>
      <c r="W85" s="52">
        <v>124.7</v>
      </c>
      <c r="X85" s="100">
        <v>130</v>
      </c>
      <c r="Y85" s="100">
        <v>131.4</v>
      </c>
      <c r="Z85" s="100">
        <v>129.1</v>
      </c>
      <c r="AA85" s="52">
        <v>128.5</v>
      </c>
      <c r="AB85" s="52">
        <v>129</v>
      </c>
      <c r="AC85" s="52">
        <v>129</v>
      </c>
      <c r="AD85" s="52">
        <v>128</v>
      </c>
      <c r="AE85" s="52">
        <v>128</v>
      </c>
      <c r="AF85" s="101">
        <v>128.5</v>
      </c>
      <c r="AG85" s="102"/>
      <c r="AH85" s="56">
        <f t="shared" si="17"/>
        <v>131.4</v>
      </c>
      <c r="AI85" s="57">
        <f t="shared" si="18"/>
        <v>124.1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>
        <v>127.7</v>
      </c>
      <c r="T86" s="52">
        <v>129.30000000000001</v>
      </c>
      <c r="U86" s="52">
        <v>130.5</v>
      </c>
      <c r="V86" s="52">
        <v>127.9</v>
      </c>
      <c r="W86" s="52">
        <v>127.9</v>
      </c>
      <c r="X86" s="100">
        <v>133.30000000000001</v>
      </c>
      <c r="Y86" s="100">
        <v>135.30000000000001</v>
      </c>
      <c r="Z86" s="100">
        <v>133.6</v>
      </c>
      <c r="AA86" s="52">
        <v>131.6</v>
      </c>
      <c r="AB86" s="52">
        <v>132</v>
      </c>
      <c r="AC86" s="52">
        <v>132</v>
      </c>
      <c r="AD86" s="52">
        <v>132</v>
      </c>
      <c r="AE86" s="52">
        <v>131</v>
      </c>
      <c r="AF86" s="101">
        <v>132</v>
      </c>
      <c r="AG86" s="102"/>
      <c r="AH86" s="56">
        <f t="shared" si="17"/>
        <v>135.30000000000001</v>
      </c>
      <c r="AI86" s="57">
        <f t="shared" si="18"/>
        <v>127.7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132.69999999999999</v>
      </c>
      <c r="C87" s="104">
        <v>133.6</v>
      </c>
      <c r="D87" s="104">
        <v>130.6</v>
      </c>
      <c r="E87" s="104">
        <v>131.4</v>
      </c>
      <c r="F87" s="104">
        <v>131.4</v>
      </c>
      <c r="G87" s="104">
        <v>132.69999999999999</v>
      </c>
      <c r="H87" s="104">
        <v>134.69999999999999</v>
      </c>
      <c r="I87" s="104">
        <v>134.5</v>
      </c>
      <c r="J87" s="104">
        <v>134.1</v>
      </c>
      <c r="K87" s="104">
        <v>131.30000000000001</v>
      </c>
      <c r="L87" s="104">
        <v>137.30000000000001</v>
      </c>
      <c r="M87" s="104">
        <v>132.5</v>
      </c>
      <c r="N87" s="104">
        <v>129.80000000000001</v>
      </c>
      <c r="O87" s="104">
        <v>131.9</v>
      </c>
      <c r="P87" s="104">
        <v>133</v>
      </c>
      <c r="Q87" s="104">
        <v>131.5</v>
      </c>
      <c r="R87" s="104">
        <v>131.5</v>
      </c>
      <c r="S87" s="104">
        <v>131</v>
      </c>
      <c r="T87" s="104">
        <v>132.6</v>
      </c>
      <c r="U87" s="104">
        <v>135.4</v>
      </c>
      <c r="V87" s="104">
        <v>136.1</v>
      </c>
      <c r="W87" s="104">
        <v>136.1</v>
      </c>
      <c r="X87" s="100">
        <v>134.1</v>
      </c>
      <c r="Y87" s="100">
        <v>135.30000000000001</v>
      </c>
      <c r="Z87" s="100">
        <v>134.9</v>
      </c>
      <c r="AA87" s="104">
        <v>135.69999999999999</v>
      </c>
      <c r="AB87" s="104">
        <v>132</v>
      </c>
      <c r="AC87" s="104">
        <v>133</v>
      </c>
      <c r="AD87" s="104">
        <v>131.80000000000001</v>
      </c>
      <c r="AE87" s="104">
        <v>131.69999999999999</v>
      </c>
      <c r="AF87" s="105">
        <v>133</v>
      </c>
      <c r="AG87" s="106"/>
      <c r="AH87" s="56">
        <f t="shared" si="17"/>
        <v>137.30000000000001</v>
      </c>
      <c r="AI87" s="57">
        <f t="shared" si="18"/>
        <v>129.80000000000001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133.80000000000001</v>
      </c>
      <c r="C88" s="52">
        <v>135.30000000000001</v>
      </c>
      <c r="D88" s="52">
        <v>129.19999999999999</v>
      </c>
      <c r="E88" s="52">
        <v>129.4</v>
      </c>
      <c r="F88" s="52">
        <v>129.4</v>
      </c>
      <c r="G88" s="52">
        <v>129.9</v>
      </c>
      <c r="H88" s="52">
        <v>132</v>
      </c>
      <c r="I88" s="52">
        <v>130</v>
      </c>
      <c r="J88" s="52">
        <v>127.7</v>
      </c>
      <c r="K88" s="52">
        <v>129</v>
      </c>
      <c r="L88" s="52">
        <v>133</v>
      </c>
      <c r="M88" s="52">
        <v>127.1</v>
      </c>
      <c r="N88" s="52">
        <v>129.80000000000001</v>
      </c>
      <c r="O88" s="52">
        <v>129.9</v>
      </c>
      <c r="P88" s="52">
        <v>132.80000000000001</v>
      </c>
      <c r="Q88" s="52">
        <v>128.9</v>
      </c>
      <c r="R88" s="52">
        <v>128.9</v>
      </c>
      <c r="S88" s="52">
        <v>128.69999999999999</v>
      </c>
      <c r="T88" s="52">
        <v>128.19999999999999</v>
      </c>
      <c r="U88" s="52">
        <v>132.5</v>
      </c>
      <c r="V88" s="52">
        <v>134.5</v>
      </c>
      <c r="W88" s="52">
        <v>134.5</v>
      </c>
      <c r="X88" s="100">
        <v>131.69999999999999</v>
      </c>
      <c r="Y88" s="100">
        <v>135.9</v>
      </c>
      <c r="Z88" s="100">
        <v>134.1</v>
      </c>
      <c r="AA88" s="52">
        <v>136.80000000000001</v>
      </c>
      <c r="AB88" s="52">
        <v>131</v>
      </c>
      <c r="AC88" s="52">
        <v>133</v>
      </c>
      <c r="AD88" s="52">
        <v>133</v>
      </c>
      <c r="AE88" s="52">
        <v>131.5</v>
      </c>
      <c r="AF88" s="101">
        <v>133</v>
      </c>
      <c r="AG88" s="102"/>
      <c r="AH88" s="56">
        <f t="shared" si="17"/>
        <v>136.80000000000001</v>
      </c>
      <c r="AI88" s="57">
        <f t="shared" si="18"/>
        <v>127.1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66.900000000000006</v>
      </c>
      <c r="C89" s="107">
        <v>66.8</v>
      </c>
      <c r="D89" s="107">
        <v>67.099999999999994</v>
      </c>
      <c r="E89" s="107">
        <v>67</v>
      </c>
      <c r="F89" s="107">
        <v>67</v>
      </c>
      <c r="G89" s="107">
        <v>66.2</v>
      </c>
      <c r="H89" s="107">
        <v>65.900000000000006</v>
      </c>
      <c r="I89" s="107">
        <v>65.900000000000006</v>
      </c>
      <c r="J89" s="107">
        <v>65.599999999999994</v>
      </c>
      <c r="K89" s="107">
        <v>65.099999999999994</v>
      </c>
      <c r="L89" s="107">
        <v>64.3</v>
      </c>
      <c r="M89" s="107">
        <v>64.599999999999994</v>
      </c>
      <c r="N89" s="107">
        <v>63.9</v>
      </c>
      <c r="O89" s="107">
        <v>64.599999999999994</v>
      </c>
      <c r="P89" s="107">
        <v>64.900000000000006</v>
      </c>
      <c r="Q89" s="107">
        <v>65.3</v>
      </c>
      <c r="R89" s="107">
        <v>65.3</v>
      </c>
      <c r="S89" s="107">
        <v>64.7</v>
      </c>
      <c r="T89" s="107">
        <v>64.3</v>
      </c>
      <c r="U89" s="107">
        <v>64.7</v>
      </c>
      <c r="V89" s="107">
        <v>64.599999999999994</v>
      </c>
      <c r="W89" s="107">
        <v>64.599999999999994</v>
      </c>
      <c r="X89" s="107">
        <v>65.8</v>
      </c>
      <c r="Y89" s="107">
        <v>66.3</v>
      </c>
      <c r="Z89" s="107">
        <v>65.900000000000006</v>
      </c>
      <c r="AA89" s="107">
        <v>66.3</v>
      </c>
      <c r="AB89" s="107">
        <v>65</v>
      </c>
      <c r="AC89" s="107">
        <v>65.8</v>
      </c>
      <c r="AD89" s="107">
        <v>66</v>
      </c>
      <c r="AE89" s="107">
        <v>65</v>
      </c>
      <c r="AF89" s="108">
        <v>66</v>
      </c>
      <c r="AG89" s="109"/>
      <c r="AH89" s="56">
        <f t="shared" si="17"/>
        <v>67.099999999999994</v>
      </c>
      <c r="AI89" s="57">
        <f t="shared" si="18"/>
        <v>63.9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130.24</v>
      </c>
      <c r="C91" s="114">
        <f t="shared" ref="C91:AF91" si="22">SUM(C14,C17,C20:C21,C40,C42:C43,C45,C47,C92:C95,C100,C106,C112,C121,C123,C135,C142,C145:C146,C153,C155,C157,C161:C163,C165:C167,C172,C178:C179,C181:C183,C191,C196)</f>
        <v>124.53999999999998</v>
      </c>
      <c r="D91" s="114">
        <f t="shared" si="22"/>
        <v>124.43999999999998</v>
      </c>
      <c r="E91" s="114">
        <f t="shared" si="22"/>
        <v>128.44</v>
      </c>
      <c r="F91" s="115">
        <f t="shared" si="22"/>
        <v>131.23999999999998</v>
      </c>
      <c r="G91" s="115">
        <f t="shared" si="22"/>
        <v>163.43999999999997</v>
      </c>
      <c r="H91" s="115">
        <f t="shared" si="22"/>
        <v>196.44</v>
      </c>
      <c r="I91" s="115">
        <f t="shared" si="22"/>
        <v>230.94</v>
      </c>
      <c r="J91" s="115">
        <f t="shared" si="22"/>
        <v>261.94</v>
      </c>
      <c r="K91" s="115">
        <f t="shared" si="22"/>
        <v>283.94000000000005</v>
      </c>
      <c r="L91" s="115">
        <f t="shared" si="22"/>
        <v>292.24</v>
      </c>
      <c r="M91" s="115">
        <f t="shared" si="22"/>
        <v>286.34000000000003</v>
      </c>
      <c r="N91" s="115">
        <f t="shared" si="22"/>
        <v>274.14000000000004</v>
      </c>
      <c r="O91" s="115">
        <f t="shared" si="22"/>
        <v>257.84000000000003</v>
      </c>
      <c r="P91" s="115">
        <f t="shared" si="22"/>
        <v>245.63999999999996</v>
      </c>
      <c r="Q91" s="115">
        <f t="shared" si="22"/>
        <v>239.03999999999996</v>
      </c>
      <c r="R91" s="115">
        <f t="shared" si="22"/>
        <v>239.03999999999996</v>
      </c>
      <c r="S91" s="115">
        <f t="shared" si="22"/>
        <v>245.53999999999996</v>
      </c>
      <c r="T91" s="115">
        <f t="shared" si="22"/>
        <v>262.24000000000007</v>
      </c>
      <c r="U91" s="115">
        <f t="shared" si="22"/>
        <v>258.94000000000005</v>
      </c>
      <c r="V91" s="115">
        <f t="shared" si="22"/>
        <v>294.64000000000004</v>
      </c>
      <c r="W91" s="115">
        <f t="shared" si="22"/>
        <v>337.74</v>
      </c>
      <c r="X91" s="115">
        <f t="shared" si="22"/>
        <v>331.64</v>
      </c>
      <c r="Y91" s="115">
        <f t="shared" si="22"/>
        <v>303.94</v>
      </c>
      <c r="Z91" s="115">
        <f t="shared" si="22"/>
        <v>292.94</v>
      </c>
      <c r="AA91" s="115">
        <f t="shared" si="22"/>
        <v>266.94</v>
      </c>
      <c r="AB91" s="115">
        <f t="shared" si="22"/>
        <v>241.53999999999996</v>
      </c>
      <c r="AC91" s="115">
        <f t="shared" si="22"/>
        <v>216.93999999999997</v>
      </c>
      <c r="AD91" s="115">
        <f t="shared" si="22"/>
        <v>165.13999999999996</v>
      </c>
      <c r="AE91" s="115">
        <f t="shared" si="22"/>
        <v>160.13999999999996</v>
      </c>
      <c r="AF91" s="115">
        <f t="shared" si="22"/>
        <v>127.33999999999999</v>
      </c>
      <c r="AG91" s="116"/>
      <c r="AH91" s="56">
        <f>MAX(B91:AF91)</f>
        <v>337.74</v>
      </c>
      <c r="AI91" s="57">
        <f>MIN(B91:AF91)</f>
        <v>124.43999999999998</v>
      </c>
    </row>
    <row r="92" spans="1:88" x14ac:dyDescent="0.25">
      <c r="A92" s="117" t="s">
        <v>96</v>
      </c>
      <c r="B92" s="60">
        <v>21.7</v>
      </c>
      <c r="C92" s="60">
        <v>24.2</v>
      </c>
      <c r="D92" s="60">
        <v>30.6</v>
      </c>
      <c r="E92" s="60">
        <v>16.3</v>
      </c>
      <c r="F92" s="60">
        <v>25</v>
      </c>
      <c r="G92" s="118">
        <v>46.2</v>
      </c>
      <c r="H92" s="118">
        <v>32.9</v>
      </c>
      <c r="I92" s="118">
        <v>31.3</v>
      </c>
      <c r="J92" s="118">
        <v>44.9</v>
      </c>
      <c r="K92" s="118">
        <v>32.200000000000003</v>
      </c>
      <c r="L92" s="118">
        <v>43.3</v>
      </c>
      <c r="M92" s="118">
        <v>43.6</v>
      </c>
      <c r="N92" s="118">
        <v>46.8</v>
      </c>
      <c r="O92" s="118">
        <v>38.200000000000003</v>
      </c>
      <c r="P92" s="118">
        <v>40.9</v>
      </c>
      <c r="Q92" s="118">
        <v>38.1</v>
      </c>
      <c r="R92" s="118">
        <v>38.1</v>
      </c>
      <c r="S92" s="118">
        <v>39.1</v>
      </c>
      <c r="T92" s="54">
        <v>45</v>
      </c>
      <c r="U92" s="54">
        <v>44.5</v>
      </c>
      <c r="V92" s="54">
        <v>36.5</v>
      </c>
      <c r="W92" s="118">
        <v>21.3</v>
      </c>
      <c r="X92" s="118">
        <v>21.6</v>
      </c>
      <c r="Y92" s="118">
        <v>41.5</v>
      </c>
      <c r="Z92" s="118">
        <v>49.3</v>
      </c>
      <c r="AA92" s="54">
        <v>62.7</v>
      </c>
      <c r="AB92" s="54">
        <v>52.3</v>
      </c>
      <c r="AC92" s="54">
        <v>49</v>
      </c>
      <c r="AD92" s="54">
        <v>34.6</v>
      </c>
      <c r="AE92" s="54">
        <v>34.6</v>
      </c>
      <c r="AF92" s="119">
        <v>42.9</v>
      </c>
      <c r="AG92" s="120">
        <v>75</v>
      </c>
      <c r="AH92" s="56">
        <f t="shared" ref="AH92:AH97" si="23">IF(ABS(MAX(B92:AF92))&gt;ABS(MIN(B92:AF92)),MAX(B92:AF92),MIN(B92:AF92))</f>
        <v>62.7</v>
      </c>
      <c r="AI92" s="121">
        <f t="shared" ref="AI92:AI97" si="24">INDEX($B$9:$AF$9,1,MATCH(AH92,B92:AF92,0))</f>
        <v>0.83333333333333337</v>
      </c>
    </row>
    <row r="93" spans="1:88" x14ac:dyDescent="0.25">
      <c r="A93" s="122" t="s">
        <v>97</v>
      </c>
      <c r="B93" s="62">
        <v>-71.8</v>
      </c>
      <c r="C93" s="62">
        <v>-68.400000000000006</v>
      </c>
      <c r="D93" s="62">
        <v>-73.8</v>
      </c>
      <c r="E93" s="62">
        <v>-72</v>
      </c>
      <c r="F93" s="62">
        <v>-72</v>
      </c>
      <c r="G93" s="62">
        <v>-73.599999999999994</v>
      </c>
      <c r="H93" s="62">
        <v>-65</v>
      </c>
      <c r="I93" s="62">
        <v>-50</v>
      </c>
      <c r="J93" s="62">
        <v>-55</v>
      </c>
      <c r="K93" s="62">
        <v>-44</v>
      </c>
      <c r="L93" s="62">
        <v>-47.2</v>
      </c>
      <c r="M93" s="62">
        <v>-54.8</v>
      </c>
      <c r="N93" s="62">
        <v>-57.7</v>
      </c>
      <c r="O93" s="62">
        <v>-61.3</v>
      </c>
      <c r="P93" s="62">
        <v>-65.900000000000006</v>
      </c>
      <c r="Q93" s="62">
        <v>-61.9</v>
      </c>
      <c r="R93" s="62">
        <v>-61.9</v>
      </c>
      <c r="S93" s="62">
        <v>-60</v>
      </c>
      <c r="T93" s="62">
        <v>-56</v>
      </c>
      <c r="U93" s="62">
        <v>-61</v>
      </c>
      <c r="V93" s="62">
        <v>-50</v>
      </c>
      <c r="W93" s="62">
        <v>-31.799999999999997</v>
      </c>
      <c r="X93" s="62">
        <f>-11.9-20.1</f>
        <v>-32</v>
      </c>
      <c r="Y93" s="62">
        <f>-19.8-24</f>
        <v>-43.8</v>
      </c>
      <c r="Z93" s="62">
        <v>-47</v>
      </c>
      <c r="AA93" s="52">
        <v>-50.5</v>
      </c>
      <c r="AB93" s="52">
        <v>-56.5</v>
      </c>
      <c r="AC93" s="52">
        <v>-57</v>
      </c>
      <c r="AD93" s="52">
        <v>-65</v>
      </c>
      <c r="AE93" s="52">
        <v>-65</v>
      </c>
      <c r="AF93" s="123">
        <v>-100</v>
      </c>
      <c r="AG93" s="120">
        <v>240</v>
      </c>
      <c r="AH93" s="56">
        <f t="shared" si="23"/>
        <v>-100</v>
      </c>
      <c r="AI93" s="121">
        <f t="shared" si="24"/>
        <v>1</v>
      </c>
    </row>
    <row r="94" spans="1:88" x14ac:dyDescent="0.25">
      <c r="A94" s="122" t="s">
        <v>98</v>
      </c>
      <c r="B94" s="62">
        <v>-8.6</v>
      </c>
      <c r="C94" s="62">
        <v>-10.1</v>
      </c>
      <c r="D94" s="62">
        <v>-5.0999999999999996</v>
      </c>
      <c r="E94" s="62">
        <v>-7.7</v>
      </c>
      <c r="F94" s="62">
        <v>-7.7</v>
      </c>
      <c r="G94" s="62">
        <v>-5.5</v>
      </c>
      <c r="H94" s="62">
        <v>-1.1000000000000001</v>
      </c>
      <c r="I94" s="62">
        <v>11.4</v>
      </c>
      <c r="J94" s="62">
        <v>20.7</v>
      </c>
      <c r="K94" s="62">
        <v>24.9</v>
      </c>
      <c r="L94" s="62">
        <v>1.9</v>
      </c>
      <c r="M94" s="62">
        <v>6.3</v>
      </c>
      <c r="N94" s="62">
        <v>2</v>
      </c>
      <c r="O94" s="62">
        <v>1.3</v>
      </c>
      <c r="P94" s="62">
        <v>-0.9</v>
      </c>
      <c r="Q94" s="62">
        <v>4.3</v>
      </c>
      <c r="R94" s="62">
        <v>4.3</v>
      </c>
      <c r="S94" s="62">
        <v>4.3</v>
      </c>
      <c r="T94" s="62">
        <v>1.4</v>
      </c>
      <c r="U94" s="62">
        <v>2.9</v>
      </c>
      <c r="V94" s="62">
        <v>4.3</v>
      </c>
      <c r="W94" s="62">
        <v>28.9</v>
      </c>
      <c r="X94" s="62">
        <v>29.2</v>
      </c>
      <c r="Y94" s="62">
        <v>12.4</v>
      </c>
      <c r="Z94" s="62">
        <v>10.7</v>
      </c>
      <c r="AA94" s="52">
        <v>6.7</v>
      </c>
      <c r="AB94" s="52">
        <v>2</v>
      </c>
      <c r="AC94" s="52">
        <v>3.4</v>
      </c>
      <c r="AD94" s="52">
        <v>1.1000000000000001</v>
      </c>
      <c r="AE94" s="52">
        <v>1.1000000000000001</v>
      </c>
      <c r="AF94" s="123">
        <v>-7</v>
      </c>
      <c r="AG94" s="120">
        <v>60</v>
      </c>
      <c r="AH94" s="56">
        <f t="shared" si="23"/>
        <v>29.2</v>
      </c>
      <c r="AI94" s="121">
        <f t="shared" si="24"/>
        <v>0.77083333333333337</v>
      </c>
    </row>
    <row r="95" spans="1:88" x14ac:dyDescent="0.25">
      <c r="A95" s="124" t="s">
        <v>99</v>
      </c>
      <c r="B95" s="65">
        <v>4.4000000000000004</v>
      </c>
      <c r="C95" s="65">
        <v>4.7</v>
      </c>
      <c r="D95" s="65">
        <v>-5.9</v>
      </c>
      <c r="E95" s="65">
        <v>8.9</v>
      </c>
      <c r="F95" s="65">
        <v>8</v>
      </c>
      <c r="G95" s="65">
        <v>-2.2999999999999998</v>
      </c>
      <c r="H95" s="65">
        <v>19.8</v>
      </c>
      <c r="I95" s="65">
        <v>27.6</v>
      </c>
      <c r="J95" s="65">
        <v>20.7</v>
      </c>
      <c r="K95" s="65">
        <v>40.200000000000003</v>
      </c>
      <c r="L95" s="65">
        <v>59.8</v>
      </c>
      <c r="M95" s="65">
        <v>51.6</v>
      </c>
      <c r="N95" s="65">
        <v>43.4</v>
      </c>
      <c r="O95" s="65">
        <v>44.6</v>
      </c>
      <c r="P95" s="65">
        <v>36.5</v>
      </c>
      <c r="Q95" s="65">
        <v>33.5</v>
      </c>
      <c r="R95" s="65">
        <v>33.5</v>
      </c>
      <c r="S95" s="65">
        <v>37.1</v>
      </c>
      <c r="T95" s="65">
        <v>35.4</v>
      </c>
      <c r="U95" s="65">
        <v>36.1</v>
      </c>
      <c r="V95" s="65">
        <v>64</v>
      </c>
      <c r="W95" s="65">
        <v>78.8</v>
      </c>
      <c r="X95" s="65">
        <v>72.3</v>
      </c>
      <c r="Y95" s="65">
        <v>53.3</v>
      </c>
      <c r="Z95" s="65">
        <v>39.4</v>
      </c>
      <c r="AA95" s="125">
        <v>22.9</v>
      </c>
      <c r="AB95" s="125">
        <v>18.5</v>
      </c>
      <c r="AC95" s="125">
        <v>12.2</v>
      </c>
      <c r="AD95" s="125">
        <v>-2</v>
      </c>
      <c r="AE95" s="125">
        <v>-2</v>
      </c>
      <c r="AF95" s="126">
        <v>0</v>
      </c>
      <c r="AG95" s="127">
        <v>120</v>
      </c>
      <c r="AH95" s="56">
        <f t="shared" si="23"/>
        <v>78.8</v>
      </c>
      <c r="AI95" s="121">
        <f t="shared" si="24"/>
        <v>0.75</v>
      </c>
    </row>
    <row r="96" spans="1:88" x14ac:dyDescent="0.25">
      <c r="A96" s="124" t="s">
        <v>100</v>
      </c>
      <c r="B96" s="65">
        <v>28.7</v>
      </c>
      <c r="C96" s="65">
        <v>31.1</v>
      </c>
      <c r="D96" s="65">
        <v>21.8</v>
      </c>
      <c r="E96" s="65">
        <v>34.1</v>
      </c>
      <c r="F96" s="65">
        <v>34.1</v>
      </c>
      <c r="G96" s="65">
        <v>21.1</v>
      </c>
      <c r="H96" s="65">
        <v>36.1</v>
      </c>
      <c r="I96" s="65">
        <v>35.1</v>
      </c>
      <c r="J96" s="65">
        <v>32.9</v>
      </c>
      <c r="K96" s="65">
        <v>46.6</v>
      </c>
      <c r="L96" s="65">
        <v>61.7</v>
      </c>
      <c r="M96" s="65">
        <v>54.8</v>
      </c>
      <c r="N96" s="65">
        <v>49.6</v>
      </c>
      <c r="O96" s="65">
        <v>54.7</v>
      </c>
      <c r="P96" s="65">
        <v>50.4</v>
      </c>
      <c r="Q96" s="65">
        <v>49</v>
      </c>
      <c r="R96" s="65">
        <v>49</v>
      </c>
      <c r="S96" s="65">
        <v>50.4</v>
      </c>
      <c r="T96" s="65">
        <v>49.4</v>
      </c>
      <c r="U96" s="65">
        <v>46.5</v>
      </c>
      <c r="V96" s="65">
        <v>65.900000000000006</v>
      </c>
      <c r="W96" s="65">
        <v>75</v>
      </c>
      <c r="X96" s="65">
        <v>69.599999999999994</v>
      </c>
      <c r="Y96" s="65">
        <v>56.8</v>
      </c>
      <c r="Z96" s="65">
        <v>46.4</v>
      </c>
      <c r="AA96" s="125">
        <v>34</v>
      </c>
      <c r="AB96" s="125">
        <v>32.700000000000003</v>
      </c>
      <c r="AC96" s="125">
        <v>28.7</v>
      </c>
      <c r="AD96" s="125">
        <v>26</v>
      </c>
      <c r="AE96" s="125">
        <v>26</v>
      </c>
      <c r="AF96" s="126">
        <v>-6.4</v>
      </c>
      <c r="AG96" s="127"/>
      <c r="AH96" s="56">
        <f t="shared" si="23"/>
        <v>75</v>
      </c>
      <c r="AI96" s="121">
        <f t="shared" si="24"/>
        <v>0.75</v>
      </c>
    </row>
    <row r="97" spans="1:37" ht="15.75" thickBot="1" x14ac:dyDescent="0.3">
      <c r="A97" s="124" t="s">
        <v>101</v>
      </c>
      <c r="B97" s="65">
        <v>55.2</v>
      </c>
      <c r="C97" s="65">
        <v>47.8</v>
      </c>
      <c r="D97" s="65">
        <v>45.2</v>
      </c>
      <c r="E97" s="65">
        <v>49.9</v>
      </c>
      <c r="F97" s="65">
        <v>49.9</v>
      </c>
      <c r="G97" s="65">
        <v>36.9</v>
      </c>
      <c r="H97" s="65">
        <v>52.1</v>
      </c>
      <c r="I97" s="65">
        <v>48.2</v>
      </c>
      <c r="J97" s="65">
        <v>41.8</v>
      </c>
      <c r="K97" s="65">
        <v>54.2</v>
      </c>
      <c r="L97" s="65">
        <v>38.700000000000003</v>
      </c>
      <c r="M97" s="65">
        <v>45.4</v>
      </c>
      <c r="N97" s="65">
        <v>38.1</v>
      </c>
      <c r="O97" s="65">
        <v>47.6</v>
      </c>
      <c r="P97" s="65">
        <v>49.1</v>
      </c>
      <c r="Q97" s="65">
        <v>54.6</v>
      </c>
      <c r="R97" s="65">
        <v>54.6</v>
      </c>
      <c r="S97" s="65">
        <v>50.9</v>
      </c>
      <c r="T97" s="65">
        <v>44.7</v>
      </c>
      <c r="U97" s="65">
        <v>42</v>
      </c>
      <c r="V97" s="65">
        <v>49.2</v>
      </c>
      <c r="W97" s="65">
        <v>64.400000000000006</v>
      </c>
      <c r="X97" s="65">
        <v>68.900000000000006</v>
      </c>
      <c r="Y97" s="65">
        <v>48.5</v>
      </c>
      <c r="Z97" s="65">
        <v>42</v>
      </c>
      <c r="AA97" s="125">
        <v>23.5</v>
      </c>
      <c r="AB97" s="125">
        <v>30.4</v>
      </c>
      <c r="AC97" s="125">
        <v>30.8</v>
      </c>
      <c r="AD97" s="125">
        <v>37.6</v>
      </c>
      <c r="AE97" s="125">
        <v>37.6</v>
      </c>
      <c r="AF97" s="126">
        <v>374</v>
      </c>
      <c r="AG97" s="128"/>
      <c r="AH97" s="56">
        <f t="shared" si="23"/>
        <v>374</v>
      </c>
      <c r="AI97" s="121">
        <f t="shared" si="24"/>
        <v>1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5">B99</f>
        <v>9.9</v>
      </c>
      <c r="D99" s="134">
        <f t="shared" si="25"/>
        <v>9.9</v>
      </c>
      <c r="E99" s="134">
        <f t="shared" si="25"/>
        <v>9.9</v>
      </c>
      <c r="F99" s="134">
        <f t="shared" si="25"/>
        <v>9.9</v>
      </c>
      <c r="G99" s="134">
        <f t="shared" si="25"/>
        <v>9.9</v>
      </c>
      <c r="H99" s="134">
        <f t="shared" si="25"/>
        <v>9.9</v>
      </c>
      <c r="I99" s="134">
        <f t="shared" si="25"/>
        <v>9.9</v>
      </c>
      <c r="J99" s="134">
        <f t="shared" si="25"/>
        <v>9.9</v>
      </c>
      <c r="K99" s="134">
        <f t="shared" si="25"/>
        <v>9.9</v>
      </c>
      <c r="L99" s="134">
        <f t="shared" si="25"/>
        <v>9.9</v>
      </c>
      <c r="M99" s="134">
        <f t="shared" si="25"/>
        <v>9.9</v>
      </c>
      <c r="N99" s="134">
        <f t="shared" si="25"/>
        <v>9.9</v>
      </c>
      <c r="O99" s="134">
        <f t="shared" si="25"/>
        <v>9.9</v>
      </c>
      <c r="P99" s="134">
        <f t="shared" si="25"/>
        <v>9.9</v>
      </c>
      <c r="Q99" s="134">
        <f t="shared" si="25"/>
        <v>9.9</v>
      </c>
      <c r="R99" s="134">
        <f t="shared" si="25"/>
        <v>9.9</v>
      </c>
      <c r="S99" s="134">
        <f t="shared" ref="S99:AF104" si="26">R99</f>
        <v>9.9</v>
      </c>
      <c r="T99" s="134">
        <f t="shared" si="26"/>
        <v>9.9</v>
      </c>
      <c r="U99" s="134">
        <f t="shared" si="26"/>
        <v>9.9</v>
      </c>
      <c r="V99" s="134">
        <f t="shared" si="26"/>
        <v>9.9</v>
      </c>
      <c r="W99" s="134">
        <f t="shared" si="26"/>
        <v>9.9</v>
      </c>
      <c r="X99" s="134">
        <f t="shared" si="26"/>
        <v>9.9</v>
      </c>
      <c r="Y99" s="134">
        <f t="shared" si="26"/>
        <v>9.9</v>
      </c>
      <c r="Z99" s="134">
        <f t="shared" si="26"/>
        <v>9.9</v>
      </c>
      <c r="AA99" s="134">
        <f t="shared" si="26"/>
        <v>9.9</v>
      </c>
      <c r="AB99" s="134">
        <f t="shared" si="26"/>
        <v>9.9</v>
      </c>
      <c r="AC99" s="134">
        <f t="shared" si="26"/>
        <v>9.9</v>
      </c>
      <c r="AD99" s="134">
        <f t="shared" si="26"/>
        <v>9.9</v>
      </c>
      <c r="AE99" s="134">
        <f t="shared" si="26"/>
        <v>9.9</v>
      </c>
      <c r="AF99" s="134">
        <f t="shared" si="26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5"/>
        <v>9.6</v>
      </c>
      <c r="D100" s="137">
        <f t="shared" si="25"/>
        <v>9.6</v>
      </c>
      <c r="E100" s="137">
        <f t="shared" si="25"/>
        <v>9.6</v>
      </c>
      <c r="F100" s="137">
        <f t="shared" si="25"/>
        <v>9.6</v>
      </c>
      <c r="G100" s="137">
        <f t="shared" si="25"/>
        <v>9.6</v>
      </c>
      <c r="H100" s="137">
        <f t="shared" si="25"/>
        <v>9.6</v>
      </c>
      <c r="I100" s="137">
        <f t="shared" si="25"/>
        <v>9.6</v>
      </c>
      <c r="J100" s="137">
        <f t="shared" si="25"/>
        <v>9.6</v>
      </c>
      <c r="K100" s="137">
        <f t="shared" si="25"/>
        <v>9.6</v>
      </c>
      <c r="L100" s="137">
        <f t="shared" si="25"/>
        <v>9.6</v>
      </c>
      <c r="M100" s="137">
        <f t="shared" si="25"/>
        <v>9.6</v>
      </c>
      <c r="N100" s="137">
        <f t="shared" si="25"/>
        <v>9.6</v>
      </c>
      <c r="O100" s="137">
        <f t="shared" si="25"/>
        <v>9.6</v>
      </c>
      <c r="P100" s="137">
        <f t="shared" si="25"/>
        <v>9.6</v>
      </c>
      <c r="Q100" s="137">
        <f t="shared" si="25"/>
        <v>9.6</v>
      </c>
      <c r="R100" s="137">
        <f t="shared" si="25"/>
        <v>9.6</v>
      </c>
      <c r="S100" s="137">
        <f t="shared" si="26"/>
        <v>9.6</v>
      </c>
      <c r="T100" s="137">
        <f t="shared" si="26"/>
        <v>9.6</v>
      </c>
      <c r="U100" s="137">
        <f t="shared" si="26"/>
        <v>9.6</v>
      </c>
      <c r="V100" s="137">
        <f t="shared" si="26"/>
        <v>9.6</v>
      </c>
      <c r="W100" s="137">
        <f t="shared" si="26"/>
        <v>9.6</v>
      </c>
      <c r="X100" s="137">
        <f t="shared" si="26"/>
        <v>9.6</v>
      </c>
      <c r="Y100" s="137">
        <f t="shared" si="26"/>
        <v>9.6</v>
      </c>
      <c r="Z100" s="137">
        <f t="shared" si="26"/>
        <v>9.6</v>
      </c>
      <c r="AA100" s="137">
        <f t="shared" si="26"/>
        <v>9.6</v>
      </c>
      <c r="AB100" s="137">
        <f t="shared" si="26"/>
        <v>9.6</v>
      </c>
      <c r="AC100" s="137">
        <f t="shared" si="26"/>
        <v>9.6</v>
      </c>
      <c r="AD100" s="137">
        <f t="shared" si="26"/>
        <v>9.6</v>
      </c>
      <c r="AE100" s="137">
        <f t="shared" si="26"/>
        <v>9.6</v>
      </c>
      <c r="AF100" s="137">
        <f t="shared" si="26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5"/>
        <v>9.98</v>
      </c>
      <c r="D101" s="137">
        <f t="shared" si="25"/>
        <v>9.98</v>
      </c>
      <c r="E101" s="137">
        <f t="shared" si="25"/>
        <v>9.98</v>
      </c>
      <c r="F101" s="137">
        <f t="shared" si="25"/>
        <v>9.98</v>
      </c>
      <c r="G101" s="137">
        <f t="shared" si="25"/>
        <v>9.98</v>
      </c>
      <c r="H101" s="137">
        <f t="shared" si="25"/>
        <v>9.98</v>
      </c>
      <c r="I101" s="137">
        <f t="shared" si="25"/>
        <v>9.98</v>
      </c>
      <c r="J101" s="137">
        <f t="shared" si="25"/>
        <v>9.98</v>
      </c>
      <c r="K101" s="137">
        <f t="shared" si="25"/>
        <v>9.98</v>
      </c>
      <c r="L101" s="137">
        <f t="shared" si="25"/>
        <v>9.98</v>
      </c>
      <c r="M101" s="137">
        <f t="shared" si="25"/>
        <v>9.98</v>
      </c>
      <c r="N101" s="137">
        <f t="shared" si="25"/>
        <v>9.98</v>
      </c>
      <c r="O101" s="137">
        <f t="shared" si="25"/>
        <v>9.98</v>
      </c>
      <c r="P101" s="137">
        <f t="shared" si="25"/>
        <v>9.98</v>
      </c>
      <c r="Q101" s="137">
        <f t="shared" si="25"/>
        <v>9.98</v>
      </c>
      <c r="R101" s="137">
        <f t="shared" si="25"/>
        <v>9.98</v>
      </c>
      <c r="S101" s="137">
        <f t="shared" si="26"/>
        <v>9.98</v>
      </c>
      <c r="T101" s="137">
        <f t="shared" si="26"/>
        <v>9.98</v>
      </c>
      <c r="U101" s="137">
        <f t="shared" si="26"/>
        <v>9.98</v>
      </c>
      <c r="V101" s="137">
        <f t="shared" si="26"/>
        <v>9.98</v>
      </c>
      <c r="W101" s="137">
        <f t="shared" si="26"/>
        <v>9.98</v>
      </c>
      <c r="X101" s="137">
        <f t="shared" si="26"/>
        <v>9.98</v>
      </c>
      <c r="Y101" s="137">
        <f t="shared" si="26"/>
        <v>9.98</v>
      </c>
      <c r="Z101" s="137">
        <f t="shared" si="26"/>
        <v>9.98</v>
      </c>
      <c r="AA101" s="137">
        <f t="shared" si="26"/>
        <v>9.98</v>
      </c>
      <c r="AB101" s="137">
        <f t="shared" si="26"/>
        <v>9.98</v>
      </c>
      <c r="AC101" s="137">
        <f t="shared" si="26"/>
        <v>9.98</v>
      </c>
      <c r="AD101" s="137">
        <f t="shared" si="26"/>
        <v>9.98</v>
      </c>
      <c r="AE101" s="137">
        <f t="shared" si="26"/>
        <v>9.98</v>
      </c>
      <c r="AF101" s="137">
        <f t="shared" si="26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5"/>
        <v>9.1</v>
      </c>
      <c r="D102" s="137">
        <f t="shared" si="25"/>
        <v>9.1</v>
      </c>
      <c r="E102" s="137">
        <f t="shared" si="25"/>
        <v>9.1</v>
      </c>
      <c r="F102" s="137">
        <f t="shared" si="25"/>
        <v>9.1</v>
      </c>
      <c r="G102" s="137">
        <f t="shared" si="25"/>
        <v>9.1</v>
      </c>
      <c r="H102" s="137">
        <f t="shared" si="25"/>
        <v>9.1</v>
      </c>
      <c r="I102" s="137">
        <f t="shared" si="25"/>
        <v>9.1</v>
      </c>
      <c r="J102" s="137">
        <f t="shared" si="25"/>
        <v>9.1</v>
      </c>
      <c r="K102" s="137">
        <f t="shared" si="25"/>
        <v>9.1</v>
      </c>
      <c r="L102" s="137">
        <f t="shared" si="25"/>
        <v>9.1</v>
      </c>
      <c r="M102" s="137">
        <f t="shared" si="25"/>
        <v>9.1</v>
      </c>
      <c r="N102" s="137">
        <f t="shared" si="25"/>
        <v>9.1</v>
      </c>
      <c r="O102" s="137">
        <f t="shared" si="25"/>
        <v>9.1</v>
      </c>
      <c r="P102" s="137">
        <f t="shared" si="25"/>
        <v>9.1</v>
      </c>
      <c r="Q102" s="137">
        <f t="shared" si="25"/>
        <v>9.1</v>
      </c>
      <c r="R102" s="137">
        <f t="shared" si="25"/>
        <v>9.1</v>
      </c>
      <c r="S102" s="137">
        <f t="shared" si="26"/>
        <v>9.1</v>
      </c>
      <c r="T102" s="137">
        <f t="shared" si="26"/>
        <v>9.1</v>
      </c>
      <c r="U102" s="137">
        <f t="shared" si="26"/>
        <v>9.1</v>
      </c>
      <c r="V102" s="137">
        <f t="shared" si="26"/>
        <v>9.1</v>
      </c>
      <c r="W102" s="137">
        <f t="shared" si="26"/>
        <v>9.1</v>
      </c>
      <c r="X102" s="137">
        <f t="shared" si="26"/>
        <v>9.1</v>
      </c>
      <c r="Y102" s="137">
        <f t="shared" si="26"/>
        <v>9.1</v>
      </c>
      <c r="Z102" s="137">
        <f t="shared" si="26"/>
        <v>9.1</v>
      </c>
      <c r="AA102" s="137">
        <f t="shared" si="26"/>
        <v>9.1</v>
      </c>
      <c r="AB102" s="137">
        <f t="shared" si="26"/>
        <v>9.1</v>
      </c>
      <c r="AC102" s="137">
        <f t="shared" si="26"/>
        <v>9.1</v>
      </c>
      <c r="AD102" s="137">
        <f t="shared" si="26"/>
        <v>9.1</v>
      </c>
      <c r="AE102" s="137">
        <f t="shared" si="26"/>
        <v>9.1</v>
      </c>
      <c r="AF102" s="137">
        <f t="shared" si="26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5"/>
        <v>9.18</v>
      </c>
      <c r="D103" s="137">
        <f t="shared" si="25"/>
        <v>9.18</v>
      </c>
      <c r="E103" s="137">
        <f t="shared" si="25"/>
        <v>9.18</v>
      </c>
      <c r="F103" s="137">
        <f t="shared" si="25"/>
        <v>9.18</v>
      </c>
      <c r="G103" s="137">
        <f t="shared" si="25"/>
        <v>9.18</v>
      </c>
      <c r="H103" s="137">
        <f t="shared" si="25"/>
        <v>9.18</v>
      </c>
      <c r="I103" s="137">
        <f t="shared" si="25"/>
        <v>9.18</v>
      </c>
      <c r="J103" s="137">
        <f t="shared" si="25"/>
        <v>9.18</v>
      </c>
      <c r="K103" s="137">
        <f t="shared" si="25"/>
        <v>9.18</v>
      </c>
      <c r="L103" s="137">
        <f t="shared" si="25"/>
        <v>9.18</v>
      </c>
      <c r="M103" s="137">
        <f t="shared" si="25"/>
        <v>9.18</v>
      </c>
      <c r="N103" s="137">
        <f t="shared" si="25"/>
        <v>9.18</v>
      </c>
      <c r="O103" s="137">
        <f t="shared" si="25"/>
        <v>9.18</v>
      </c>
      <c r="P103" s="137">
        <f t="shared" si="25"/>
        <v>9.18</v>
      </c>
      <c r="Q103" s="137">
        <f t="shared" si="25"/>
        <v>9.18</v>
      </c>
      <c r="R103" s="137">
        <f t="shared" si="25"/>
        <v>9.18</v>
      </c>
      <c r="S103" s="137">
        <f t="shared" si="26"/>
        <v>9.18</v>
      </c>
      <c r="T103" s="137">
        <f t="shared" si="26"/>
        <v>9.18</v>
      </c>
      <c r="U103" s="137">
        <f t="shared" si="26"/>
        <v>9.18</v>
      </c>
      <c r="V103" s="137">
        <f t="shared" si="26"/>
        <v>9.18</v>
      </c>
      <c r="W103" s="137">
        <f t="shared" si="26"/>
        <v>9.18</v>
      </c>
      <c r="X103" s="137">
        <f t="shared" si="26"/>
        <v>9.18</v>
      </c>
      <c r="Y103" s="137">
        <f t="shared" si="26"/>
        <v>9.18</v>
      </c>
      <c r="Z103" s="137">
        <f t="shared" si="26"/>
        <v>9.18</v>
      </c>
      <c r="AA103" s="137">
        <f t="shared" si="26"/>
        <v>9.18</v>
      </c>
      <c r="AB103" s="137">
        <f t="shared" si="26"/>
        <v>9.18</v>
      </c>
      <c r="AC103" s="137">
        <f t="shared" si="26"/>
        <v>9.18</v>
      </c>
      <c r="AD103" s="137">
        <f t="shared" si="26"/>
        <v>9.18</v>
      </c>
      <c r="AE103" s="137">
        <f t="shared" si="26"/>
        <v>9.18</v>
      </c>
      <c r="AF103" s="137">
        <f t="shared" si="26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5"/>
        <v>7</v>
      </c>
      <c r="D104" s="137">
        <f t="shared" si="25"/>
        <v>7</v>
      </c>
      <c r="E104" s="137">
        <f t="shared" si="25"/>
        <v>7</v>
      </c>
      <c r="F104" s="137">
        <f t="shared" si="25"/>
        <v>7</v>
      </c>
      <c r="G104" s="137">
        <f t="shared" si="25"/>
        <v>7</v>
      </c>
      <c r="H104" s="137">
        <f t="shared" si="25"/>
        <v>7</v>
      </c>
      <c r="I104" s="137">
        <f t="shared" si="25"/>
        <v>7</v>
      </c>
      <c r="J104" s="137">
        <f t="shared" si="25"/>
        <v>7</v>
      </c>
      <c r="K104" s="137">
        <f t="shared" si="25"/>
        <v>7</v>
      </c>
      <c r="L104" s="137">
        <f t="shared" si="25"/>
        <v>7</v>
      </c>
      <c r="M104" s="137">
        <f t="shared" si="25"/>
        <v>7</v>
      </c>
      <c r="N104" s="137">
        <f t="shared" si="25"/>
        <v>7</v>
      </c>
      <c r="O104" s="137">
        <f t="shared" si="25"/>
        <v>7</v>
      </c>
      <c r="P104" s="137">
        <f t="shared" si="25"/>
        <v>7</v>
      </c>
      <c r="Q104" s="137">
        <f t="shared" si="25"/>
        <v>7</v>
      </c>
      <c r="R104" s="137">
        <f t="shared" si="25"/>
        <v>7</v>
      </c>
      <c r="S104" s="137">
        <f t="shared" si="26"/>
        <v>7</v>
      </c>
      <c r="T104" s="137">
        <f t="shared" si="26"/>
        <v>7</v>
      </c>
      <c r="U104" s="137">
        <f t="shared" si="26"/>
        <v>7</v>
      </c>
      <c r="V104" s="137">
        <f t="shared" si="26"/>
        <v>7</v>
      </c>
      <c r="W104" s="137">
        <f t="shared" si="26"/>
        <v>7</v>
      </c>
      <c r="X104" s="137">
        <f t="shared" si="26"/>
        <v>7</v>
      </c>
      <c r="Y104" s="137">
        <f t="shared" si="26"/>
        <v>7</v>
      </c>
      <c r="Z104" s="137">
        <f t="shared" si="26"/>
        <v>7</v>
      </c>
      <c r="AA104" s="137">
        <f t="shared" si="26"/>
        <v>7</v>
      </c>
      <c r="AB104" s="137">
        <f t="shared" si="26"/>
        <v>7</v>
      </c>
      <c r="AC104" s="137">
        <f t="shared" si="26"/>
        <v>7</v>
      </c>
      <c r="AD104" s="137">
        <f t="shared" si="26"/>
        <v>7</v>
      </c>
      <c r="AE104" s="137">
        <f t="shared" si="26"/>
        <v>7</v>
      </c>
      <c r="AF104" s="137">
        <f t="shared" si="26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7">B106</f>
        <v>2.25</v>
      </c>
      <c r="D106" s="137">
        <f t="shared" si="27"/>
        <v>2.25</v>
      </c>
      <c r="E106" s="137">
        <f t="shared" si="27"/>
        <v>2.25</v>
      </c>
      <c r="F106" s="137">
        <f t="shared" si="27"/>
        <v>2.25</v>
      </c>
      <c r="G106" s="137">
        <f t="shared" si="27"/>
        <v>2.25</v>
      </c>
      <c r="H106" s="137">
        <f t="shared" si="27"/>
        <v>2.25</v>
      </c>
      <c r="I106" s="137">
        <f t="shared" si="27"/>
        <v>2.25</v>
      </c>
      <c r="J106" s="137">
        <f t="shared" si="27"/>
        <v>2.25</v>
      </c>
      <c r="K106" s="137">
        <f t="shared" si="27"/>
        <v>2.25</v>
      </c>
      <c r="L106" s="137">
        <f t="shared" si="27"/>
        <v>2.25</v>
      </c>
      <c r="M106" s="137">
        <f t="shared" si="27"/>
        <v>2.25</v>
      </c>
      <c r="N106" s="137">
        <f t="shared" si="27"/>
        <v>2.25</v>
      </c>
      <c r="O106" s="137">
        <f t="shared" si="27"/>
        <v>2.25</v>
      </c>
      <c r="P106" s="137">
        <f t="shared" si="27"/>
        <v>2.25</v>
      </c>
      <c r="Q106" s="137">
        <f t="shared" si="27"/>
        <v>2.25</v>
      </c>
      <c r="R106" s="137">
        <f t="shared" si="27"/>
        <v>2.25</v>
      </c>
      <c r="S106" s="137">
        <f t="shared" ref="S106:AF107" si="28">R106</f>
        <v>2.25</v>
      </c>
      <c r="T106" s="137">
        <f t="shared" si="28"/>
        <v>2.25</v>
      </c>
      <c r="U106" s="137">
        <f t="shared" si="28"/>
        <v>2.25</v>
      </c>
      <c r="V106" s="137">
        <f t="shared" si="28"/>
        <v>2.25</v>
      </c>
      <c r="W106" s="137">
        <f t="shared" si="28"/>
        <v>2.25</v>
      </c>
      <c r="X106" s="137">
        <f t="shared" si="28"/>
        <v>2.25</v>
      </c>
      <c r="Y106" s="137">
        <f t="shared" si="28"/>
        <v>2.25</v>
      </c>
      <c r="Z106" s="137">
        <f t="shared" si="28"/>
        <v>2.25</v>
      </c>
      <c r="AA106" s="137">
        <f t="shared" si="28"/>
        <v>2.25</v>
      </c>
      <c r="AB106" s="137">
        <f t="shared" si="28"/>
        <v>2.25</v>
      </c>
      <c r="AC106" s="137">
        <f t="shared" si="28"/>
        <v>2.25</v>
      </c>
      <c r="AD106" s="137">
        <f t="shared" si="28"/>
        <v>2.25</v>
      </c>
      <c r="AE106" s="137">
        <f t="shared" si="28"/>
        <v>2.25</v>
      </c>
      <c r="AF106" s="137">
        <f t="shared" si="28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7"/>
        <v>1.64</v>
      </c>
      <c r="D107" s="137">
        <f t="shared" si="27"/>
        <v>1.64</v>
      </c>
      <c r="E107" s="137">
        <f t="shared" si="27"/>
        <v>1.64</v>
      </c>
      <c r="F107" s="137">
        <f t="shared" si="27"/>
        <v>1.64</v>
      </c>
      <c r="G107" s="137">
        <f t="shared" si="27"/>
        <v>1.64</v>
      </c>
      <c r="H107" s="137">
        <f t="shared" si="27"/>
        <v>1.64</v>
      </c>
      <c r="I107" s="137">
        <f t="shared" si="27"/>
        <v>1.64</v>
      </c>
      <c r="J107" s="137">
        <f t="shared" si="27"/>
        <v>1.64</v>
      </c>
      <c r="K107" s="137">
        <f t="shared" si="27"/>
        <v>1.64</v>
      </c>
      <c r="L107" s="137">
        <f t="shared" si="27"/>
        <v>1.64</v>
      </c>
      <c r="M107" s="137">
        <f t="shared" si="27"/>
        <v>1.64</v>
      </c>
      <c r="N107" s="137">
        <f t="shared" si="27"/>
        <v>1.64</v>
      </c>
      <c r="O107" s="137">
        <f t="shared" si="27"/>
        <v>1.64</v>
      </c>
      <c r="P107" s="137">
        <f t="shared" si="27"/>
        <v>1.64</v>
      </c>
      <c r="Q107" s="137">
        <f t="shared" si="27"/>
        <v>1.64</v>
      </c>
      <c r="R107" s="137">
        <f t="shared" si="27"/>
        <v>1.64</v>
      </c>
      <c r="S107" s="137">
        <f t="shared" si="28"/>
        <v>1.64</v>
      </c>
      <c r="T107" s="137">
        <f t="shared" si="28"/>
        <v>1.64</v>
      </c>
      <c r="U107" s="137">
        <f t="shared" si="28"/>
        <v>1.64</v>
      </c>
      <c r="V107" s="137">
        <f t="shared" si="28"/>
        <v>1.64</v>
      </c>
      <c r="W107" s="137">
        <f t="shared" si="28"/>
        <v>1.64</v>
      </c>
      <c r="X107" s="137">
        <f t="shared" si="28"/>
        <v>1.64</v>
      </c>
      <c r="Y107" s="137">
        <f t="shared" si="28"/>
        <v>1.64</v>
      </c>
      <c r="Z107" s="137">
        <f t="shared" si="28"/>
        <v>1.64</v>
      </c>
      <c r="AA107" s="137">
        <f t="shared" si="28"/>
        <v>1.64</v>
      </c>
      <c r="AB107" s="137">
        <f t="shared" si="28"/>
        <v>1.64</v>
      </c>
      <c r="AC107" s="137">
        <f t="shared" si="28"/>
        <v>1.64</v>
      </c>
      <c r="AD107" s="137">
        <f t="shared" si="28"/>
        <v>1.64</v>
      </c>
      <c r="AE107" s="137">
        <f t="shared" si="28"/>
        <v>1.64</v>
      </c>
      <c r="AF107" s="137">
        <f t="shared" si="28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9">B109</f>
        <v>1.62</v>
      </c>
      <c r="D109" s="137">
        <f t="shared" si="29"/>
        <v>1.62</v>
      </c>
      <c r="E109" s="137">
        <f t="shared" si="29"/>
        <v>1.62</v>
      </c>
      <c r="F109" s="137">
        <f t="shared" si="29"/>
        <v>1.62</v>
      </c>
      <c r="G109" s="137">
        <f t="shared" si="29"/>
        <v>1.62</v>
      </c>
      <c r="H109" s="137">
        <f t="shared" si="29"/>
        <v>1.62</v>
      </c>
      <c r="I109" s="137">
        <f t="shared" si="29"/>
        <v>1.62</v>
      </c>
      <c r="J109" s="137">
        <f t="shared" si="29"/>
        <v>1.62</v>
      </c>
      <c r="K109" s="137">
        <f t="shared" si="29"/>
        <v>1.62</v>
      </c>
      <c r="L109" s="137">
        <f t="shared" si="29"/>
        <v>1.62</v>
      </c>
      <c r="M109" s="137">
        <f t="shared" si="29"/>
        <v>1.62</v>
      </c>
      <c r="N109" s="137">
        <f t="shared" si="29"/>
        <v>1.62</v>
      </c>
      <c r="O109" s="137">
        <f t="shared" si="29"/>
        <v>1.62</v>
      </c>
      <c r="P109" s="137">
        <f t="shared" si="29"/>
        <v>1.62</v>
      </c>
      <c r="Q109" s="137">
        <f t="shared" si="29"/>
        <v>1.62</v>
      </c>
      <c r="R109" s="137">
        <f t="shared" si="29"/>
        <v>1.62</v>
      </c>
      <c r="S109" s="137">
        <f t="shared" ref="S109:AF124" si="30">R109</f>
        <v>1.62</v>
      </c>
      <c r="T109" s="137">
        <f t="shared" si="30"/>
        <v>1.62</v>
      </c>
      <c r="U109" s="137">
        <f t="shared" si="30"/>
        <v>1.62</v>
      </c>
      <c r="V109" s="137">
        <f t="shared" si="30"/>
        <v>1.62</v>
      </c>
      <c r="W109" s="137">
        <f t="shared" si="30"/>
        <v>1.62</v>
      </c>
      <c r="X109" s="137">
        <f t="shared" si="30"/>
        <v>1.62</v>
      </c>
      <c r="Y109" s="137">
        <f t="shared" si="30"/>
        <v>1.62</v>
      </c>
      <c r="Z109" s="137">
        <f t="shared" si="30"/>
        <v>1.62</v>
      </c>
      <c r="AA109" s="137">
        <f t="shared" si="30"/>
        <v>1.62</v>
      </c>
      <c r="AB109" s="137">
        <f t="shared" si="30"/>
        <v>1.62</v>
      </c>
      <c r="AC109" s="137">
        <f t="shared" si="30"/>
        <v>1.62</v>
      </c>
      <c r="AD109" s="137">
        <f t="shared" si="30"/>
        <v>1.62</v>
      </c>
      <c r="AE109" s="137">
        <f t="shared" si="30"/>
        <v>1.62</v>
      </c>
      <c r="AF109" s="137">
        <f t="shared" si="30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9"/>
        <v>8.36</v>
      </c>
      <c r="D110" s="137">
        <f t="shared" si="29"/>
        <v>8.36</v>
      </c>
      <c r="E110" s="137">
        <f t="shared" si="29"/>
        <v>8.36</v>
      </c>
      <c r="F110" s="137">
        <f t="shared" si="29"/>
        <v>8.36</v>
      </c>
      <c r="G110" s="137">
        <f t="shared" si="29"/>
        <v>8.36</v>
      </c>
      <c r="H110" s="137">
        <f t="shared" si="29"/>
        <v>8.36</v>
      </c>
      <c r="I110" s="137">
        <f t="shared" si="29"/>
        <v>8.36</v>
      </c>
      <c r="J110" s="137">
        <f t="shared" si="29"/>
        <v>8.36</v>
      </c>
      <c r="K110" s="137">
        <f t="shared" si="29"/>
        <v>8.36</v>
      </c>
      <c r="L110" s="137">
        <f t="shared" si="29"/>
        <v>8.36</v>
      </c>
      <c r="M110" s="137">
        <f t="shared" si="29"/>
        <v>8.36</v>
      </c>
      <c r="N110" s="137">
        <f t="shared" si="29"/>
        <v>8.36</v>
      </c>
      <c r="O110" s="137">
        <f t="shared" si="29"/>
        <v>8.36</v>
      </c>
      <c r="P110" s="137">
        <f t="shared" si="29"/>
        <v>8.36</v>
      </c>
      <c r="Q110" s="137">
        <f t="shared" si="29"/>
        <v>8.36</v>
      </c>
      <c r="R110" s="137">
        <f t="shared" si="29"/>
        <v>8.36</v>
      </c>
      <c r="S110" s="137">
        <f t="shared" si="30"/>
        <v>8.36</v>
      </c>
      <c r="T110" s="137">
        <f t="shared" si="30"/>
        <v>8.36</v>
      </c>
      <c r="U110" s="137">
        <f t="shared" si="30"/>
        <v>8.36</v>
      </c>
      <c r="V110" s="137">
        <f t="shared" si="30"/>
        <v>8.36</v>
      </c>
      <c r="W110" s="137">
        <f t="shared" si="30"/>
        <v>8.36</v>
      </c>
      <c r="X110" s="137">
        <f t="shared" si="30"/>
        <v>8.36</v>
      </c>
      <c r="Y110" s="137">
        <f t="shared" si="30"/>
        <v>8.36</v>
      </c>
      <c r="Z110" s="137">
        <f t="shared" si="30"/>
        <v>8.36</v>
      </c>
      <c r="AA110" s="137">
        <f t="shared" si="30"/>
        <v>8.36</v>
      </c>
      <c r="AB110" s="137">
        <f t="shared" si="30"/>
        <v>8.36</v>
      </c>
      <c r="AC110" s="137">
        <f t="shared" si="30"/>
        <v>8.36</v>
      </c>
      <c r="AD110" s="137">
        <f t="shared" si="30"/>
        <v>8.36</v>
      </c>
      <c r="AE110" s="137">
        <f t="shared" si="30"/>
        <v>8.36</v>
      </c>
      <c r="AF110" s="137">
        <f t="shared" si="30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9"/>
        <v>8</v>
      </c>
      <c r="D111" s="137">
        <f t="shared" si="29"/>
        <v>8</v>
      </c>
      <c r="E111" s="137">
        <f t="shared" si="29"/>
        <v>8</v>
      </c>
      <c r="F111" s="137">
        <f t="shared" si="29"/>
        <v>8</v>
      </c>
      <c r="G111" s="137">
        <f t="shared" si="29"/>
        <v>8</v>
      </c>
      <c r="H111" s="137">
        <f t="shared" si="29"/>
        <v>8</v>
      </c>
      <c r="I111" s="137">
        <v>5.4</v>
      </c>
      <c r="J111" s="137">
        <f t="shared" si="29"/>
        <v>5.4</v>
      </c>
      <c r="K111" s="137">
        <f t="shared" si="29"/>
        <v>5.4</v>
      </c>
      <c r="L111" s="137">
        <f t="shared" si="29"/>
        <v>5.4</v>
      </c>
      <c r="M111" s="137">
        <f t="shared" si="29"/>
        <v>5.4</v>
      </c>
      <c r="N111" s="137">
        <f t="shared" si="29"/>
        <v>5.4</v>
      </c>
      <c r="O111" s="137">
        <f t="shared" si="29"/>
        <v>5.4</v>
      </c>
      <c r="P111" s="137">
        <f t="shared" si="29"/>
        <v>5.4</v>
      </c>
      <c r="Q111" s="137">
        <f t="shared" si="29"/>
        <v>5.4</v>
      </c>
      <c r="R111" s="137">
        <f t="shared" si="29"/>
        <v>5.4</v>
      </c>
      <c r="S111" s="137">
        <f t="shared" si="30"/>
        <v>5.4</v>
      </c>
      <c r="T111" s="137">
        <f t="shared" si="30"/>
        <v>5.4</v>
      </c>
      <c r="U111" s="137">
        <f t="shared" si="30"/>
        <v>5.4</v>
      </c>
      <c r="V111" s="137">
        <f t="shared" si="30"/>
        <v>5.4</v>
      </c>
      <c r="W111" s="137">
        <f t="shared" si="30"/>
        <v>5.4</v>
      </c>
      <c r="X111" s="137">
        <f t="shared" si="30"/>
        <v>5.4</v>
      </c>
      <c r="Y111" s="137">
        <f t="shared" si="30"/>
        <v>5.4</v>
      </c>
      <c r="Z111" s="137">
        <f t="shared" si="30"/>
        <v>5.4</v>
      </c>
      <c r="AA111" s="137">
        <f t="shared" si="30"/>
        <v>5.4</v>
      </c>
      <c r="AB111" s="137">
        <f t="shared" si="30"/>
        <v>5.4</v>
      </c>
      <c r="AC111" s="137">
        <f t="shared" si="30"/>
        <v>5.4</v>
      </c>
      <c r="AD111" s="137">
        <f t="shared" si="30"/>
        <v>5.4</v>
      </c>
      <c r="AE111" s="137">
        <f t="shared" si="30"/>
        <v>5.4</v>
      </c>
      <c r="AF111" s="137">
        <f t="shared" si="30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9"/>
        <v>6.57</v>
      </c>
      <c r="D112" s="137">
        <f t="shared" si="29"/>
        <v>6.57</v>
      </c>
      <c r="E112" s="137">
        <f t="shared" si="29"/>
        <v>6.57</v>
      </c>
      <c r="F112" s="137">
        <f t="shared" si="29"/>
        <v>6.57</v>
      </c>
      <c r="G112" s="137">
        <f t="shared" si="29"/>
        <v>6.57</v>
      </c>
      <c r="H112" s="137">
        <f t="shared" si="29"/>
        <v>6.57</v>
      </c>
      <c r="I112" s="137">
        <f t="shared" si="29"/>
        <v>6.57</v>
      </c>
      <c r="J112" s="137">
        <f t="shared" si="29"/>
        <v>6.57</v>
      </c>
      <c r="K112" s="137">
        <f t="shared" si="29"/>
        <v>6.57</v>
      </c>
      <c r="L112" s="137">
        <f t="shared" si="29"/>
        <v>6.57</v>
      </c>
      <c r="M112" s="137">
        <f t="shared" si="29"/>
        <v>6.57</v>
      </c>
      <c r="N112" s="137">
        <f t="shared" si="29"/>
        <v>6.57</v>
      </c>
      <c r="O112" s="137">
        <f t="shared" si="29"/>
        <v>6.57</v>
      </c>
      <c r="P112" s="137">
        <f t="shared" si="29"/>
        <v>6.57</v>
      </c>
      <c r="Q112" s="137">
        <f t="shared" si="29"/>
        <v>6.57</v>
      </c>
      <c r="R112" s="137">
        <f t="shared" si="29"/>
        <v>6.57</v>
      </c>
      <c r="S112" s="137">
        <f t="shared" si="30"/>
        <v>6.57</v>
      </c>
      <c r="T112" s="137">
        <f t="shared" si="30"/>
        <v>6.57</v>
      </c>
      <c r="U112" s="137">
        <f t="shared" si="30"/>
        <v>6.57</v>
      </c>
      <c r="V112" s="137">
        <f t="shared" si="30"/>
        <v>6.57</v>
      </c>
      <c r="W112" s="137">
        <f t="shared" si="30"/>
        <v>6.57</v>
      </c>
      <c r="X112" s="137">
        <f t="shared" si="30"/>
        <v>6.57</v>
      </c>
      <c r="Y112" s="137">
        <f t="shared" si="30"/>
        <v>6.57</v>
      </c>
      <c r="Z112" s="137">
        <f t="shared" si="30"/>
        <v>6.57</v>
      </c>
      <c r="AA112" s="137">
        <f t="shared" si="30"/>
        <v>6.57</v>
      </c>
      <c r="AB112" s="137">
        <f t="shared" si="30"/>
        <v>6.57</v>
      </c>
      <c r="AC112" s="137">
        <f t="shared" si="30"/>
        <v>6.57</v>
      </c>
      <c r="AD112" s="137">
        <f t="shared" si="30"/>
        <v>6.57</v>
      </c>
      <c r="AE112" s="137">
        <f t="shared" si="30"/>
        <v>6.57</v>
      </c>
      <c r="AF112" s="137">
        <f t="shared" si="30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9"/>
        <v>3.43</v>
      </c>
      <c r="D113" s="137">
        <f t="shared" si="29"/>
        <v>3.43</v>
      </c>
      <c r="E113" s="137">
        <f t="shared" si="29"/>
        <v>3.43</v>
      </c>
      <c r="F113" s="137">
        <f t="shared" si="29"/>
        <v>3.43</v>
      </c>
      <c r="G113" s="137">
        <f t="shared" si="29"/>
        <v>3.43</v>
      </c>
      <c r="H113" s="137">
        <f t="shared" si="29"/>
        <v>3.43</v>
      </c>
      <c r="I113" s="137">
        <f t="shared" si="29"/>
        <v>3.43</v>
      </c>
      <c r="J113" s="137">
        <f t="shared" si="29"/>
        <v>3.43</v>
      </c>
      <c r="K113" s="137">
        <f t="shared" si="29"/>
        <v>3.43</v>
      </c>
      <c r="L113" s="137">
        <f t="shared" si="29"/>
        <v>3.43</v>
      </c>
      <c r="M113" s="137">
        <f t="shared" si="29"/>
        <v>3.43</v>
      </c>
      <c r="N113" s="137">
        <f t="shared" si="29"/>
        <v>3.43</v>
      </c>
      <c r="O113" s="137">
        <f t="shared" si="29"/>
        <v>3.43</v>
      </c>
      <c r="P113" s="137">
        <f t="shared" si="29"/>
        <v>3.43</v>
      </c>
      <c r="Q113" s="137">
        <f t="shared" si="29"/>
        <v>3.43</v>
      </c>
      <c r="R113" s="137">
        <f t="shared" si="29"/>
        <v>3.43</v>
      </c>
      <c r="S113" s="137">
        <f t="shared" si="30"/>
        <v>3.43</v>
      </c>
      <c r="T113" s="137">
        <f t="shared" si="30"/>
        <v>3.43</v>
      </c>
      <c r="U113" s="137">
        <f t="shared" si="30"/>
        <v>3.43</v>
      </c>
      <c r="V113" s="137">
        <f t="shared" si="30"/>
        <v>3.43</v>
      </c>
      <c r="W113" s="137">
        <f t="shared" si="30"/>
        <v>3.43</v>
      </c>
      <c r="X113" s="137">
        <f t="shared" si="30"/>
        <v>3.43</v>
      </c>
      <c r="Y113" s="137">
        <f t="shared" si="30"/>
        <v>3.43</v>
      </c>
      <c r="Z113" s="137">
        <f t="shared" si="30"/>
        <v>3.43</v>
      </c>
      <c r="AA113" s="137">
        <f t="shared" si="30"/>
        <v>3.43</v>
      </c>
      <c r="AB113" s="137">
        <f t="shared" si="30"/>
        <v>3.43</v>
      </c>
      <c r="AC113" s="137">
        <f t="shared" si="30"/>
        <v>3.43</v>
      </c>
      <c r="AD113" s="137">
        <f t="shared" si="30"/>
        <v>3.43</v>
      </c>
      <c r="AE113" s="137">
        <f t="shared" si="30"/>
        <v>3.43</v>
      </c>
      <c r="AF113" s="137">
        <f t="shared" si="30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9"/>
        <v>2.96</v>
      </c>
      <c r="D114" s="137">
        <f t="shared" si="29"/>
        <v>2.96</v>
      </c>
      <c r="E114" s="137">
        <f t="shared" si="29"/>
        <v>2.96</v>
      </c>
      <c r="F114" s="137">
        <f t="shared" si="29"/>
        <v>2.96</v>
      </c>
      <c r="G114" s="137">
        <f t="shared" si="29"/>
        <v>2.96</v>
      </c>
      <c r="H114" s="137">
        <f t="shared" si="29"/>
        <v>2.96</v>
      </c>
      <c r="I114" s="137">
        <f t="shared" si="29"/>
        <v>2.96</v>
      </c>
      <c r="J114" s="137">
        <f t="shared" si="29"/>
        <v>2.96</v>
      </c>
      <c r="K114" s="137">
        <f t="shared" si="29"/>
        <v>2.96</v>
      </c>
      <c r="L114" s="137">
        <f t="shared" si="29"/>
        <v>2.96</v>
      </c>
      <c r="M114" s="137">
        <f t="shared" si="29"/>
        <v>2.96</v>
      </c>
      <c r="N114" s="137">
        <f t="shared" si="29"/>
        <v>2.96</v>
      </c>
      <c r="O114" s="137">
        <f t="shared" si="29"/>
        <v>2.96</v>
      </c>
      <c r="P114" s="137">
        <f t="shared" si="29"/>
        <v>2.96</v>
      </c>
      <c r="Q114" s="137">
        <f t="shared" si="29"/>
        <v>2.96</v>
      </c>
      <c r="R114" s="137">
        <f t="shared" si="29"/>
        <v>2.96</v>
      </c>
      <c r="S114" s="137">
        <f t="shared" si="30"/>
        <v>2.96</v>
      </c>
      <c r="T114" s="137">
        <f t="shared" si="30"/>
        <v>2.96</v>
      </c>
      <c r="U114" s="137">
        <f t="shared" si="30"/>
        <v>2.96</v>
      </c>
      <c r="V114" s="137">
        <f t="shared" si="30"/>
        <v>2.96</v>
      </c>
      <c r="W114" s="137">
        <f t="shared" si="30"/>
        <v>2.96</v>
      </c>
      <c r="X114" s="137">
        <f t="shared" si="30"/>
        <v>2.96</v>
      </c>
      <c r="Y114" s="137">
        <f t="shared" si="30"/>
        <v>2.96</v>
      </c>
      <c r="Z114" s="137">
        <f t="shared" si="30"/>
        <v>2.96</v>
      </c>
      <c r="AA114" s="137">
        <f t="shared" si="30"/>
        <v>2.96</v>
      </c>
      <c r="AB114" s="137">
        <f t="shared" si="30"/>
        <v>2.96</v>
      </c>
      <c r="AC114" s="137">
        <f t="shared" si="30"/>
        <v>2.96</v>
      </c>
      <c r="AD114" s="137">
        <f t="shared" si="30"/>
        <v>2.96</v>
      </c>
      <c r="AE114" s="137">
        <f t="shared" si="30"/>
        <v>2.96</v>
      </c>
      <c r="AF114" s="137">
        <f t="shared" si="30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9"/>
        <v>8</v>
      </c>
      <c r="D115" s="137">
        <f t="shared" si="29"/>
        <v>8</v>
      </c>
      <c r="E115" s="137">
        <f t="shared" si="29"/>
        <v>8</v>
      </c>
      <c r="F115" s="137">
        <f t="shared" si="29"/>
        <v>8</v>
      </c>
      <c r="G115" s="137">
        <f t="shared" si="29"/>
        <v>8</v>
      </c>
      <c r="H115" s="137">
        <f t="shared" si="29"/>
        <v>8</v>
      </c>
      <c r="I115" s="137">
        <f t="shared" si="29"/>
        <v>8</v>
      </c>
      <c r="J115" s="137">
        <f t="shared" si="29"/>
        <v>8</v>
      </c>
      <c r="K115" s="137">
        <f t="shared" si="29"/>
        <v>8</v>
      </c>
      <c r="L115" s="137">
        <f t="shared" si="29"/>
        <v>8</v>
      </c>
      <c r="M115" s="137">
        <f t="shared" si="29"/>
        <v>8</v>
      </c>
      <c r="N115" s="137">
        <f t="shared" si="29"/>
        <v>8</v>
      </c>
      <c r="O115" s="137">
        <f t="shared" si="29"/>
        <v>8</v>
      </c>
      <c r="P115" s="137">
        <f t="shared" si="29"/>
        <v>8</v>
      </c>
      <c r="Q115" s="137">
        <f t="shared" si="29"/>
        <v>8</v>
      </c>
      <c r="R115" s="137">
        <f t="shared" si="29"/>
        <v>8</v>
      </c>
      <c r="S115" s="137">
        <f t="shared" si="30"/>
        <v>8</v>
      </c>
      <c r="T115" s="137">
        <f t="shared" si="30"/>
        <v>8</v>
      </c>
      <c r="U115" s="137">
        <f t="shared" si="30"/>
        <v>8</v>
      </c>
      <c r="V115" s="137">
        <f t="shared" si="30"/>
        <v>8</v>
      </c>
      <c r="W115" s="137">
        <f t="shared" si="30"/>
        <v>8</v>
      </c>
      <c r="X115" s="137">
        <f t="shared" si="30"/>
        <v>8</v>
      </c>
      <c r="Y115" s="137">
        <f t="shared" si="30"/>
        <v>8</v>
      </c>
      <c r="Z115" s="137">
        <f t="shared" si="30"/>
        <v>8</v>
      </c>
      <c r="AA115" s="137">
        <f t="shared" si="30"/>
        <v>8</v>
      </c>
      <c r="AB115" s="137">
        <f t="shared" si="30"/>
        <v>8</v>
      </c>
      <c r="AC115" s="137">
        <f t="shared" si="30"/>
        <v>8</v>
      </c>
      <c r="AD115" s="137">
        <f t="shared" si="30"/>
        <v>8</v>
      </c>
      <c r="AE115" s="137">
        <f t="shared" si="30"/>
        <v>8</v>
      </c>
      <c r="AF115" s="137">
        <f t="shared" si="30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9"/>
        <v>7</v>
      </c>
      <c r="E116" s="137">
        <f t="shared" si="29"/>
        <v>7</v>
      </c>
      <c r="F116" s="137">
        <f t="shared" si="29"/>
        <v>7</v>
      </c>
      <c r="G116" s="137">
        <f t="shared" si="29"/>
        <v>7</v>
      </c>
      <c r="H116" s="137">
        <f t="shared" si="29"/>
        <v>7</v>
      </c>
      <c r="I116" s="137">
        <f t="shared" si="29"/>
        <v>7</v>
      </c>
      <c r="J116" s="137">
        <f t="shared" si="29"/>
        <v>7</v>
      </c>
      <c r="K116" s="137">
        <f t="shared" si="29"/>
        <v>7</v>
      </c>
      <c r="L116" s="137">
        <f t="shared" si="29"/>
        <v>7</v>
      </c>
      <c r="M116" s="137">
        <f t="shared" si="29"/>
        <v>7</v>
      </c>
      <c r="N116" s="137">
        <f t="shared" si="29"/>
        <v>7</v>
      </c>
      <c r="O116" s="137">
        <f t="shared" si="29"/>
        <v>7</v>
      </c>
      <c r="P116" s="137">
        <f t="shared" si="29"/>
        <v>7</v>
      </c>
      <c r="Q116" s="137">
        <f t="shared" si="29"/>
        <v>7</v>
      </c>
      <c r="R116" s="137">
        <f t="shared" si="29"/>
        <v>7</v>
      </c>
      <c r="S116" s="137">
        <f t="shared" si="30"/>
        <v>7</v>
      </c>
      <c r="T116" s="137">
        <f t="shared" si="30"/>
        <v>7</v>
      </c>
      <c r="U116" s="137">
        <f t="shared" si="30"/>
        <v>7</v>
      </c>
      <c r="V116" s="137">
        <f t="shared" si="30"/>
        <v>7</v>
      </c>
      <c r="W116" s="137">
        <f t="shared" si="30"/>
        <v>7</v>
      </c>
      <c r="X116" s="137">
        <f t="shared" si="30"/>
        <v>7</v>
      </c>
      <c r="Y116" s="137">
        <f t="shared" si="30"/>
        <v>7</v>
      </c>
      <c r="Z116" s="137">
        <f t="shared" si="30"/>
        <v>7</v>
      </c>
      <c r="AA116" s="137">
        <f t="shared" si="30"/>
        <v>7</v>
      </c>
      <c r="AB116" s="137">
        <f t="shared" si="30"/>
        <v>7</v>
      </c>
      <c r="AC116" s="137">
        <f t="shared" si="30"/>
        <v>7</v>
      </c>
      <c r="AD116" s="137">
        <f t="shared" si="30"/>
        <v>7</v>
      </c>
      <c r="AE116" s="137">
        <f t="shared" si="30"/>
        <v>7</v>
      </c>
      <c r="AF116" s="137">
        <f t="shared" si="30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1">B117</f>
        <v>3.47</v>
      </c>
      <c r="D117" s="137">
        <f t="shared" si="31"/>
        <v>3.47</v>
      </c>
      <c r="E117" s="137">
        <f t="shared" si="31"/>
        <v>3.47</v>
      </c>
      <c r="F117" s="137">
        <f t="shared" si="31"/>
        <v>3.47</v>
      </c>
      <c r="G117" s="137">
        <f t="shared" si="31"/>
        <v>3.47</v>
      </c>
      <c r="H117" s="137">
        <f t="shared" si="31"/>
        <v>3.47</v>
      </c>
      <c r="I117" s="137">
        <f t="shared" si="31"/>
        <v>3.47</v>
      </c>
      <c r="J117" s="137">
        <f t="shared" si="31"/>
        <v>3.47</v>
      </c>
      <c r="K117" s="137">
        <f t="shared" si="31"/>
        <v>3.47</v>
      </c>
      <c r="L117" s="137">
        <f t="shared" si="31"/>
        <v>3.47</v>
      </c>
      <c r="M117" s="137">
        <f t="shared" si="31"/>
        <v>3.47</v>
      </c>
      <c r="N117" s="137">
        <f t="shared" si="31"/>
        <v>3.47</v>
      </c>
      <c r="O117" s="137">
        <f t="shared" si="31"/>
        <v>3.47</v>
      </c>
      <c r="P117" s="137">
        <f t="shared" si="31"/>
        <v>3.47</v>
      </c>
      <c r="Q117" s="137">
        <f t="shared" si="31"/>
        <v>3.47</v>
      </c>
      <c r="R117" s="137">
        <f t="shared" si="31"/>
        <v>3.47</v>
      </c>
      <c r="S117" s="137">
        <f t="shared" si="30"/>
        <v>3.47</v>
      </c>
      <c r="T117" s="137">
        <f t="shared" si="30"/>
        <v>3.47</v>
      </c>
      <c r="U117" s="137">
        <f t="shared" si="30"/>
        <v>3.47</v>
      </c>
      <c r="V117" s="137">
        <f t="shared" si="30"/>
        <v>3.47</v>
      </c>
      <c r="W117" s="137">
        <f t="shared" si="30"/>
        <v>3.47</v>
      </c>
      <c r="X117" s="137">
        <f t="shared" si="30"/>
        <v>3.47</v>
      </c>
      <c r="Y117" s="137">
        <f t="shared" si="30"/>
        <v>3.47</v>
      </c>
      <c r="Z117" s="137">
        <f t="shared" si="30"/>
        <v>3.47</v>
      </c>
      <c r="AA117" s="137">
        <f t="shared" si="30"/>
        <v>3.47</v>
      </c>
      <c r="AB117" s="137">
        <f t="shared" si="30"/>
        <v>3.47</v>
      </c>
      <c r="AC117" s="137">
        <f t="shared" si="30"/>
        <v>3.47</v>
      </c>
      <c r="AD117" s="137">
        <f t="shared" si="30"/>
        <v>3.47</v>
      </c>
      <c r="AE117" s="137">
        <f t="shared" si="30"/>
        <v>3.47</v>
      </c>
      <c r="AF117" s="137">
        <f t="shared" si="30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1"/>
        <v>2.1</v>
      </c>
      <c r="D118" s="137">
        <f t="shared" si="31"/>
        <v>2.1</v>
      </c>
      <c r="E118" s="137">
        <f t="shared" si="31"/>
        <v>2.1</v>
      </c>
      <c r="F118" s="137">
        <f t="shared" si="31"/>
        <v>2.1</v>
      </c>
      <c r="G118" s="137">
        <f t="shared" si="31"/>
        <v>2.1</v>
      </c>
      <c r="H118" s="137">
        <f t="shared" si="31"/>
        <v>2.1</v>
      </c>
      <c r="I118" s="137">
        <f t="shared" si="31"/>
        <v>2.1</v>
      </c>
      <c r="J118" s="137">
        <f t="shared" si="31"/>
        <v>2.1</v>
      </c>
      <c r="K118" s="137">
        <f t="shared" si="31"/>
        <v>2.1</v>
      </c>
      <c r="L118" s="137">
        <f t="shared" si="31"/>
        <v>2.1</v>
      </c>
      <c r="M118" s="137">
        <f t="shared" si="31"/>
        <v>2.1</v>
      </c>
      <c r="N118" s="137">
        <f t="shared" si="31"/>
        <v>2.1</v>
      </c>
      <c r="O118" s="137">
        <f t="shared" si="31"/>
        <v>2.1</v>
      </c>
      <c r="P118" s="137">
        <f t="shared" si="31"/>
        <v>2.1</v>
      </c>
      <c r="Q118" s="137">
        <f t="shared" si="31"/>
        <v>2.1</v>
      </c>
      <c r="R118" s="137">
        <f t="shared" si="31"/>
        <v>2.1</v>
      </c>
      <c r="S118" s="137">
        <f t="shared" si="30"/>
        <v>2.1</v>
      </c>
      <c r="T118" s="137">
        <f t="shared" si="30"/>
        <v>2.1</v>
      </c>
      <c r="U118" s="137">
        <f t="shared" si="30"/>
        <v>2.1</v>
      </c>
      <c r="V118" s="137">
        <f t="shared" si="30"/>
        <v>2.1</v>
      </c>
      <c r="W118" s="137">
        <f t="shared" si="30"/>
        <v>2.1</v>
      </c>
      <c r="X118" s="137">
        <f t="shared" si="30"/>
        <v>2.1</v>
      </c>
      <c r="Y118" s="137">
        <f t="shared" si="30"/>
        <v>2.1</v>
      </c>
      <c r="Z118" s="137">
        <f t="shared" si="30"/>
        <v>2.1</v>
      </c>
      <c r="AA118" s="137">
        <f t="shared" si="30"/>
        <v>2.1</v>
      </c>
      <c r="AB118" s="137">
        <f t="shared" si="30"/>
        <v>2.1</v>
      </c>
      <c r="AC118" s="137">
        <f t="shared" si="30"/>
        <v>2.1</v>
      </c>
      <c r="AD118" s="137">
        <f t="shared" si="30"/>
        <v>2.1</v>
      </c>
      <c r="AE118" s="137">
        <f t="shared" si="30"/>
        <v>2.1</v>
      </c>
      <c r="AF118" s="137">
        <f t="shared" si="30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1"/>
        <v>9.3000000000000007</v>
      </c>
      <c r="D119" s="137">
        <f t="shared" si="31"/>
        <v>9.3000000000000007</v>
      </c>
      <c r="E119" s="137">
        <f t="shared" si="31"/>
        <v>9.3000000000000007</v>
      </c>
      <c r="F119" s="137">
        <f t="shared" si="31"/>
        <v>9.3000000000000007</v>
      </c>
      <c r="G119" s="137">
        <f t="shared" si="31"/>
        <v>9.3000000000000007</v>
      </c>
      <c r="H119" s="137">
        <f t="shared" si="31"/>
        <v>9.3000000000000007</v>
      </c>
      <c r="I119" s="137">
        <f t="shared" si="31"/>
        <v>9.3000000000000007</v>
      </c>
      <c r="J119" s="137">
        <f t="shared" si="31"/>
        <v>9.3000000000000007</v>
      </c>
      <c r="K119" s="137">
        <f t="shared" si="31"/>
        <v>9.3000000000000007</v>
      </c>
      <c r="L119" s="137">
        <f t="shared" si="31"/>
        <v>9.3000000000000007</v>
      </c>
      <c r="M119" s="137">
        <f t="shared" si="31"/>
        <v>9.3000000000000007</v>
      </c>
      <c r="N119" s="137">
        <f t="shared" si="31"/>
        <v>9.3000000000000007</v>
      </c>
      <c r="O119" s="137">
        <f t="shared" si="31"/>
        <v>9.3000000000000007</v>
      </c>
      <c r="P119" s="137">
        <f t="shared" si="31"/>
        <v>9.3000000000000007</v>
      </c>
      <c r="Q119" s="137">
        <f t="shared" si="31"/>
        <v>9.3000000000000007</v>
      </c>
      <c r="R119" s="137">
        <f t="shared" si="31"/>
        <v>9.3000000000000007</v>
      </c>
      <c r="S119" s="137">
        <f t="shared" si="30"/>
        <v>9.3000000000000007</v>
      </c>
      <c r="T119" s="137">
        <f t="shared" si="30"/>
        <v>9.3000000000000007</v>
      </c>
      <c r="U119" s="137">
        <f t="shared" si="30"/>
        <v>9.3000000000000007</v>
      </c>
      <c r="V119" s="137">
        <f t="shared" si="30"/>
        <v>9.3000000000000007</v>
      </c>
      <c r="W119" s="137">
        <f t="shared" si="30"/>
        <v>9.3000000000000007</v>
      </c>
      <c r="X119" s="137">
        <f t="shared" si="30"/>
        <v>9.3000000000000007</v>
      </c>
      <c r="Y119" s="137">
        <f t="shared" si="30"/>
        <v>9.3000000000000007</v>
      </c>
      <c r="Z119" s="137">
        <f t="shared" si="30"/>
        <v>9.3000000000000007</v>
      </c>
      <c r="AA119" s="137">
        <f t="shared" si="30"/>
        <v>9.3000000000000007</v>
      </c>
      <c r="AB119" s="137">
        <f t="shared" si="30"/>
        <v>9.3000000000000007</v>
      </c>
      <c r="AC119" s="137">
        <f t="shared" si="30"/>
        <v>9.3000000000000007</v>
      </c>
      <c r="AD119" s="137">
        <f t="shared" si="30"/>
        <v>9.3000000000000007</v>
      </c>
      <c r="AE119" s="137">
        <f t="shared" si="30"/>
        <v>9.3000000000000007</v>
      </c>
      <c r="AF119" s="137">
        <f t="shared" si="30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1"/>
        <v>0</v>
      </c>
      <c r="D120" s="137">
        <f t="shared" si="31"/>
        <v>0</v>
      </c>
      <c r="E120" s="137">
        <f t="shared" si="31"/>
        <v>0</v>
      </c>
      <c r="F120" s="137">
        <f t="shared" si="31"/>
        <v>0</v>
      </c>
      <c r="G120" s="137">
        <f t="shared" si="31"/>
        <v>0</v>
      </c>
      <c r="H120" s="137">
        <f t="shared" si="31"/>
        <v>0</v>
      </c>
      <c r="I120" s="137">
        <f t="shared" si="31"/>
        <v>0</v>
      </c>
      <c r="J120" s="137">
        <f t="shared" si="31"/>
        <v>0</v>
      </c>
      <c r="K120" s="137">
        <f t="shared" si="31"/>
        <v>0</v>
      </c>
      <c r="L120" s="137">
        <f t="shared" si="31"/>
        <v>0</v>
      </c>
      <c r="M120" s="137">
        <f t="shared" si="31"/>
        <v>0</v>
      </c>
      <c r="N120" s="137">
        <f t="shared" si="31"/>
        <v>0</v>
      </c>
      <c r="O120" s="137">
        <f t="shared" si="31"/>
        <v>0</v>
      </c>
      <c r="P120" s="137">
        <f t="shared" si="31"/>
        <v>0</v>
      </c>
      <c r="Q120" s="137">
        <f t="shared" si="31"/>
        <v>0</v>
      </c>
      <c r="R120" s="137">
        <f t="shared" si="31"/>
        <v>0</v>
      </c>
      <c r="S120" s="137">
        <f t="shared" si="30"/>
        <v>0</v>
      </c>
      <c r="T120" s="137">
        <f t="shared" si="30"/>
        <v>0</v>
      </c>
      <c r="U120" s="137">
        <f t="shared" si="30"/>
        <v>0</v>
      </c>
      <c r="V120" s="137">
        <f t="shared" si="30"/>
        <v>0</v>
      </c>
      <c r="W120" s="137">
        <f t="shared" si="30"/>
        <v>0</v>
      </c>
      <c r="X120" s="137">
        <f t="shared" si="30"/>
        <v>0</v>
      </c>
      <c r="Y120" s="137">
        <f t="shared" si="30"/>
        <v>0</v>
      </c>
      <c r="Z120" s="137">
        <f t="shared" si="30"/>
        <v>0</v>
      </c>
      <c r="AA120" s="137">
        <f t="shared" si="30"/>
        <v>0</v>
      </c>
      <c r="AB120" s="137">
        <f t="shared" si="30"/>
        <v>0</v>
      </c>
      <c r="AC120" s="137">
        <f t="shared" si="30"/>
        <v>0</v>
      </c>
      <c r="AD120" s="137">
        <f t="shared" si="30"/>
        <v>0</v>
      </c>
      <c r="AE120" s="137">
        <f t="shared" si="30"/>
        <v>0</v>
      </c>
      <c r="AF120" s="137">
        <f t="shared" si="30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1"/>
        <v>0</v>
      </c>
      <c r="D121" s="137">
        <f t="shared" si="31"/>
        <v>0</v>
      </c>
      <c r="E121" s="137">
        <f t="shared" si="31"/>
        <v>0</v>
      </c>
      <c r="F121" s="137">
        <f t="shared" si="31"/>
        <v>0</v>
      </c>
      <c r="G121" s="137">
        <f t="shared" si="31"/>
        <v>0</v>
      </c>
      <c r="H121" s="137">
        <f t="shared" si="31"/>
        <v>0</v>
      </c>
      <c r="I121" s="137">
        <f t="shared" si="31"/>
        <v>0</v>
      </c>
      <c r="J121" s="137">
        <f t="shared" si="31"/>
        <v>0</v>
      </c>
      <c r="K121" s="137">
        <f t="shared" si="31"/>
        <v>0</v>
      </c>
      <c r="L121" s="137">
        <f t="shared" si="31"/>
        <v>0</v>
      </c>
      <c r="M121" s="137">
        <f t="shared" si="31"/>
        <v>0</v>
      </c>
      <c r="N121" s="137">
        <f t="shared" si="31"/>
        <v>0</v>
      </c>
      <c r="O121" s="137">
        <f t="shared" si="31"/>
        <v>0</v>
      </c>
      <c r="P121" s="137">
        <f t="shared" si="31"/>
        <v>0</v>
      </c>
      <c r="Q121" s="137">
        <f t="shared" si="31"/>
        <v>0</v>
      </c>
      <c r="R121" s="137">
        <f t="shared" si="31"/>
        <v>0</v>
      </c>
      <c r="S121" s="137">
        <f t="shared" si="30"/>
        <v>0</v>
      </c>
      <c r="T121" s="137">
        <f t="shared" si="30"/>
        <v>0</v>
      </c>
      <c r="U121" s="137">
        <f t="shared" si="30"/>
        <v>0</v>
      </c>
      <c r="V121" s="137">
        <f t="shared" si="30"/>
        <v>0</v>
      </c>
      <c r="W121" s="137">
        <f t="shared" si="30"/>
        <v>0</v>
      </c>
      <c r="X121" s="137">
        <f t="shared" si="30"/>
        <v>0</v>
      </c>
      <c r="Y121" s="137">
        <f t="shared" si="30"/>
        <v>0</v>
      </c>
      <c r="Z121" s="137">
        <f t="shared" si="30"/>
        <v>0</v>
      </c>
      <c r="AA121" s="137">
        <f t="shared" si="30"/>
        <v>0</v>
      </c>
      <c r="AB121" s="137">
        <f t="shared" si="30"/>
        <v>0</v>
      </c>
      <c r="AC121" s="137">
        <f t="shared" si="30"/>
        <v>0</v>
      </c>
      <c r="AD121" s="137">
        <f t="shared" si="30"/>
        <v>0</v>
      </c>
      <c r="AE121" s="137">
        <f t="shared" si="30"/>
        <v>0</v>
      </c>
      <c r="AF121" s="137">
        <f t="shared" si="30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1"/>
        <v>5</v>
      </c>
      <c r="D122" s="137">
        <f t="shared" si="31"/>
        <v>5</v>
      </c>
      <c r="E122" s="137">
        <f t="shared" si="31"/>
        <v>5</v>
      </c>
      <c r="F122" s="137">
        <f t="shared" si="31"/>
        <v>5</v>
      </c>
      <c r="G122" s="137">
        <f t="shared" si="31"/>
        <v>5</v>
      </c>
      <c r="H122" s="137">
        <f t="shared" si="31"/>
        <v>5</v>
      </c>
      <c r="I122" s="137">
        <f t="shared" si="31"/>
        <v>5</v>
      </c>
      <c r="J122" s="137">
        <f t="shared" si="31"/>
        <v>5</v>
      </c>
      <c r="K122" s="137">
        <f t="shared" si="31"/>
        <v>5</v>
      </c>
      <c r="L122" s="137">
        <f t="shared" si="31"/>
        <v>5</v>
      </c>
      <c r="M122" s="137">
        <f t="shared" si="31"/>
        <v>5</v>
      </c>
      <c r="N122" s="137">
        <f t="shared" si="31"/>
        <v>5</v>
      </c>
      <c r="O122" s="137">
        <f t="shared" si="31"/>
        <v>5</v>
      </c>
      <c r="P122" s="137">
        <f t="shared" si="31"/>
        <v>5</v>
      </c>
      <c r="Q122" s="137">
        <f t="shared" si="31"/>
        <v>5</v>
      </c>
      <c r="R122" s="137">
        <f t="shared" si="31"/>
        <v>5</v>
      </c>
      <c r="S122" s="137">
        <f t="shared" si="30"/>
        <v>5</v>
      </c>
      <c r="T122" s="137">
        <f t="shared" si="30"/>
        <v>5</v>
      </c>
      <c r="U122" s="137">
        <f t="shared" si="30"/>
        <v>5</v>
      </c>
      <c r="V122" s="137">
        <f t="shared" si="30"/>
        <v>5</v>
      </c>
      <c r="W122" s="137">
        <f t="shared" si="30"/>
        <v>5</v>
      </c>
      <c r="X122" s="137">
        <f t="shared" si="30"/>
        <v>5</v>
      </c>
      <c r="Y122" s="137">
        <f t="shared" si="30"/>
        <v>5</v>
      </c>
      <c r="Z122" s="137">
        <f t="shared" si="30"/>
        <v>5</v>
      </c>
      <c r="AA122" s="137">
        <f t="shared" si="30"/>
        <v>5</v>
      </c>
      <c r="AB122" s="137">
        <f t="shared" si="30"/>
        <v>5</v>
      </c>
      <c r="AC122" s="137">
        <f t="shared" si="30"/>
        <v>5</v>
      </c>
      <c r="AD122" s="137">
        <f t="shared" si="30"/>
        <v>5</v>
      </c>
      <c r="AE122" s="137">
        <f t="shared" si="30"/>
        <v>5</v>
      </c>
      <c r="AF122" s="137">
        <f t="shared" si="30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1"/>
        <v>1</v>
      </c>
      <c r="D123" s="137">
        <f t="shared" si="31"/>
        <v>1</v>
      </c>
      <c r="E123" s="137">
        <f t="shared" si="31"/>
        <v>1</v>
      </c>
      <c r="F123" s="137">
        <f t="shared" si="31"/>
        <v>1</v>
      </c>
      <c r="G123" s="137">
        <f t="shared" si="31"/>
        <v>1</v>
      </c>
      <c r="H123" s="137">
        <f t="shared" si="31"/>
        <v>1</v>
      </c>
      <c r="I123" s="137">
        <f t="shared" si="31"/>
        <v>1</v>
      </c>
      <c r="J123" s="137">
        <f t="shared" si="31"/>
        <v>1</v>
      </c>
      <c r="K123" s="137">
        <f t="shared" si="31"/>
        <v>1</v>
      </c>
      <c r="L123" s="137">
        <f t="shared" si="31"/>
        <v>1</v>
      </c>
      <c r="M123" s="137">
        <f t="shared" si="31"/>
        <v>1</v>
      </c>
      <c r="N123" s="137">
        <f t="shared" si="31"/>
        <v>1</v>
      </c>
      <c r="O123" s="137">
        <f t="shared" si="31"/>
        <v>1</v>
      </c>
      <c r="P123" s="137">
        <f t="shared" si="31"/>
        <v>1</v>
      </c>
      <c r="Q123" s="137">
        <f t="shared" si="31"/>
        <v>1</v>
      </c>
      <c r="R123" s="137">
        <f t="shared" si="31"/>
        <v>1</v>
      </c>
      <c r="S123" s="137">
        <f t="shared" si="30"/>
        <v>1</v>
      </c>
      <c r="T123" s="137">
        <f t="shared" si="30"/>
        <v>1</v>
      </c>
      <c r="U123" s="137">
        <f t="shared" si="30"/>
        <v>1</v>
      </c>
      <c r="V123" s="137">
        <f t="shared" si="30"/>
        <v>1</v>
      </c>
      <c r="W123" s="137">
        <f t="shared" si="30"/>
        <v>1</v>
      </c>
      <c r="X123" s="137">
        <f t="shared" si="30"/>
        <v>1</v>
      </c>
      <c r="Y123" s="137">
        <f t="shared" si="30"/>
        <v>1</v>
      </c>
      <c r="Z123" s="137">
        <f t="shared" si="30"/>
        <v>1</v>
      </c>
      <c r="AA123" s="137">
        <f t="shared" si="30"/>
        <v>1</v>
      </c>
      <c r="AB123" s="137">
        <f t="shared" si="30"/>
        <v>1</v>
      </c>
      <c r="AC123" s="137">
        <f t="shared" si="30"/>
        <v>1</v>
      </c>
      <c r="AD123" s="137">
        <f t="shared" si="30"/>
        <v>1</v>
      </c>
      <c r="AE123" s="137">
        <f t="shared" si="30"/>
        <v>1</v>
      </c>
      <c r="AF123" s="137">
        <f t="shared" si="30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1"/>
        <v>1.58</v>
      </c>
      <c r="D124" s="137">
        <f t="shared" si="31"/>
        <v>1.58</v>
      </c>
      <c r="E124" s="137">
        <f t="shared" si="31"/>
        <v>1.58</v>
      </c>
      <c r="F124" s="137">
        <f t="shared" si="31"/>
        <v>1.58</v>
      </c>
      <c r="G124" s="137">
        <f t="shared" si="31"/>
        <v>1.58</v>
      </c>
      <c r="H124" s="137">
        <f t="shared" si="31"/>
        <v>1.58</v>
      </c>
      <c r="I124" s="137">
        <f t="shared" si="31"/>
        <v>1.58</v>
      </c>
      <c r="J124" s="137">
        <f t="shared" si="31"/>
        <v>1.58</v>
      </c>
      <c r="K124" s="137">
        <f t="shared" si="31"/>
        <v>1.58</v>
      </c>
      <c r="L124" s="137">
        <f t="shared" si="31"/>
        <v>1.58</v>
      </c>
      <c r="M124" s="137">
        <f t="shared" si="31"/>
        <v>1.58</v>
      </c>
      <c r="N124" s="137">
        <f t="shared" si="31"/>
        <v>1.58</v>
      </c>
      <c r="O124" s="137">
        <f t="shared" si="31"/>
        <v>1.58</v>
      </c>
      <c r="P124" s="137">
        <f t="shared" si="31"/>
        <v>1.58</v>
      </c>
      <c r="Q124" s="137">
        <f t="shared" si="31"/>
        <v>1.58</v>
      </c>
      <c r="R124" s="137">
        <f t="shared" si="31"/>
        <v>1.58</v>
      </c>
      <c r="S124" s="137">
        <f t="shared" si="30"/>
        <v>1.58</v>
      </c>
      <c r="T124" s="137">
        <f t="shared" si="30"/>
        <v>1.58</v>
      </c>
      <c r="U124" s="137">
        <f t="shared" si="30"/>
        <v>1.58</v>
      </c>
      <c r="V124" s="137">
        <f t="shared" si="30"/>
        <v>1.58</v>
      </c>
      <c r="W124" s="137">
        <f t="shared" si="30"/>
        <v>1.58</v>
      </c>
      <c r="X124" s="137">
        <f t="shared" si="30"/>
        <v>1.58</v>
      </c>
      <c r="Y124" s="137">
        <f t="shared" si="30"/>
        <v>1.58</v>
      </c>
      <c r="Z124" s="137">
        <f t="shared" si="30"/>
        <v>1.58</v>
      </c>
      <c r="AA124" s="137">
        <f t="shared" si="30"/>
        <v>1.58</v>
      </c>
      <c r="AB124" s="137">
        <f t="shared" si="30"/>
        <v>1.58</v>
      </c>
      <c r="AC124" s="137">
        <f t="shared" si="30"/>
        <v>1.58</v>
      </c>
      <c r="AD124" s="137">
        <f t="shared" si="30"/>
        <v>1.58</v>
      </c>
      <c r="AE124" s="137">
        <f t="shared" si="30"/>
        <v>1.58</v>
      </c>
      <c r="AF124" s="137">
        <f t="shared" si="30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1"/>
        <v>1.46</v>
      </c>
      <c r="D125" s="137">
        <f t="shared" si="31"/>
        <v>1.46</v>
      </c>
      <c r="E125" s="137">
        <f t="shared" si="31"/>
        <v>1.46</v>
      </c>
      <c r="F125" s="137">
        <f t="shared" si="31"/>
        <v>1.46</v>
      </c>
      <c r="G125" s="137">
        <f t="shared" si="31"/>
        <v>1.46</v>
      </c>
      <c r="H125" s="137">
        <f t="shared" si="31"/>
        <v>1.46</v>
      </c>
      <c r="I125" s="137">
        <f t="shared" si="31"/>
        <v>1.46</v>
      </c>
      <c r="J125" s="137">
        <f t="shared" si="31"/>
        <v>1.46</v>
      </c>
      <c r="K125" s="137">
        <f t="shared" si="31"/>
        <v>1.46</v>
      </c>
      <c r="L125" s="137">
        <f t="shared" si="31"/>
        <v>1.46</v>
      </c>
      <c r="M125" s="137">
        <f t="shared" si="31"/>
        <v>1.46</v>
      </c>
      <c r="N125" s="137">
        <f t="shared" si="31"/>
        <v>1.46</v>
      </c>
      <c r="O125" s="137">
        <f t="shared" si="31"/>
        <v>1.46</v>
      </c>
      <c r="P125" s="137">
        <f t="shared" si="31"/>
        <v>1.46</v>
      </c>
      <c r="Q125" s="137">
        <f t="shared" si="31"/>
        <v>1.46</v>
      </c>
      <c r="R125" s="137">
        <f t="shared" si="31"/>
        <v>1.46</v>
      </c>
      <c r="S125" s="137">
        <f t="shared" ref="S125:AF126" si="32">R125</f>
        <v>1.46</v>
      </c>
      <c r="T125" s="137">
        <f t="shared" si="32"/>
        <v>1.46</v>
      </c>
      <c r="U125" s="137">
        <f t="shared" si="32"/>
        <v>1.46</v>
      </c>
      <c r="V125" s="137">
        <f t="shared" si="32"/>
        <v>1.46</v>
      </c>
      <c r="W125" s="137">
        <f t="shared" si="32"/>
        <v>1.46</v>
      </c>
      <c r="X125" s="137">
        <f t="shared" si="32"/>
        <v>1.46</v>
      </c>
      <c r="Y125" s="137">
        <f t="shared" si="32"/>
        <v>1.46</v>
      </c>
      <c r="Z125" s="137">
        <f t="shared" si="32"/>
        <v>1.46</v>
      </c>
      <c r="AA125" s="137">
        <f t="shared" si="32"/>
        <v>1.46</v>
      </c>
      <c r="AB125" s="137">
        <f t="shared" si="32"/>
        <v>1.46</v>
      </c>
      <c r="AC125" s="137">
        <f t="shared" si="32"/>
        <v>1.46</v>
      </c>
      <c r="AD125" s="137">
        <f t="shared" si="32"/>
        <v>1.46</v>
      </c>
      <c r="AE125" s="137">
        <f t="shared" si="32"/>
        <v>1.46</v>
      </c>
      <c r="AF125" s="137">
        <f t="shared" si="32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1"/>
        <v>1.48</v>
      </c>
      <c r="D126" s="137">
        <f t="shared" si="31"/>
        <v>1.48</v>
      </c>
      <c r="E126" s="137">
        <f t="shared" si="31"/>
        <v>1.48</v>
      </c>
      <c r="F126" s="137">
        <f t="shared" si="31"/>
        <v>1.48</v>
      </c>
      <c r="G126" s="137">
        <f t="shared" si="31"/>
        <v>1.48</v>
      </c>
      <c r="H126" s="137">
        <f t="shared" si="31"/>
        <v>1.48</v>
      </c>
      <c r="I126" s="137">
        <f t="shared" si="31"/>
        <v>1.48</v>
      </c>
      <c r="J126" s="137">
        <f t="shared" si="31"/>
        <v>1.48</v>
      </c>
      <c r="K126" s="137">
        <f t="shared" si="31"/>
        <v>1.48</v>
      </c>
      <c r="L126" s="137">
        <f t="shared" si="31"/>
        <v>1.48</v>
      </c>
      <c r="M126" s="137">
        <f t="shared" si="31"/>
        <v>1.48</v>
      </c>
      <c r="N126" s="137">
        <f t="shared" si="31"/>
        <v>1.48</v>
      </c>
      <c r="O126" s="137">
        <f t="shared" si="31"/>
        <v>1.48</v>
      </c>
      <c r="P126" s="137">
        <f t="shared" si="31"/>
        <v>1.48</v>
      </c>
      <c r="Q126" s="137">
        <f t="shared" si="31"/>
        <v>1.48</v>
      </c>
      <c r="R126" s="137">
        <f t="shared" si="31"/>
        <v>1.48</v>
      </c>
      <c r="S126" s="137">
        <f t="shared" si="32"/>
        <v>1.48</v>
      </c>
      <c r="T126" s="137">
        <f t="shared" si="32"/>
        <v>1.48</v>
      </c>
      <c r="U126" s="137">
        <f t="shared" si="32"/>
        <v>1.48</v>
      </c>
      <c r="V126" s="137">
        <f t="shared" si="32"/>
        <v>1.48</v>
      </c>
      <c r="W126" s="137">
        <f t="shared" si="32"/>
        <v>1.48</v>
      </c>
      <c r="X126" s="137">
        <f t="shared" si="32"/>
        <v>1.48</v>
      </c>
      <c r="Y126" s="137">
        <f t="shared" si="32"/>
        <v>1.48</v>
      </c>
      <c r="Z126" s="137">
        <f t="shared" si="32"/>
        <v>1.48</v>
      </c>
      <c r="AA126" s="137">
        <f t="shared" si="32"/>
        <v>1.48</v>
      </c>
      <c r="AB126" s="137">
        <f t="shared" si="32"/>
        <v>1.48</v>
      </c>
      <c r="AC126" s="137">
        <f t="shared" si="32"/>
        <v>1.48</v>
      </c>
      <c r="AD126" s="137">
        <f t="shared" si="32"/>
        <v>1.48</v>
      </c>
      <c r="AE126" s="137">
        <f t="shared" si="32"/>
        <v>1.48</v>
      </c>
      <c r="AF126" s="137">
        <f t="shared" si="32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3">B128</f>
        <v>2.2000000000000002</v>
      </c>
      <c r="D128" s="137">
        <f t="shared" si="33"/>
        <v>2.2000000000000002</v>
      </c>
      <c r="E128" s="137">
        <f t="shared" si="33"/>
        <v>2.2000000000000002</v>
      </c>
      <c r="F128" s="137">
        <f t="shared" si="33"/>
        <v>2.2000000000000002</v>
      </c>
      <c r="G128" s="137">
        <f t="shared" si="33"/>
        <v>2.2000000000000002</v>
      </c>
      <c r="H128" s="137">
        <f t="shared" si="33"/>
        <v>2.2000000000000002</v>
      </c>
      <c r="I128" s="137">
        <f t="shared" si="33"/>
        <v>2.2000000000000002</v>
      </c>
      <c r="J128" s="137">
        <f t="shared" si="33"/>
        <v>2.2000000000000002</v>
      </c>
      <c r="K128" s="137">
        <f t="shared" si="33"/>
        <v>2.2000000000000002</v>
      </c>
      <c r="L128" s="137">
        <f t="shared" si="33"/>
        <v>2.2000000000000002</v>
      </c>
      <c r="M128" s="137">
        <f t="shared" si="33"/>
        <v>2.2000000000000002</v>
      </c>
      <c r="N128" s="137">
        <f t="shared" si="33"/>
        <v>2.2000000000000002</v>
      </c>
      <c r="O128" s="137">
        <f t="shared" si="33"/>
        <v>2.2000000000000002</v>
      </c>
      <c r="P128" s="137">
        <f t="shared" si="33"/>
        <v>2.2000000000000002</v>
      </c>
      <c r="Q128" s="137">
        <f t="shared" si="33"/>
        <v>2.2000000000000002</v>
      </c>
      <c r="R128" s="137">
        <f t="shared" si="33"/>
        <v>2.2000000000000002</v>
      </c>
      <c r="S128" s="137">
        <f t="shared" ref="S128:AF135" si="34">R128</f>
        <v>2.2000000000000002</v>
      </c>
      <c r="T128" s="137">
        <f t="shared" si="34"/>
        <v>2.2000000000000002</v>
      </c>
      <c r="U128" s="137">
        <f t="shared" si="34"/>
        <v>2.2000000000000002</v>
      </c>
      <c r="V128" s="137">
        <f t="shared" si="34"/>
        <v>2.2000000000000002</v>
      </c>
      <c r="W128" s="137">
        <f t="shared" si="34"/>
        <v>2.2000000000000002</v>
      </c>
      <c r="X128" s="137">
        <f t="shared" si="34"/>
        <v>2.2000000000000002</v>
      </c>
      <c r="Y128" s="137">
        <f t="shared" si="34"/>
        <v>2.2000000000000002</v>
      </c>
      <c r="Z128" s="137">
        <f t="shared" si="34"/>
        <v>2.2000000000000002</v>
      </c>
      <c r="AA128" s="137">
        <f t="shared" si="34"/>
        <v>2.2000000000000002</v>
      </c>
      <c r="AB128" s="137">
        <f t="shared" si="34"/>
        <v>2.2000000000000002</v>
      </c>
      <c r="AC128" s="137">
        <f t="shared" si="34"/>
        <v>2.2000000000000002</v>
      </c>
      <c r="AD128" s="137">
        <f t="shared" si="34"/>
        <v>2.2000000000000002</v>
      </c>
      <c r="AE128" s="137">
        <f t="shared" si="34"/>
        <v>2.2000000000000002</v>
      </c>
      <c r="AF128" s="137">
        <f t="shared" si="34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3"/>
        <v>2</v>
      </c>
      <c r="D129" s="137">
        <f t="shared" si="33"/>
        <v>2</v>
      </c>
      <c r="E129" s="137">
        <f t="shared" si="33"/>
        <v>2</v>
      </c>
      <c r="F129" s="137">
        <f t="shared" si="33"/>
        <v>2</v>
      </c>
      <c r="G129" s="137">
        <f t="shared" si="33"/>
        <v>2</v>
      </c>
      <c r="H129" s="137">
        <f t="shared" si="33"/>
        <v>2</v>
      </c>
      <c r="I129" s="137">
        <f t="shared" si="33"/>
        <v>2</v>
      </c>
      <c r="J129" s="137">
        <f t="shared" si="33"/>
        <v>2</v>
      </c>
      <c r="K129" s="137">
        <f t="shared" si="33"/>
        <v>2</v>
      </c>
      <c r="L129" s="137">
        <f t="shared" si="33"/>
        <v>2</v>
      </c>
      <c r="M129" s="137">
        <f t="shared" si="33"/>
        <v>2</v>
      </c>
      <c r="N129" s="137">
        <f t="shared" si="33"/>
        <v>2</v>
      </c>
      <c r="O129" s="137">
        <f t="shared" si="33"/>
        <v>2</v>
      </c>
      <c r="P129" s="137">
        <f t="shared" si="33"/>
        <v>2</v>
      </c>
      <c r="Q129" s="137">
        <f t="shared" si="33"/>
        <v>2</v>
      </c>
      <c r="R129" s="137">
        <f t="shared" si="33"/>
        <v>2</v>
      </c>
      <c r="S129" s="137">
        <f t="shared" si="34"/>
        <v>2</v>
      </c>
      <c r="T129" s="137">
        <f t="shared" si="34"/>
        <v>2</v>
      </c>
      <c r="U129" s="137">
        <f t="shared" si="34"/>
        <v>2</v>
      </c>
      <c r="V129" s="137">
        <f t="shared" si="34"/>
        <v>2</v>
      </c>
      <c r="W129" s="137">
        <f t="shared" si="34"/>
        <v>2</v>
      </c>
      <c r="X129" s="137">
        <f t="shared" si="34"/>
        <v>2</v>
      </c>
      <c r="Y129" s="137">
        <f t="shared" si="34"/>
        <v>2</v>
      </c>
      <c r="Z129" s="137">
        <f t="shared" si="34"/>
        <v>2</v>
      </c>
      <c r="AA129" s="137">
        <f t="shared" si="34"/>
        <v>2</v>
      </c>
      <c r="AB129" s="137">
        <f t="shared" si="34"/>
        <v>2</v>
      </c>
      <c r="AC129" s="137">
        <f t="shared" si="34"/>
        <v>2</v>
      </c>
      <c r="AD129" s="137">
        <f t="shared" si="34"/>
        <v>2</v>
      </c>
      <c r="AE129" s="137">
        <f t="shared" si="34"/>
        <v>2</v>
      </c>
      <c r="AF129" s="137">
        <f t="shared" si="34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3"/>
        <v>1.25</v>
      </c>
      <c r="D130" s="137">
        <f t="shared" si="33"/>
        <v>1.25</v>
      </c>
      <c r="E130" s="137">
        <f t="shared" si="33"/>
        <v>1.25</v>
      </c>
      <c r="F130" s="137">
        <f t="shared" si="33"/>
        <v>1.25</v>
      </c>
      <c r="G130" s="137">
        <f t="shared" si="33"/>
        <v>1.25</v>
      </c>
      <c r="H130" s="137">
        <f t="shared" si="33"/>
        <v>1.25</v>
      </c>
      <c r="I130" s="137">
        <f t="shared" si="33"/>
        <v>1.25</v>
      </c>
      <c r="J130" s="137">
        <f t="shared" si="33"/>
        <v>1.25</v>
      </c>
      <c r="K130" s="137">
        <f t="shared" si="33"/>
        <v>1.25</v>
      </c>
      <c r="L130" s="137">
        <f t="shared" si="33"/>
        <v>1.25</v>
      </c>
      <c r="M130" s="137">
        <f t="shared" si="33"/>
        <v>1.25</v>
      </c>
      <c r="N130" s="137">
        <f t="shared" si="33"/>
        <v>1.25</v>
      </c>
      <c r="O130" s="137">
        <f t="shared" si="33"/>
        <v>1.25</v>
      </c>
      <c r="P130" s="137">
        <f t="shared" si="33"/>
        <v>1.25</v>
      </c>
      <c r="Q130" s="137">
        <f t="shared" si="33"/>
        <v>1.25</v>
      </c>
      <c r="R130" s="137">
        <f t="shared" si="33"/>
        <v>1.25</v>
      </c>
      <c r="S130" s="137">
        <f t="shared" si="34"/>
        <v>1.25</v>
      </c>
      <c r="T130" s="137">
        <f t="shared" si="34"/>
        <v>1.25</v>
      </c>
      <c r="U130" s="137">
        <f t="shared" si="34"/>
        <v>1.25</v>
      </c>
      <c r="V130" s="137">
        <f t="shared" si="34"/>
        <v>1.25</v>
      </c>
      <c r="W130" s="137">
        <f t="shared" si="34"/>
        <v>1.25</v>
      </c>
      <c r="X130" s="137">
        <f t="shared" si="34"/>
        <v>1.25</v>
      </c>
      <c r="Y130" s="137">
        <f t="shared" si="34"/>
        <v>1.25</v>
      </c>
      <c r="Z130" s="137">
        <f t="shared" si="34"/>
        <v>1.25</v>
      </c>
      <c r="AA130" s="137">
        <f t="shared" si="34"/>
        <v>1.25</v>
      </c>
      <c r="AB130" s="137">
        <f t="shared" si="34"/>
        <v>1.25</v>
      </c>
      <c r="AC130" s="137">
        <f t="shared" si="34"/>
        <v>1.25</v>
      </c>
      <c r="AD130" s="137">
        <f t="shared" si="34"/>
        <v>1.25</v>
      </c>
      <c r="AE130" s="137">
        <f t="shared" si="34"/>
        <v>1.25</v>
      </c>
      <c r="AF130" s="137">
        <f t="shared" si="34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3"/>
        <v>1.1499999999999999</v>
      </c>
      <c r="D131" s="137">
        <f t="shared" si="33"/>
        <v>1.1499999999999999</v>
      </c>
      <c r="E131" s="137">
        <f t="shared" si="33"/>
        <v>1.1499999999999999</v>
      </c>
      <c r="F131" s="137">
        <f t="shared" si="33"/>
        <v>1.1499999999999999</v>
      </c>
      <c r="G131" s="137">
        <f t="shared" si="33"/>
        <v>1.1499999999999999</v>
      </c>
      <c r="H131" s="137">
        <f t="shared" si="33"/>
        <v>1.1499999999999999</v>
      </c>
      <c r="I131" s="137">
        <f t="shared" si="33"/>
        <v>1.1499999999999999</v>
      </c>
      <c r="J131" s="137">
        <f t="shared" si="33"/>
        <v>1.1499999999999999</v>
      </c>
      <c r="K131" s="137">
        <f t="shared" si="33"/>
        <v>1.1499999999999999</v>
      </c>
      <c r="L131" s="137">
        <f t="shared" si="33"/>
        <v>1.1499999999999999</v>
      </c>
      <c r="M131" s="137">
        <f t="shared" si="33"/>
        <v>1.1499999999999999</v>
      </c>
      <c r="N131" s="137">
        <f t="shared" si="33"/>
        <v>1.1499999999999999</v>
      </c>
      <c r="O131" s="137">
        <f t="shared" si="33"/>
        <v>1.1499999999999999</v>
      </c>
      <c r="P131" s="137">
        <f t="shared" si="33"/>
        <v>1.1499999999999999</v>
      </c>
      <c r="Q131" s="137">
        <f t="shared" si="33"/>
        <v>1.1499999999999999</v>
      </c>
      <c r="R131" s="137">
        <f t="shared" si="33"/>
        <v>1.1499999999999999</v>
      </c>
      <c r="S131" s="137">
        <f t="shared" si="34"/>
        <v>1.1499999999999999</v>
      </c>
      <c r="T131" s="137">
        <f t="shared" si="34"/>
        <v>1.1499999999999999</v>
      </c>
      <c r="U131" s="137">
        <f t="shared" si="34"/>
        <v>1.1499999999999999</v>
      </c>
      <c r="V131" s="137">
        <f t="shared" si="34"/>
        <v>1.1499999999999999</v>
      </c>
      <c r="W131" s="137">
        <f t="shared" si="34"/>
        <v>1.1499999999999999</v>
      </c>
      <c r="X131" s="137">
        <f t="shared" si="34"/>
        <v>1.1499999999999999</v>
      </c>
      <c r="Y131" s="137">
        <f t="shared" si="34"/>
        <v>1.1499999999999999</v>
      </c>
      <c r="Z131" s="137">
        <f t="shared" si="34"/>
        <v>1.1499999999999999</v>
      </c>
      <c r="AA131" s="137">
        <f t="shared" si="34"/>
        <v>1.1499999999999999</v>
      </c>
      <c r="AB131" s="137">
        <f t="shared" si="34"/>
        <v>1.1499999999999999</v>
      </c>
      <c r="AC131" s="137">
        <f t="shared" si="34"/>
        <v>1.1499999999999999</v>
      </c>
      <c r="AD131" s="137">
        <f t="shared" si="34"/>
        <v>1.1499999999999999</v>
      </c>
      <c r="AE131" s="137">
        <f t="shared" si="34"/>
        <v>1.1499999999999999</v>
      </c>
      <c r="AF131" s="137">
        <f t="shared" si="34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3"/>
        <v>2.133</v>
      </c>
      <c r="D132" s="137">
        <f t="shared" si="33"/>
        <v>2.133</v>
      </c>
      <c r="E132" s="137">
        <f t="shared" si="33"/>
        <v>2.133</v>
      </c>
      <c r="F132" s="137">
        <f t="shared" si="33"/>
        <v>2.133</v>
      </c>
      <c r="G132" s="137">
        <f t="shared" si="33"/>
        <v>2.133</v>
      </c>
      <c r="H132" s="137">
        <f t="shared" si="33"/>
        <v>2.133</v>
      </c>
      <c r="I132" s="137">
        <f t="shared" si="33"/>
        <v>2.133</v>
      </c>
      <c r="J132" s="137">
        <f t="shared" si="33"/>
        <v>2.133</v>
      </c>
      <c r="K132" s="137">
        <f t="shared" si="33"/>
        <v>2.133</v>
      </c>
      <c r="L132" s="137">
        <f t="shared" si="33"/>
        <v>2.133</v>
      </c>
      <c r="M132" s="137">
        <f t="shared" si="33"/>
        <v>2.133</v>
      </c>
      <c r="N132" s="137">
        <f t="shared" si="33"/>
        <v>2.133</v>
      </c>
      <c r="O132" s="137">
        <f t="shared" si="33"/>
        <v>2.133</v>
      </c>
      <c r="P132" s="137">
        <f t="shared" si="33"/>
        <v>2.133</v>
      </c>
      <c r="Q132" s="137">
        <f t="shared" si="33"/>
        <v>2.133</v>
      </c>
      <c r="R132" s="137">
        <f t="shared" si="33"/>
        <v>2.133</v>
      </c>
      <c r="S132" s="137">
        <f t="shared" si="34"/>
        <v>2.133</v>
      </c>
      <c r="T132" s="137">
        <f t="shared" si="34"/>
        <v>2.133</v>
      </c>
      <c r="U132" s="137">
        <f t="shared" si="34"/>
        <v>2.133</v>
      </c>
      <c r="V132" s="137">
        <f t="shared" si="34"/>
        <v>2.133</v>
      </c>
      <c r="W132" s="137">
        <f t="shared" si="34"/>
        <v>2.133</v>
      </c>
      <c r="X132" s="137">
        <f t="shared" si="34"/>
        <v>2.133</v>
      </c>
      <c r="Y132" s="137">
        <f t="shared" si="34"/>
        <v>2.133</v>
      </c>
      <c r="Z132" s="137">
        <f t="shared" si="34"/>
        <v>2.133</v>
      </c>
      <c r="AA132" s="137">
        <f t="shared" si="34"/>
        <v>2.133</v>
      </c>
      <c r="AB132" s="137">
        <f t="shared" si="34"/>
        <v>2.133</v>
      </c>
      <c r="AC132" s="137">
        <f t="shared" si="34"/>
        <v>2.133</v>
      </c>
      <c r="AD132" s="137">
        <f t="shared" si="34"/>
        <v>2.133</v>
      </c>
      <c r="AE132" s="137">
        <f t="shared" si="34"/>
        <v>2.133</v>
      </c>
      <c r="AF132" s="137">
        <f t="shared" si="34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3"/>
        <v>2.09</v>
      </c>
      <c r="D133" s="137">
        <f t="shared" si="33"/>
        <v>2.09</v>
      </c>
      <c r="E133" s="137">
        <f t="shared" si="33"/>
        <v>2.09</v>
      </c>
      <c r="F133" s="137">
        <f t="shared" si="33"/>
        <v>2.09</v>
      </c>
      <c r="G133" s="137">
        <f t="shared" si="33"/>
        <v>2.09</v>
      </c>
      <c r="H133" s="137">
        <f t="shared" si="33"/>
        <v>2.09</v>
      </c>
      <c r="I133" s="137">
        <f t="shared" si="33"/>
        <v>2.09</v>
      </c>
      <c r="J133" s="137">
        <f t="shared" si="33"/>
        <v>2.09</v>
      </c>
      <c r="K133" s="137">
        <f t="shared" si="33"/>
        <v>2.09</v>
      </c>
      <c r="L133" s="137">
        <f t="shared" si="33"/>
        <v>2.09</v>
      </c>
      <c r="M133" s="137">
        <f t="shared" si="33"/>
        <v>2.09</v>
      </c>
      <c r="N133" s="137">
        <f t="shared" si="33"/>
        <v>2.09</v>
      </c>
      <c r="O133" s="137">
        <f t="shared" si="33"/>
        <v>2.09</v>
      </c>
      <c r="P133" s="137">
        <f t="shared" si="33"/>
        <v>2.09</v>
      </c>
      <c r="Q133" s="137">
        <f t="shared" si="33"/>
        <v>2.09</v>
      </c>
      <c r="R133" s="137">
        <f t="shared" si="33"/>
        <v>2.09</v>
      </c>
      <c r="S133" s="137">
        <f t="shared" si="34"/>
        <v>2.09</v>
      </c>
      <c r="T133" s="137">
        <f t="shared" si="34"/>
        <v>2.09</v>
      </c>
      <c r="U133" s="137">
        <f t="shared" si="34"/>
        <v>2.09</v>
      </c>
      <c r="V133" s="137">
        <f t="shared" si="34"/>
        <v>2.09</v>
      </c>
      <c r="W133" s="137">
        <f t="shared" si="34"/>
        <v>2.09</v>
      </c>
      <c r="X133" s="137">
        <f t="shared" si="34"/>
        <v>2.09</v>
      </c>
      <c r="Y133" s="137">
        <f t="shared" si="34"/>
        <v>2.09</v>
      </c>
      <c r="Z133" s="137">
        <f t="shared" si="34"/>
        <v>2.09</v>
      </c>
      <c r="AA133" s="137">
        <f t="shared" si="34"/>
        <v>2.09</v>
      </c>
      <c r="AB133" s="137">
        <f t="shared" si="34"/>
        <v>2.09</v>
      </c>
      <c r="AC133" s="137">
        <f t="shared" si="34"/>
        <v>2.09</v>
      </c>
      <c r="AD133" s="137">
        <f t="shared" si="34"/>
        <v>2.09</v>
      </c>
      <c r="AE133" s="137">
        <f t="shared" si="34"/>
        <v>2.09</v>
      </c>
      <c r="AF133" s="137">
        <f t="shared" si="34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3"/>
        <v>1.1399999999999999</v>
      </c>
      <c r="D134" s="137">
        <f t="shared" si="33"/>
        <v>1.1399999999999999</v>
      </c>
      <c r="E134" s="137">
        <f t="shared" si="33"/>
        <v>1.1399999999999999</v>
      </c>
      <c r="F134" s="137">
        <f t="shared" si="33"/>
        <v>1.1399999999999999</v>
      </c>
      <c r="G134" s="137">
        <f t="shared" si="33"/>
        <v>1.1399999999999999</v>
      </c>
      <c r="H134" s="137">
        <f t="shared" si="33"/>
        <v>1.1399999999999999</v>
      </c>
      <c r="I134" s="137">
        <f t="shared" si="33"/>
        <v>1.1399999999999999</v>
      </c>
      <c r="J134" s="137">
        <f t="shared" si="33"/>
        <v>1.1399999999999999</v>
      </c>
      <c r="K134" s="137">
        <f t="shared" si="33"/>
        <v>1.1399999999999999</v>
      </c>
      <c r="L134" s="137">
        <f t="shared" si="33"/>
        <v>1.1399999999999999</v>
      </c>
      <c r="M134" s="137">
        <f t="shared" si="33"/>
        <v>1.1399999999999999</v>
      </c>
      <c r="N134" s="137">
        <f t="shared" si="33"/>
        <v>1.1399999999999999</v>
      </c>
      <c r="O134" s="137">
        <f t="shared" si="33"/>
        <v>1.1399999999999999</v>
      </c>
      <c r="P134" s="137">
        <f t="shared" si="33"/>
        <v>1.1399999999999999</v>
      </c>
      <c r="Q134" s="137">
        <f t="shared" si="33"/>
        <v>1.1399999999999999</v>
      </c>
      <c r="R134" s="137">
        <f t="shared" si="33"/>
        <v>1.1399999999999999</v>
      </c>
      <c r="S134" s="137">
        <f t="shared" si="34"/>
        <v>1.1399999999999999</v>
      </c>
      <c r="T134" s="137">
        <f t="shared" si="34"/>
        <v>1.1399999999999999</v>
      </c>
      <c r="U134" s="137">
        <f t="shared" si="34"/>
        <v>1.1399999999999999</v>
      </c>
      <c r="V134" s="137">
        <f t="shared" si="34"/>
        <v>1.1399999999999999</v>
      </c>
      <c r="W134" s="137">
        <f t="shared" si="34"/>
        <v>1.1399999999999999</v>
      </c>
      <c r="X134" s="137">
        <f t="shared" si="34"/>
        <v>1.1399999999999999</v>
      </c>
      <c r="Y134" s="137">
        <f t="shared" si="34"/>
        <v>1.1399999999999999</v>
      </c>
      <c r="Z134" s="137">
        <f t="shared" si="34"/>
        <v>1.1399999999999999</v>
      </c>
      <c r="AA134" s="137">
        <f t="shared" si="34"/>
        <v>1.1399999999999999</v>
      </c>
      <c r="AB134" s="137">
        <f t="shared" si="34"/>
        <v>1.1399999999999999</v>
      </c>
      <c r="AC134" s="137">
        <f t="shared" si="34"/>
        <v>1.1399999999999999</v>
      </c>
      <c r="AD134" s="137">
        <f t="shared" si="34"/>
        <v>1.1399999999999999</v>
      </c>
      <c r="AE134" s="137">
        <f t="shared" si="34"/>
        <v>1.1399999999999999</v>
      </c>
      <c r="AF134" s="137">
        <f t="shared" si="34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3"/>
        <v>0.82</v>
      </c>
      <c r="D135" s="137">
        <f t="shared" si="33"/>
        <v>0.82</v>
      </c>
      <c r="E135" s="137">
        <f t="shared" si="33"/>
        <v>0.82</v>
      </c>
      <c r="F135" s="137">
        <f t="shared" si="33"/>
        <v>0.82</v>
      </c>
      <c r="G135" s="137">
        <f t="shared" si="33"/>
        <v>0.82</v>
      </c>
      <c r="H135" s="137">
        <f t="shared" si="33"/>
        <v>0.82</v>
      </c>
      <c r="I135" s="137">
        <f t="shared" si="33"/>
        <v>0.82</v>
      </c>
      <c r="J135" s="137">
        <f t="shared" si="33"/>
        <v>0.82</v>
      </c>
      <c r="K135" s="137">
        <f t="shared" si="33"/>
        <v>0.82</v>
      </c>
      <c r="L135" s="137">
        <f t="shared" si="33"/>
        <v>0.82</v>
      </c>
      <c r="M135" s="137">
        <f t="shared" si="33"/>
        <v>0.82</v>
      </c>
      <c r="N135" s="137">
        <f t="shared" si="33"/>
        <v>0.82</v>
      </c>
      <c r="O135" s="137">
        <f t="shared" si="33"/>
        <v>0.82</v>
      </c>
      <c r="P135" s="137">
        <f t="shared" si="33"/>
        <v>0.82</v>
      </c>
      <c r="Q135" s="137">
        <f t="shared" si="33"/>
        <v>0.82</v>
      </c>
      <c r="R135" s="137">
        <f t="shared" si="33"/>
        <v>0.82</v>
      </c>
      <c r="S135" s="137">
        <f t="shared" si="34"/>
        <v>0.82</v>
      </c>
      <c r="T135" s="137">
        <f t="shared" si="34"/>
        <v>0.82</v>
      </c>
      <c r="U135" s="137">
        <f t="shared" si="34"/>
        <v>0.82</v>
      </c>
      <c r="V135" s="137">
        <f t="shared" si="34"/>
        <v>0.82</v>
      </c>
      <c r="W135" s="137">
        <f t="shared" si="34"/>
        <v>0.82</v>
      </c>
      <c r="X135" s="137">
        <f t="shared" si="34"/>
        <v>0.82</v>
      </c>
      <c r="Y135" s="137">
        <f t="shared" si="34"/>
        <v>0.82</v>
      </c>
      <c r="Z135" s="137">
        <f t="shared" si="34"/>
        <v>0.82</v>
      </c>
      <c r="AA135" s="137">
        <f t="shared" si="34"/>
        <v>0.82</v>
      </c>
      <c r="AB135" s="137">
        <f t="shared" si="34"/>
        <v>0.82</v>
      </c>
      <c r="AC135" s="137">
        <f t="shared" si="34"/>
        <v>0.82</v>
      </c>
      <c r="AD135" s="137">
        <f t="shared" si="34"/>
        <v>0.82</v>
      </c>
      <c r="AE135" s="137">
        <f t="shared" si="34"/>
        <v>0.82</v>
      </c>
      <c r="AF135" s="137">
        <f t="shared" si="34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5">B137</f>
        <v>2</v>
      </c>
      <c r="D137" s="137">
        <f t="shared" si="35"/>
        <v>2</v>
      </c>
      <c r="E137" s="137">
        <f t="shared" si="35"/>
        <v>2</v>
      </c>
      <c r="F137" s="137">
        <f t="shared" si="35"/>
        <v>2</v>
      </c>
      <c r="G137" s="137">
        <f t="shared" si="35"/>
        <v>2</v>
      </c>
      <c r="H137" s="137">
        <f t="shared" si="35"/>
        <v>2</v>
      </c>
      <c r="I137" s="137">
        <f t="shared" si="35"/>
        <v>2</v>
      </c>
      <c r="J137" s="137">
        <f t="shared" si="35"/>
        <v>2</v>
      </c>
      <c r="K137" s="137">
        <f t="shared" si="35"/>
        <v>2</v>
      </c>
      <c r="L137" s="137">
        <f t="shared" si="35"/>
        <v>2</v>
      </c>
      <c r="M137" s="137">
        <f t="shared" si="35"/>
        <v>2</v>
      </c>
      <c r="N137" s="137">
        <f t="shared" si="35"/>
        <v>2</v>
      </c>
      <c r="O137" s="137">
        <f t="shared" si="35"/>
        <v>2</v>
      </c>
      <c r="P137" s="137">
        <f t="shared" si="35"/>
        <v>2</v>
      </c>
      <c r="Q137" s="137">
        <f t="shared" si="35"/>
        <v>2</v>
      </c>
      <c r="R137" s="137">
        <f t="shared" si="35"/>
        <v>2</v>
      </c>
      <c r="S137" s="137">
        <f t="shared" ref="S137:AF143" si="36">R137</f>
        <v>2</v>
      </c>
      <c r="T137" s="137">
        <f t="shared" si="36"/>
        <v>2</v>
      </c>
      <c r="U137" s="137">
        <f t="shared" si="36"/>
        <v>2</v>
      </c>
      <c r="V137" s="137">
        <f t="shared" si="36"/>
        <v>2</v>
      </c>
      <c r="W137" s="137">
        <f t="shared" si="36"/>
        <v>2</v>
      </c>
      <c r="X137" s="137">
        <f t="shared" si="36"/>
        <v>2</v>
      </c>
      <c r="Y137" s="137">
        <f t="shared" si="36"/>
        <v>2</v>
      </c>
      <c r="Z137" s="137">
        <f t="shared" si="36"/>
        <v>2</v>
      </c>
      <c r="AA137" s="137">
        <f t="shared" si="36"/>
        <v>2</v>
      </c>
      <c r="AB137" s="137">
        <f t="shared" si="36"/>
        <v>2</v>
      </c>
      <c r="AC137" s="137">
        <f t="shared" si="36"/>
        <v>2</v>
      </c>
      <c r="AD137" s="137">
        <f t="shared" si="36"/>
        <v>2</v>
      </c>
      <c r="AE137" s="137">
        <f t="shared" si="36"/>
        <v>2</v>
      </c>
      <c r="AF137" s="137">
        <f t="shared" si="36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5"/>
        <v>5.61</v>
      </c>
      <c r="D138" s="137">
        <f t="shared" si="35"/>
        <v>5.61</v>
      </c>
      <c r="E138" s="137">
        <f t="shared" si="35"/>
        <v>5.61</v>
      </c>
      <c r="F138" s="137">
        <f t="shared" si="35"/>
        <v>5.61</v>
      </c>
      <c r="G138" s="137">
        <f t="shared" si="35"/>
        <v>5.61</v>
      </c>
      <c r="H138" s="137">
        <f t="shared" si="35"/>
        <v>5.61</v>
      </c>
      <c r="I138" s="137">
        <f t="shared" si="35"/>
        <v>5.61</v>
      </c>
      <c r="J138" s="137">
        <f t="shared" si="35"/>
        <v>5.61</v>
      </c>
      <c r="K138" s="137">
        <f t="shared" si="35"/>
        <v>5.61</v>
      </c>
      <c r="L138" s="137">
        <f t="shared" si="35"/>
        <v>5.61</v>
      </c>
      <c r="M138" s="137">
        <f t="shared" si="35"/>
        <v>5.61</v>
      </c>
      <c r="N138" s="137">
        <f t="shared" si="35"/>
        <v>5.61</v>
      </c>
      <c r="O138" s="137">
        <f t="shared" si="35"/>
        <v>5.61</v>
      </c>
      <c r="P138" s="137">
        <f t="shared" si="35"/>
        <v>5.61</v>
      </c>
      <c r="Q138" s="137">
        <f t="shared" si="35"/>
        <v>5.61</v>
      </c>
      <c r="R138" s="137">
        <f t="shared" si="35"/>
        <v>5.61</v>
      </c>
      <c r="S138" s="137">
        <f t="shared" si="36"/>
        <v>5.61</v>
      </c>
      <c r="T138" s="137">
        <f t="shared" si="36"/>
        <v>5.61</v>
      </c>
      <c r="U138" s="137">
        <f t="shared" si="36"/>
        <v>5.61</v>
      </c>
      <c r="V138" s="137">
        <f t="shared" si="36"/>
        <v>5.61</v>
      </c>
      <c r="W138" s="137">
        <f t="shared" si="36"/>
        <v>5.61</v>
      </c>
      <c r="X138" s="137">
        <f t="shared" si="36"/>
        <v>5.61</v>
      </c>
      <c r="Y138" s="137">
        <f t="shared" si="36"/>
        <v>5.61</v>
      </c>
      <c r="Z138" s="137">
        <f t="shared" si="36"/>
        <v>5.61</v>
      </c>
      <c r="AA138" s="137">
        <f t="shared" si="36"/>
        <v>5.61</v>
      </c>
      <c r="AB138" s="137">
        <f t="shared" si="36"/>
        <v>5.61</v>
      </c>
      <c r="AC138" s="137">
        <f t="shared" si="36"/>
        <v>5.61</v>
      </c>
      <c r="AD138" s="137">
        <f t="shared" si="36"/>
        <v>5.61</v>
      </c>
      <c r="AE138" s="137">
        <f t="shared" si="36"/>
        <v>5.61</v>
      </c>
      <c r="AF138" s="137">
        <f t="shared" si="36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5"/>
        <v>1.25</v>
      </c>
      <c r="D139" s="137">
        <f t="shared" si="35"/>
        <v>1.25</v>
      </c>
      <c r="E139" s="137">
        <f t="shared" si="35"/>
        <v>1.25</v>
      </c>
      <c r="F139" s="137">
        <f t="shared" si="35"/>
        <v>1.25</v>
      </c>
      <c r="G139" s="137">
        <f t="shared" si="35"/>
        <v>1.25</v>
      </c>
      <c r="H139" s="137">
        <f t="shared" si="35"/>
        <v>1.25</v>
      </c>
      <c r="I139" s="137">
        <f t="shared" si="35"/>
        <v>1.25</v>
      </c>
      <c r="J139" s="137">
        <f t="shared" si="35"/>
        <v>1.25</v>
      </c>
      <c r="K139" s="137">
        <f t="shared" si="35"/>
        <v>1.25</v>
      </c>
      <c r="L139" s="137">
        <f t="shared" si="35"/>
        <v>1.25</v>
      </c>
      <c r="M139" s="137">
        <f t="shared" si="35"/>
        <v>1.25</v>
      </c>
      <c r="N139" s="137">
        <f t="shared" si="35"/>
        <v>1.25</v>
      </c>
      <c r="O139" s="137">
        <f t="shared" si="35"/>
        <v>1.25</v>
      </c>
      <c r="P139" s="137">
        <f t="shared" si="35"/>
        <v>1.25</v>
      </c>
      <c r="Q139" s="137">
        <f t="shared" si="35"/>
        <v>1.25</v>
      </c>
      <c r="R139" s="137">
        <f t="shared" si="35"/>
        <v>1.25</v>
      </c>
      <c r="S139" s="137">
        <f t="shared" si="36"/>
        <v>1.25</v>
      </c>
      <c r="T139" s="137">
        <f t="shared" si="36"/>
        <v>1.25</v>
      </c>
      <c r="U139" s="137">
        <f t="shared" si="36"/>
        <v>1.25</v>
      </c>
      <c r="V139" s="137">
        <f t="shared" si="36"/>
        <v>1.25</v>
      </c>
      <c r="W139" s="137">
        <f t="shared" si="36"/>
        <v>1.25</v>
      </c>
      <c r="X139" s="137">
        <f t="shared" si="36"/>
        <v>1.25</v>
      </c>
      <c r="Y139" s="137">
        <f t="shared" si="36"/>
        <v>1.25</v>
      </c>
      <c r="Z139" s="137">
        <f t="shared" si="36"/>
        <v>1.25</v>
      </c>
      <c r="AA139" s="137">
        <f t="shared" si="36"/>
        <v>1.25</v>
      </c>
      <c r="AB139" s="137">
        <f t="shared" si="36"/>
        <v>1.25</v>
      </c>
      <c r="AC139" s="137">
        <f t="shared" si="36"/>
        <v>1.25</v>
      </c>
      <c r="AD139" s="137">
        <f t="shared" si="36"/>
        <v>1.25</v>
      </c>
      <c r="AE139" s="137">
        <f t="shared" si="36"/>
        <v>1.25</v>
      </c>
      <c r="AF139" s="137">
        <f t="shared" si="36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5"/>
        <v>1.25</v>
      </c>
      <c r="D140" s="137">
        <f t="shared" si="35"/>
        <v>1.25</v>
      </c>
      <c r="E140" s="137">
        <f t="shared" si="35"/>
        <v>1.25</v>
      </c>
      <c r="F140" s="137">
        <f t="shared" si="35"/>
        <v>1.25</v>
      </c>
      <c r="G140" s="137">
        <f t="shared" si="35"/>
        <v>1.25</v>
      </c>
      <c r="H140" s="137">
        <f t="shared" si="35"/>
        <v>1.25</v>
      </c>
      <c r="I140" s="137">
        <f t="shared" si="35"/>
        <v>1.25</v>
      </c>
      <c r="J140" s="137">
        <f t="shared" si="35"/>
        <v>1.25</v>
      </c>
      <c r="K140" s="137">
        <f t="shared" si="35"/>
        <v>1.25</v>
      </c>
      <c r="L140" s="137">
        <f t="shared" si="35"/>
        <v>1.25</v>
      </c>
      <c r="M140" s="137">
        <f t="shared" si="35"/>
        <v>1.25</v>
      </c>
      <c r="N140" s="137">
        <f t="shared" si="35"/>
        <v>1.25</v>
      </c>
      <c r="O140" s="137">
        <f t="shared" si="35"/>
        <v>1.25</v>
      </c>
      <c r="P140" s="137">
        <f t="shared" si="35"/>
        <v>1.25</v>
      </c>
      <c r="Q140" s="137">
        <f t="shared" si="35"/>
        <v>1.25</v>
      </c>
      <c r="R140" s="137">
        <f t="shared" si="35"/>
        <v>1.25</v>
      </c>
      <c r="S140" s="137">
        <f t="shared" si="36"/>
        <v>1.25</v>
      </c>
      <c r="T140" s="137">
        <f t="shared" si="36"/>
        <v>1.25</v>
      </c>
      <c r="U140" s="137">
        <f t="shared" si="36"/>
        <v>1.25</v>
      </c>
      <c r="V140" s="137">
        <f t="shared" si="36"/>
        <v>1.25</v>
      </c>
      <c r="W140" s="137">
        <f t="shared" si="36"/>
        <v>1.25</v>
      </c>
      <c r="X140" s="137">
        <f t="shared" si="36"/>
        <v>1.25</v>
      </c>
      <c r="Y140" s="137">
        <f t="shared" si="36"/>
        <v>1.25</v>
      </c>
      <c r="Z140" s="137">
        <f t="shared" si="36"/>
        <v>1.25</v>
      </c>
      <c r="AA140" s="137">
        <f t="shared" si="36"/>
        <v>1.25</v>
      </c>
      <c r="AB140" s="137">
        <f t="shared" si="36"/>
        <v>1.25</v>
      </c>
      <c r="AC140" s="137">
        <f t="shared" si="36"/>
        <v>1.25</v>
      </c>
      <c r="AD140" s="137">
        <f t="shared" si="36"/>
        <v>1.25</v>
      </c>
      <c r="AE140" s="137">
        <f t="shared" si="36"/>
        <v>1.25</v>
      </c>
      <c r="AF140" s="137">
        <f t="shared" si="36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5"/>
        <v>1.46</v>
      </c>
      <c r="D141" s="137">
        <f t="shared" si="35"/>
        <v>1.46</v>
      </c>
      <c r="E141" s="137">
        <f t="shared" si="35"/>
        <v>1.46</v>
      </c>
      <c r="F141" s="137">
        <f t="shared" si="35"/>
        <v>1.46</v>
      </c>
      <c r="G141" s="137">
        <f t="shared" si="35"/>
        <v>1.46</v>
      </c>
      <c r="H141" s="137">
        <f t="shared" si="35"/>
        <v>1.46</v>
      </c>
      <c r="I141" s="137">
        <f t="shared" si="35"/>
        <v>1.46</v>
      </c>
      <c r="J141" s="137">
        <f t="shared" si="35"/>
        <v>1.46</v>
      </c>
      <c r="K141" s="137">
        <f t="shared" si="35"/>
        <v>1.46</v>
      </c>
      <c r="L141" s="137">
        <f t="shared" si="35"/>
        <v>1.46</v>
      </c>
      <c r="M141" s="137">
        <f t="shared" si="35"/>
        <v>1.46</v>
      </c>
      <c r="N141" s="137">
        <f t="shared" si="35"/>
        <v>1.46</v>
      </c>
      <c r="O141" s="137">
        <f t="shared" si="35"/>
        <v>1.46</v>
      </c>
      <c r="P141" s="137">
        <f t="shared" si="35"/>
        <v>1.46</v>
      </c>
      <c r="Q141" s="137">
        <f t="shared" si="35"/>
        <v>1.46</v>
      </c>
      <c r="R141" s="137">
        <f t="shared" si="35"/>
        <v>1.46</v>
      </c>
      <c r="S141" s="137">
        <f t="shared" si="36"/>
        <v>1.46</v>
      </c>
      <c r="T141" s="137">
        <f t="shared" si="36"/>
        <v>1.46</v>
      </c>
      <c r="U141" s="137">
        <f t="shared" si="36"/>
        <v>1.46</v>
      </c>
      <c r="V141" s="137">
        <f t="shared" si="36"/>
        <v>1.46</v>
      </c>
      <c r="W141" s="137">
        <f t="shared" si="36"/>
        <v>1.46</v>
      </c>
      <c r="X141" s="137">
        <f t="shared" si="36"/>
        <v>1.46</v>
      </c>
      <c r="Y141" s="137">
        <f t="shared" si="36"/>
        <v>1.46</v>
      </c>
      <c r="Z141" s="137">
        <f t="shared" si="36"/>
        <v>1.46</v>
      </c>
      <c r="AA141" s="137">
        <f t="shared" si="36"/>
        <v>1.46</v>
      </c>
      <c r="AB141" s="137">
        <f t="shared" si="36"/>
        <v>1.46</v>
      </c>
      <c r="AC141" s="137">
        <f t="shared" si="36"/>
        <v>1.46</v>
      </c>
      <c r="AD141" s="137">
        <f t="shared" si="36"/>
        <v>1.46</v>
      </c>
      <c r="AE141" s="137">
        <f t="shared" si="36"/>
        <v>1.46</v>
      </c>
      <c r="AF141" s="137">
        <f t="shared" si="36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5"/>
        <v>3</v>
      </c>
      <c r="D142" s="137">
        <f t="shared" si="35"/>
        <v>3</v>
      </c>
      <c r="E142" s="137">
        <f t="shared" si="35"/>
        <v>3</v>
      </c>
      <c r="F142" s="137">
        <f t="shared" si="35"/>
        <v>3</v>
      </c>
      <c r="G142" s="137">
        <f t="shared" si="35"/>
        <v>3</v>
      </c>
      <c r="H142" s="137">
        <f t="shared" si="35"/>
        <v>3</v>
      </c>
      <c r="I142" s="137">
        <f t="shared" si="35"/>
        <v>3</v>
      </c>
      <c r="J142" s="137">
        <f t="shared" si="35"/>
        <v>3</v>
      </c>
      <c r="K142" s="137">
        <f t="shared" si="35"/>
        <v>3</v>
      </c>
      <c r="L142" s="137">
        <f t="shared" si="35"/>
        <v>3</v>
      </c>
      <c r="M142" s="137">
        <f t="shared" si="35"/>
        <v>3</v>
      </c>
      <c r="N142" s="137">
        <f t="shared" si="35"/>
        <v>3</v>
      </c>
      <c r="O142" s="137">
        <f t="shared" si="35"/>
        <v>3</v>
      </c>
      <c r="P142" s="137">
        <f t="shared" si="35"/>
        <v>3</v>
      </c>
      <c r="Q142" s="137">
        <f t="shared" si="35"/>
        <v>3</v>
      </c>
      <c r="R142" s="137">
        <f t="shared" si="35"/>
        <v>3</v>
      </c>
      <c r="S142" s="137">
        <f t="shared" si="36"/>
        <v>3</v>
      </c>
      <c r="T142" s="137">
        <f t="shared" si="36"/>
        <v>3</v>
      </c>
      <c r="U142" s="137">
        <f t="shared" si="36"/>
        <v>3</v>
      </c>
      <c r="V142" s="137">
        <f t="shared" si="36"/>
        <v>3</v>
      </c>
      <c r="W142" s="137">
        <f t="shared" si="36"/>
        <v>3</v>
      </c>
      <c r="X142" s="137">
        <f t="shared" si="36"/>
        <v>3</v>
      </c>
      <c r="Y142" s="137">
        <f t="shared" si="36"/>
        <v>3</v>
      </c>
      <c r="Z142" s="137">
        <f t="shared" si="36"/>
        <v>3</v>
      </c>
      <c r="AA142" s="137">
        <f t="shared" si="36"/>
        <v>3</v>
      </c>
      <c r="AB142" s="137">
        <f t="shared" si="36"/>
        <v>3</v>
      </c>
      <c r="AC142" s="137">
        <f t="shared" si="36"/>
        <v>3</v>
      </c>
      <c r="AD142" s="137">
        <f t="shared" si="36"/>
        <v>3</v>
      </c>
      <c r="AE142" s="137">
        <f t="shared" si="36"/>
        <v>3</v>
      </c>
      <c r="AF142" s="137">
        <f t="shared" si="36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5"/>
        <v>3.3</v>
      </c>
      <c r="D143" s="137">
        <f t="shared" si="35"/>
        <v>3.3</v>
      </c>
      <c r="E143" s="137">
        <f t="shared" si="35"/>
        <v>3.3</v>
      </c>
      <c r="F143" s="137">
        <f t="shared" si="35"/>
        <v>3.3</v>
      </c>
      <c r="G143" s="137">
        <f t="shared" si="35"/>
        <v>3.3</v>
      </c>
      <c r="H143" s="137">
        <f t="shared" si="35"/>
        <v>3.3</v>
      </c>
      <c r="I143" s="137">
        <f t="shared" si="35"/>
        <v>3.3</v>
      </c>
      <c r="J143" s="137">
        <f t="shared" si="35"/>
        <v>3.3</v>
      </c>
      <c r="K143" s="137">
        <f t="shared" si="35"/>
        <v>3.3</v>
      </c>
      <c r="L143" s="137">
        <f t="shared" si="35"/>
        <v>3.3</v>
      </c>
      <c r="M143" s="137">
        <f t="shared" si="35"/>
        <v>3.3</v>
      </c>
      <c r="N143" s="137">
        <f t="shared" si="35"/>
        <v>3.3</v>
      </c>
      <c r="O143" s="137">
        <f t="shared" si="35"/>
        <v>3.3</v>
      </c>
      <c r="P143" s="137">
        <f t="shared" si="35"/>
        <v>3.3</v>
      </c>
      <c r="Q143" s="137">
        <f t="shared" si="35"/>
        <v>3.3</v>
      </c>
      <c r="R143" s="137">
        <f t="shared" si="35"/>
        <v>3.3</v>
      </c>
      <c r="S143" s="137">
        <f t="shared" si="36"/>
        <v>3.3</v>
      </c>
      <c r="T143" s="137">
        <f t="shared" si="36"/>
        <v>3.3</v>
      </c>
      <c r="U143" s="137">
        <f t="shared" si="36"/>
        <v>3.3</v>
      </c>
      <c r="V143" s="137">
        <f t="shared" si="36"/>
        <v>3.3</v>
      </c>
      <c r="W143" s="137">
        <f t="shared" si="36"/>
        <v>3.3</v>
      </c>
      <c r="X143" s="137">
        <f t="shared" si="36"/>
        <v>3.3</v>
      </c>
      <c r="Y143" s="137">
        <f t="shared" si="36"/>
        <v>3.3</v>
      </c>
      <c r="Z143" s="137">
        <f t="shared" si="36"/>
        <v>3.3</v>
      </c>
      <c r="AA143" s="137">
        <f t="shared" si="36"/>
        <v>3.3</v>
      </c>
      <c r="AB143" s="137">
        <f t="shared" si="36"/>
        <v>3.3</v>
      </c>
      <c r="AC143" s="137">
        <f t="shared" si="36"/>
        <v>3.3</v>
      </c>
      <c r="AD143" s="137">
        <f t="shared" si="36"/>
        <v>3.3</v>
      </c>
      <c r="AE143" s="137">
        <f t="shared" si="36"/>
        <v>3.3</v>
      </c>
      <c r="AF143" s="137">
        <f t="shared" si="36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7">B145</f>
        <v>1.76</v>
      </c>
      <c r="D145" s="137">
        <f t="shared" si="37"/>
        <v>1.76</v>
      </c>
      <c r="E145" s="137">
        <f t="shared" si="37"/>
        <v>1.76</v>
      </c>
      <c r="F145" s="137">
        <f t="shared" si="37"/>
        <v>1.76</v>
      </c>
      <c r="G145" s="137">
        <f t="shared" si="37"/>
        <v>1.76</v>
      </c>
      <c r="H145" s="137">
        <f t="shared" si="37"/>
        <v>1.76</v>
      </c>
      <c r="I145" s="137">
        <f t="shared" si="37"/>
        <v>1.76</v>
      </c>
      <c r="J145" s="137">
        <f t="shared" si="37"/>
        <v>1.76</v>
      </c>
      <c r="K145" s="137">
        <f t="shared" si="37"/>
        <v>1.76</v>
      </c>
      <c r="L145" s="137">
        <f t="shared" si="37"/>
        <v>1.76</v>
      </c>
      <c r="M145" s="137">
        <f t="shared" si="37"/>
        <v>1.76</v>
      </c>
      <c r="N145" s="137">
        <f t="shared" si="37"/>
        <v>1.76</v>
      </c>
      <c r="O145" s="137">
        <f t="shared" si="37"/>
        <v>1.76</v>
      </c>
      <c r="P145" s="137">
        <f t="shared" si="37"/>
        <v>1.76</v>
      </c>
      <c r="Q145" s="137">
        <f t="shared" si="37"/>
        <v>1.76</v>
      </c>
      <c r="R145" s="137">
        <f t="shared" si="37"/>
        <v>1.76</v>
      </c>
      <c r="S145" s="137">
        <f t="shared" ref="S145:AF146" si="38">R145</f>
        <v>1.76</v>
      </c>
      <c r="T145" s="137">
        <f t="shared" si="38"/>
        <v>1.76</v>
      </c>
      <c r="U145" s="137">
        <f t="shared" si="38"/>
        <v>1.76</v>
      </c>
      <c r="V145" s="137">
        <f t="shared" si="38"/>
        <v>1.76</v>
      </c>
      <c r="W145" s="137">
        <f t="shared" si="38"/>
        <v>1.76</v>
      </c>
      <c r="X145" s="137">
        <f t="shared" si="38"/>
        <v>1.76</v>
      </c>
      <c r="Y145" s="137">
        <f t="shared" si="38"/>
        <v>1.76</v>
      </c>
      <c r="Z145" s="137">
        <f t="shared" si="38"/>
        <v>1.76</v>
      </c>
      <c r="AA145" s="137">
        <f t="shared" si="38"/>
        <v>1.76</v>
      </c>
      <c r="AB145" s="137">
        <f t="shared" si="38"/>
        <v>1.76</v>
      </c>
      <c r="AC145" s="137">
        <f t="shared" si="38"/>
        <v>1.76</v>
      </c>
      <c r="AD145" s="137">
        <f t="shared" si="38"/>
        <v>1.76</v>
      </c>
      <c r="AE145" s="137">
        <f t="shared" si="38"/>
        <v>1.76</v>
      </c>
      <c r="AF145" s="137">
        <f t="shared" si="38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7"/>
        <v>0</v>
      </c>
      <c r="D146" s="137">
        <f t="shared" si="37"/>
        <v>0</v>
      </c>
      <c r="E146" s="137">
        <f t="shared" si="37"/>
        <v>0</v>
      </c>
      <c r="F146" s="137">
        <f t="shared" si="37"/>
        <v>0</v>
      </c>
      <c r="G146" s="137">
        <f t="shared" si="37"/>
        <v>0</v>
      </c>
      <c r="H146" s="137">
        <f t="shared" si="37"/>
        <v>0</v>
      </c>
      <c r="I146" s="137">
        <f t="shared" si="37"/>
        <v>0</v>
      </c>
      <c r="J146" s="137">
        <f t="shared" si="37"/>
        <v>0</v>
      </c>
      <c r="K146" s="137">
        <f t="shared" si="37"/>
        <v>0</v>
      </c>
      <c r="L146" s="137">
        <f t="shared" si="37"/>
        <v>0</v>
      </c>
      <c r="M146" s="137">
        <f t="shared" si="37"/>
        <v>0</v>
      </c>
      <c r="N146" s="137">
        <f t="shared" si="37"/>
        <v>0</v>
      </c>
      <c r="O146" s="137">
        <f t="shared" si="37"/>
        <v>0</v>
      </c>
      <c r="P146" s="137">
        <f t="shared" si="37"/>
        <v>0</v>
      </c>
      <c r="Q146" s="137">
        <f t="shared" si="37"/>
        <v>0</v>
      </c>
      <c r="R146" s="137">
        <f t="shared" si="37"/>
        <v>0</v>
      </c>
      <c r="S146" s="137">
        <f t="shared" si="38"/>
        <v>0</v>
      </c>
      <c r="T146" s="137">
        <f t="shared" si="38"/>
        <v>0</v>
      </c>
      <c r="U146" s="137">
        <f t="shared" si="38"/>
        <v>0</v>
      </c>
      <c r="V146" s="137">
        <f t="shared" si="38"/>
        <v>0</v>
      </c>
      <c r="W146" s="137">
        <f t="shared" si="38"/>
        <v>0</v>
      </c>
      <c r="X146" s="137">
        <f t="shared" si="38"/>
        <v>0</v>
      </c>
      <c r="Y146" s="137">
        <f t="shared" si="38"/>
        <v>0</v>
      </c>
      <c r="Z146" s="137">
        <f t="shared" si="38"/>
        <v>0</v>
      </c>
      <c r="AA146" s="137">
        <f t="shared" si="38"/>
        <v>0</v>
      </c>
      <c r="AB146" s="137">
        <f t="shared" si="38"/>
        <v>0</v>
      </c>
      <c r="AC146" s="137">
        <f t="shared" si="38"/>
        <v>0</v>
      </c>
      <c r="AD146" s="137">
        <f t="shared" si="38"/>
        <v>0</v>
      </c>
      <c r="AE146" s="137">
        <f t="shared" si="38"/>
        <v>0</v>
      </c>
      <c r="AF146" s="137">
        <f t="shared" si="38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9">B148</f>
        <v>0.1</v>
      </c>
      <c r="D148" s="137">
        <f t="shared" si="39"/>
        <v>0.1</v>
      </c>
      <c r="E148" s="137">
        <f t="shared" si="39"/>
        <v>0.1</v>
      </c>
      <c r="F148" s="137">
        <f t="shared" si="39"/>
        <v>0.1</v>
      </c>
      <c r="G148" s="137">
        <f t="shared" si="39"/>
        <v>0.1</v>
      </c>
      <c r="H148" s="137">
        <f t="shared" si="39"/>
        <v>0.1</v>
      </c>
      <c r="I148" s="137">
        <f t="shared" si="39"/>
        <v>0.1</v>
      </c>
      <c r="J148" s="137">
        <f t="shared" si="39"/>
        <v>0.1</v>
      </c>
      <c r="K148" s="137">
        <f t="shared" si="39"/>
        <v>0.1</v>
      </c>
      <c r="L148" s="137">
        <f t="shared" si="39"/>
        <v>0.1</v>
      </c>
      <c r="M148" s="137">
        <f t="shared" si="39"/>
        <v>0.1</v>
      </c>
      <c r="N148" s="137">
        <f t="shared" si="39"/>
        <v>0.1</v>
      </c>
      <c r="O148" s="137">
        <f t="shared" si="39"/>
        <v>0.1</v>
      </c>
      <c r="P148" s="137">
        <f t="shared" si="39"/>
        <v>0.1</v>
      </c>
      <c r="Q148" s="137">
        <f t="shared" si="39"/>
        <v>0.1</v>
      </c>
      <c r="R148" s="137">
        <f t="shared" si="39"/>
        <v>0.1</v>
      </c>
      <c r="S148" s="137">
        <f t="shared" ref="S148:AF151" si="40">R148</f>
        <v>0.1</v>
      </c>
      <c r="T148" s="137">
        <f t="shared" si="40"/>
        <v>0.1</v>
      </c>
      <c r="U148" s="137">
        <f t="shared" si="40"/>
        <v>0.1</v>
      </c>
      <c r="V148" s="137">
        <f t="shared" si="40"/>
        <v>0.1</v>
      </c>
      <c r="W148" s="137">
        <f t="shared" si="40"/>
        <v>0.1</v>
      </c>
      <c r="X148" s="137">
        <f t="shared" si="40"/>
        <v>0.1</v>
      </c>
      <c r="Y148" s="137">
        <f t="shared" si="40"/>
        <v>0.1</v>
      </c>
      <c r="Z148" s="137">
        <f t="shared" si="40"/>
        <v>0.1</v>
      </c>
      <c r="AA148" s="137">
        <f t="shared" si="40"/>
        <v>0.1</v>
      </c>
      <c r="AB148" s="137">
        <f t="shared" si="40"/>
        <v>0.1</v>
      </c>
      <c r="AC148" s="137">
        <f t="shared" si="40"/>
        <v>0.1</v>
      </c>
      <c r="AD148" s="137">
        <f t="shared" si="40"/>
        <v>0.1</v>
      </c>
      <c r="AE148" s="137">
        <f t="shared" si="40"/>
        <v>0.1</v>
      </c>
      <c r="AF148" s="137">
        <f t="shared" si="40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9"/>
        <v>2.0499999999999998</v>
      </c>
      <c r="D149" s="137">
        <f t="shared" si="39"/>
        <v>2.0499999999999998</v>
      </c>
      <c r="E149" s="137">
        <f t="shared" si="39"/>
        <v>2.0499999999999998</v>
      </c>
      <c r="F149" s="137">
        <f t="shared" si="39"/>
        <v>2.0499999999999998</v>
      </c>
      <c r="G149" s="137">
        <f t="shared" si="39"/>
        <v>2.0499999999999998</v>
      </c>
      <c r="H149" s="137">
        <f t="shared" si="39"/>
        <v>2.0499999999999998</v>
      </c>
      <c r="I149" s="137">
        <f t="shared" si="39"/>
        <v>2.0499999999999998</v>
      </c>
      <c r="J149" s="137">
        <f t="shared" si="39"/>
        <v>2.0499999999999998</v>
      </c>
      <c r="K149" s="137">
        <f t="shared" si="39"/>
        <v>2.0499999999999998</v>
      </c>
      <c r="L149" s="137">
        <f t="shared" si="39"/>
        <v>2.0499999999999998</v>
      </c>
      <c r="M149" s="137">
        <f t="shared" si="39"/>
        <v>2.0499999999999998</v>
      </c>
      <c r="N149" s="137">
        <f t="shared" si="39"/>
        <v>2.0499999999999998</v>
      </c>
      <c r="O149" s="137">
        <f t="shared" si="39"/>
        <v>2.0499999999999998</v>
      </c>
      <c r="P149" s="137">
        <f t="shared" si="39"/>
        <v>2.0499999999999998</v>
      </c>
      <c r="Q149" s="137">
        <f t="shared" si="39"/>
        <v>2.0499999999999998</v>
      </c>
      <c r="R149" s="137">
        <f t="shared" si="39"/>
        <v>2.0499999999999998</v>
      </c>
      <c r="S149" s="137">
        <f t="shared" si="40"/>
        <v>2.0499999999999998</v>
      </c>
      <c r="T149" s="137">
        <f t="shared" si="40"/>
        <v>2.0499999999999998</v>
      </c>
      <c r="U149" s="137">
        <f t="shared" si="40"/>
        <v>2.0499999999999998</v>
      </c>
      <c r="V149" s="137">
        <f t="shared" si="40"/>
        <v>2.0499999999999998</v>
      </c>
      <c r="W149" s="137">
        <f t="shared" si="40"/>
        <v>2.0499999999999998</v>
      </c>
      <c r="X149" s="137">
        <f t="shared" si="40"/>
        <v>2.0499999999999998</v>
      </c>
      <c r="Y149" s="137">
        <f t="shared" si="40"/>
        <v>2.0499999999999998</v>
      </c>
      <c r="Z149" s="137">
        <f t="shared" si="40"/>
        <v>2.0499999999999998</v>
      </c>
      <c r="AA149" s="137">
        <f t="shared" si="40"/>
        <v>2.0499999999999998</v>
      </c>
      <c r="AB149" s="137">
        <f t="shared" si="40"/>
        <v>2.0499999999999998</v>
      </c>
      <c r="AC149" s="137">
        <f t="shared" si="40"/>
        <v>2.0499999999999998</v>
      </c>
      <c r="AD149" s="137">
        <f t="shared" si="40"/>
        <v>2.0499999999999998</v>
      </c>
      <c r="AE149" s="137">
        <f t="shared" si="40"/>
        <v>2.0499999999999998</v>
      </c>
      <c r="AF149" s="137">
        <f t="shared" si="40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9"/>
        <v>2.7</v>
      </c>
      <c r="D150" s="137">
        <f t="shared" si="39"/>
        <v>2.7</v>
      </c>
      <c r="E150" s="137">
        <f t="shared" si="39"/>
        <v>2.7</v>
      </c>
      <c r="F150" s="137">
        <f t="shared" si="39"/>
        <v>2.7</v>
      </c>
      <c r="G150" s="137">
        <f t="shared" si="39"/>
        <v>2.7</v>
      </c>
      <c r="H150" s="137">
        <f t="shared" si="39"/>
        <v>2.7</v>
      </c>
      <c r="I150" s="137">
        <f t="shared" si="39"/>
        <v>2.7</v>
      </c>
      <c r="J150" s="137">
        <f t="shared" si="39"/>
        <v>2.7</v>
      </c>
      <c r="K150" s="137">
        <f t="shared" si="39"/>
        <v>2.7</v>
      </c>
      <c r="L150" s="137">
        <f t="shared" si="39"/>
        <v>2.7</v>
      </c>
      <c r="M150" s="137">
        <f t="shared" si="39"/>
        <v>2.7</v>
      </c>
      <c r="N150" s="137">
        <f t="shared" si="39"/>
        <v>2.7</v>
      </c>
      <c r="O150" s="137">
        <f t="shared" si="39"/>
        <v>2.7</v>
      </c>
      <c r="P150" s="137">
        <f t="shared" si="39"/>
        <v>2.7</v>
      </c>
      <c r="Q150" s="137">
        <f t="shared" si="39"/>
        <v>2.7</v>
      </c>
      <c r="R150" s="137">
        <f t="shared" si="39"/>
        <v>2.7</v>
      </c>
      <c r="S150" s="137">
        <f t="shared" si="40"/>
        <v>2.7</v>
      </c>
      <c r="T150" s="137">
        <f t="shared" si="40"/>
        <v>2.7</v>
      </c>
      <c r="U150" s="137">
        <f t="shared" si="40"/>
        <v>2.7</v>
      </c>
      <c r="V150" s="137">
        <f t="shared" si="40"/>
        <v>2.7</v>
      </c>
      <c r="W150" s="137">
        <f t="shared" si="40"/>
        <v>2.7</v>
      </c>
      <c r="X150" s="137">
        <f t="shared" si="40"/>
        <v>2.7</v>
      </c>
      <c r="Y150" s="137">
        <f t="shared" si="40"/>
        <v>2.7</v>
      </c>
      <c r="Z150" s="137">
        <f t="shared" si="40"/>
        <v>2.7</v>
      </c>
      <c r="AA150" s="137">
        <f t="shared" si="40"/>
        <v>2.7</v>
      </c>
      <c r="AB150" s="137">
        <f t="shared" si="40"/>
        <v>2.7</v>
      </c>
      <c r="AC150" s="137">
        <f t="shared" si="40"/>
        <v>2.7</v>
      </c>
      <c r="AD150" s="137">
        <f t="shared" si="40"/>
        <v>2.7</v>
      </c>
      <c r="AE150" s="137">
        <f t="shared" si="40"/>
        <v>2.7</v>
      </c>
      <c r="AF150" s="137">
        <f t="shared" si="40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9"/>
        <v>2.15</v>
      </c>
      <c r="D151" s="137">
        <f t="shared" si="39"/>
        <v>2.15</v>
      </c>
      <c r="E151" s="137">
        <f t="shared" si="39"/>
        <v>2.15</v>
      </c>
      <c r="F151" s="137">
        <f t="shared" si="39"/>
        <v>2.15</v>
      </c>
      <c r="G151" s="137">
        <f t="shared" si="39"/>
        <v>2.15</v>
      </c>
      <c r="H151" s="137">
        <f t="shared" si="39"/>
        <v>2.15</v>
      </c>
      <c r="I151" s="137">
        <f t="shared" si="39"/>
        <v>2.15</v>
      </c>
      <c r="J151" s="137">
        <f t="shared" si="39"/>
        <v>2.15</v>
      </c>
      <c r="K151" s="137">
        <f t="shared" si="39"/>
        <v>2.15</v>
      </c>
      <c r="L151" s="137">
        <f t="shared" si="39"/>
        <v>2.15</v>
      </c>
      <c r="M151" s="137">
        <f t="shared" si="39"/>
        <v>2.15</v>
      </c>
      <c r="N151" s="137">
        <f t="shared" si="39"/>
        <v>2.15</v>
      </c>
      <c r="O151" s="137">
        <f t="shared" si="39"/>
        <v>2.15</v>
      </c>
      <c r="P151" s="137">
        <f t="shared" si="39"/>
        <v>2.15</v>
      </c>
      <c r="Q151" s="137">
        <f t="shared" si="39"/>
        <v>2.15</v>
      </c>
      <c r="R151" s="137">
        <f t="shared" si="39"/>
        <v>2.15</v>
      </c>
      <c r="S151" s="137">
        <f t="shared" si="40"/>
        <v>2.15</v>
      </c>
      <c r="T151" s="137">
        <f t="shared" si="40"/>
        <v>2.15</v>
      </c>
      <c r="U151" s="137">
        <f t="shared" si="40"/>
        <v>2.15</v>
      </c>
      <c r="V151" s="137">
        <f t="shared" si="40"/>
        <v>2.15</v>
      </c>
      <c r="W151" s="137">
        <f t="shared" si="40"/>
        <v>2.15</v>
      </c>
      <c r="X151" s="137">
        <f t="shared" si="40"/>
        <v>2.15</v>
      </c>
      <c r="Y151" s="137">
        <f t="shared" si="40"/>
        <v>2.15</v>
      </c>
      <c r="Z151" s="137">
        <f t="shared" si="40"/>
        <v>2.15</v>
      </c>
      <c r="AA151" s="137">
        <f t="shared" si="40"/>
        <v>2.15</v>
      </c>
      <c r="AB151" s="137">
        <f t="shared" si="40"/>
        <v>2.15</v>
      </c>
      <c r="AC151" s="137">
        <f t="shared" si="40"/>
        <v>2.15</v>
      </c>
      <c r="AD151" s="137">
        <f t="shared" si="40"/>
        <v>2.15</v>
      </c>
      <c r="AE151" s="137">
        <f t="shared" si="40"/>
        <v>2.15</v>
      </c>
      <c r="AF151" s="137">
        <f t="shared" si="40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1">B153</f>
        <v>0.9</v>
      </c>
      <c r="D153" s="137">
        <f t="shared" si="41"/>
        <v>0.9</v>
      </c>
      <c r="E153" s="137">
        <f t="shared" si="41"/>
        <v>0.9</v>
      </c>
      <c r="F153" s="137">
        <f t="shared" si="41"/>
        <v>0.9</v>
      </c>
      <c r="G153" s="137">
        <f t="shared" si="41"/>
        <v>0.9</v>
      </c>
      <c r="H153" s="137">
        <f t="shared" si="41"/>
        <v>0.9</v>
      </c>
      <c r="I153" s="137">
        <f t="shared" si="41"/>
        <v>0.9</v>
      </c>
      <c r="J153" s="137">
        <f t="shared" si="41"/>
        <v>0.9</v>
      </c>
      <c r="K153" s="137">
        <f t="shared" si="41"/>
        <v>0.9</v>
      </c>
      <c r="L153" s="137">
        <f t="shared" si="41"/>
        <v>0.9</v>
      </c>
      <c r="M153" s="137">
        <f t="shared" si="41"/>
        <v>0.9</v>
      </c>
      <c r="N153" s="137">
        <f t="shared" si="41"/>
        <v>0.9</v>
      </c>
      <c r="O153" s="137">
        <f t="shared" si="41"/>
        <v>0.9</v>
      </c>
      <c r="P153" s="137">
        <f t="shared" si="41"/>
        <v>0.9</v>
      </c>
      <c r="Q153" s="137">
        <f t="shared" si="41"/>
        <v>0.9</v>
      </c>
      <c r="R153" s="137">
        <f t="shared" si="41"/>
        <v>0.9</v>
      </c>
      <c r="S153" s="137">
        <f t="shared" ref="R153:AF165" si="42">R153</f>
        <v>0.9</v>
      </c>
      <c r="T153" s="137">
        <f t="shared" si="42"/>
        <v>0.9</v>
      </c>
      <c r="U153" s="137">
        <f t="shared" si="42"/>
        <v>0.9</v>
      </c>
      <c r="V153" s="137">
        <f t="shared" si="42"/>
        <v>0.9</v>
      </c>
      <c r="W153" s="137">
        <f t="shared" si="42"/>
        <v>0.9</v>
      </c>
      <c r="X153" s="137">
        <f t="shared" si="42"/>
        <v>0.9</v>
      </c>
      <c r="Y153" s="137">
        <f t="shared" si="42"/>
        <v>0.9</v>
      </c>
      <c r="Z153" s="137">
        <f t="shared" si="42"/>
        <v>0.9</v>
      </c>
      <c r="AA153" s="137">
        <f t="shared" si="42"/>
        <v>0.9</v>
      </c>
      <c r="AB153" s="137">
        <f t="shared" si="42"/>
        <v>0.9</v>
      </c>
      <c r="AC153" s="137">
        <f t="shared" si="42"/>
        <v>0.9</v>
      </c>
      <c r="AD153" s="137">
        <f t="shared" si="42"/>
        <v>0.9</v>
      </c>
      <c r="AE153" s="137">
        <f t="shared" si="42"/>
        <v>0.9</v>
      </c>
      <c r="AF153" s="137">
        <f t="shared" si="42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1"/>
        <v>1.08</v>
      </c>
      <c r="D154" s="137">
        <f t="shared" si="41"/>
        <v>1.08</v>
      </c>
      <c r="E154" s="137">
        <f t="shared" si="41"/>
        <v>1.08</v>
      </c>
      <c r="F154" s="137">
        <f t="shared" si="41"/>
        <v>1.08</v>
      </c>
      <c r="G154" s="137">
        <f t="shared" si="41"/>
        <v>1.08</v>
      </c>
      <c r="H154" s="137">
        <f t="shared" si="41"/>
        <v>1.08</v>
      </c>
      <c r="I154" s="137">
        <f t="shared" si="41"/>
        <v>1.08</v>
      </c>
      <c r="J154" s="137">
        <f t="shared" si="41"/>
        <v>1.08</v>
      </c>
      <c r="K154" s="137">
        <f t="shared" si="41"/>
        <v>1.08</v>
      </c>
      <c r="L154" s="137">
        <f t="shared" si="41"/>
        <v>1.08</v>
      </c>
      <c r="M154" s="137">
        <f t="shared" si="41"/>
        <v>1.08</v>
      </c>
      <c r="N154" s="137">
        <f t="shared" si="41"/>
        <v>1.08</v>
      </c>
      <c r="O154" s="137">
        <f t="shared" si="41"/>
        <v>1.08</v>
      </c>
      <c r="P154" s="137">
        <f t="shared" si="41"/>
        <v>1.08</v>
      </c>
      <c r="Q154" s="137">
        <f t="shared" si="41"/>
        <v>1.08</v>
      </c>
      <c r="R154" s="137">
        <f t="shared" si="41"/>
        <v>1.08</v>
      </c>
      <c r="S154" s="137">
        <f t="shared" si="42"/>
        <v>1.08</v>
      </c>
      <c r="T154" s="137">
        <f t="shared" si="42"/>
        <v>1.08</v>
      </c>
      <c r="U154" s="137">
        <f t="shared" si="42"/>
        <v>1.08</v>
      </c>
      <c r="V154" s="137">
        <f t="shared" si="42"/>
        <v>1.08</v>
      </c>
      <c r="W154" s="137">
        <f t="shared" si="42"/>
        <v>1.08</v>
      </c>
      <c r="X154" s="137">
        <f t="shared" si="42"/>
        <v>1.08</v>
      </c>
      <c r="Y154" s="137">
        <f t="shared" si="42"/>
        <v>1.08</v>
      </c>
      <c r="Z154" s="137">
        <f t="shared" si="42"/>
        <v>1.08</v>
      </c>
      <c r="AA154" s="137">
        <f t="shared" si="42"/>
        <v>1.08</v>
      </c>
      <c r="AB154" s="137">
        <f t="shared" si="42"/>
        <v>1.08</v>
      </c>
      <c r="AC154" s="137">
        <f t="shared" si="42"/>
        <v>1.08</v>
      </c>
      <c r="AD154" s="137">
        <f t="shared" si="42"/>
        <v>1.08</v>
      </c>
      <c r="AE154" s="137">
        <f t="shared" si="42"/>
        <v>1.08</v>
      </c>
      <c r="AF154" s="137">
        <f t="shared" si="42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1"/>
        <v>2.37</v>
      </c>
      <c r="D155" s="137">
        <f t="shared" si="41"/>
        <v>2.37</v>
      </c>
      <c r="E155" s="137">
        <f t="shared" si="41"/>
        <v>2.37</v>
      </c>
      <c r="F155" s="137">
        <f t="shared" si="41"/>
        <v>2.37</v>
      </c>
      <c r="G155" s="137">
        <f t="shared" si="41"/>
        <v>2.37</v>
      </c>
      <c r="H155" s="137">
        <f t="shared" si="41"/>
        <v>2.37</v>
      </c>
      <c r="I155" s="137">
        <f t="shared" si="41"/>
        <v>2.37</v>
      </c>
      <c r="J155" s="137">
        <f t="shared" si="41"/>
        <v>2.37</v>
      </c>
      <c r="K155" s="137">
        <f t="shared" si="41"/>
        <v>2.37</v>
      </c>
      <c r="L155" s="137">
        <f t="shared" si="41"/>
        <v>2.37</v>
      </c>
      <c r="M155" s="137">
        <f t="shared" si="41"/>
        <v>2.37</v>
      </c>
      <c r="N155" s="137">
        <f t="shared" si="41"/>
        <v>2.37</v>
      </c>
      <c r="O155" s="137">
        <f t="shared" si="41"/>
        <v>2.37</v>
      </c>
      <c r="P155" s="137">
        <f t="shared" si="41"/>
        <v>2.37</v>
      </c>
      <c r="Q155" s="137">
        <f t="shared" si="41"/>
        <v>2.37</v>
      </c>
      <c r="R155" s="137">
        <f t="shared" si="41"/>
        <v>2.37</v>
      </c>
      <c r="S155" s="137">
        <f t="shared" si="42"/>
        <v>2.37</v>
      </c>
      <c r="T155" s="137">
        <f t="shared" si="42"/>
        <v>2.37</v>
      </c>
      <c r="U155" s="137">
        <f t="shared" si="42"/>
        <v>2.37</v>
      </c>
      <c r="V155" s="137">
        <f t="shared" si="42"/>
        <v>2.37</v>
      </c>
      <c r="W155" s="137">
        <f t="shared" si="42"/>
        <v>2.37</v>
      </c>
      <c r="X155" s="137">
        <f t="shared" si="42"/>
        <v>2.37</v>
      </c>
      <c r="Y155" s="137">
        <f t="shared" si="42"/>
        <v>2.37</v>
      </c>
      <c r="Z155" s="137">
        <f t="shared" si="42"/>
        <v>2.37</v>
      </c>
      <c r="AA155" s="137">
        <f t="shared" si="42"/>
        <v>2.37</v>
      </c>
      <c r="AB155" s="137">
        <f t="shared" si="42"/>
        <v>2.37</v>
      </c>
      <c r="AC155" s="137">
        <f t="shared" si="42"/>
        <v>2.37</v>
      </c>
      <c r="AD155" s="137">
        <f t="shared" si="42"/>
        <v>2.37</v>
      </c>
      <c r="AE155" s="137">
        <f t="shared" si="42"/>
        <v>2.37</v>
      </c>
      <c r="AF155" s="137">
        <f t="shared" si="42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1"/>
        <v>1.81</v>
      </c>
      <c r="D156" s="137">
        <f t="shared" si="41"/>
        <v>1.81</v>
      </c>
      <c r="E156" s="137">
        <f t="shared" si="41"/>
        <v>1.81</v>
      </c>
      <c r="F156" s="137">
        <f t="shared" si="41"/>
        <v>1.81</v>
      </c>
      <c r="G156" s="137">
        <f t="shared" si="41"/>
        <v>1.81</v>
      </c>
      <c r="H156" s="137">
        <f t="shared" si="41"/>
        <v>1.81</v>
      </c>
      <c r="I156" s="137">
        <f t="shared" si="41"/>
        <v>1.81</v>
      </c>
      <c r="J156" s="137">
        <f t="shared" si="41"/>
        <v>1.81</v>
      </c>
      <c r="K156" s="137">
        <f t="shared" si="41"/>
        <v>1.81</v>
      </c>
      <c r="L156" s="137">
        <f t="shared" si="41"/>
        <v>1.81</v>
      </c>
      <c r="M156" s="137">
        <f t="shared" si="41"/>
        <v>1.81</v>
      </c>
      <c r="N156" s="137">
        <f t="shared" si="41"/>
        <v>1.81</v>
      </c>
      <c r="O156" s="137">
        <f t="shared" si="41"/>
        <v>1.81</v>
      </c>
      <c r="P156" s="137">
        <f t="shared" si="41"/>
        <v>1.81</v>
      </c>
      <c r="Q156" s="137">
        <f t="shared" si="41"/>
        <v>1.81</v>
      </c>
      <c r="R156" s="137">
        <f t="shared" si="41"/>
        <v>1.81</v>
      </c>
      <c r="S156" s="137">
        <f t="shared" si="42"/>
        <v>1.81</v>
      </c>
      <c r="T156" s="137">
        <f t="shared" si="42"/>
        <v>1.81</v>
      </c>
      <c r="U156" s="137">
        <f t="shared" si="42"/>
        <v>1.81</v>
      </c>
      <c r="V156" s="137">
        <f t="shared" si="42"/>
        <v>1.81</v>
      </c>
      <c r="W156" s="137">
        <f t="shared" si="42"/>
        <v>1.81</v>
      </c>
      <c r="X156" s="137">
        <f t="shared" si="42"/>
        <v>1.81</v>
      </c>
      <c r="Y156" s="137">
        <f t="shared" si="42"/>
        <v>1.81</v>
      </c>
      <c r="Z156" s="137">
        <f t="shared" si="42"/>
        <v>1.81</v>
      </c>
      <c r="AA156" s="137">
        <f t="shared" si="42"/>
        <v>1.81</v>
      </c>
      <c r="AB156" s="137">
        <f t="shared" si="42"/>
        <v>1.81</v>
      </c>
      <c r="AC156" s="137">
        <f t="shared" si="42"/>
        <v>1.81</v>
      </c>
      <c r="AD156" s="137">
        <f t="shared" si="42"/>
        <v>1.81</v>
      </c>
      <c r="AE156" s="137">
        <f t="shared" si="42"/>
        <v>1.81</v>
      </c>
      <c r="AF156" s="137">
        <f t="shared" si="42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1"/>
        <v>1.0900000000000001</v>
      </c>
      <c r="D157" s="137">
        <f t="shared" si="41"/>
        <v>1.0900000000000001</v>
      </c>
      <c r="E157" s="137">
        <f t="shared" si="41"/>
        <v>1.0900000000000001</v>
      </c>
      <c r="F157" s="137">
        <f t="shared" si="41"/>
        <v>1.0900000000000001</v>
      </c>
      <c r="G157" s="137">
        <f t="shared" si="41"/>
        <v>1.0900000000000001</v>
      </c>
      <c r="H157" s="137">
        <f t="shared" si="41"/>
        <v>1.0900000000000001</v>
      </c>
      <c r="I157" s="137">
        <f t="shared" si="41"/>
        <v>1.0900000000000001</v>
      </c>
      <c r="J157" s="137">
        <f t="shared" si="41"/>
        <v>1.0900000000000001</v>
      </c>
      <c r="K157" s="137">
        <f t="shared" si="41"/>
        <v>1.0900000000000001</v>
      </c>
      <c r="L157" s="137">
        <f t="shared" si="41"/>
        <v>1.0900000000000001</v>
      </c>
      <c r="M157" s="137">
        <f t="shared" si="41"/>
        <v>1.0900000000000001</v>
      </c>
      <c r="N157" s="137">
        <f t="shared" si="41"/>
        <v>1.0900000000000001</v>
      </c>
      <c r="O157" s="137">
        <f t="shared" si="41"/>
        <v>1.0900000000000001</v>
      </c>
      <c r="P157" s="137">
        <f t="shared" si="41"/>
        <v>1.0900000000000001</v>
      </c>
      <c r="Q157" s="137">
        <f t="shared" si="41"/>
        <v>1.0900000000000001</v>
      </c>
      <c r="R157" s="137">
        <f t="shared" si="41"/>
        <v>1.0900000000000001</v>
      </c>
      <c r="S157" s="137">
        <f t="shared" si="42"/>
        <v>1.0900000000000001</v>
      </c>
      <c r="T157" s="137">
        <f t="shared" si="42"/>
        <v>1.0900000000000001</v>
      </c>
      <c r="U157" s="137">
        <f t="shared" si="42"/>
        <v>1.0900000000000001</v>
      </c>
      <c r="V157" s="137">
        <f t="shared" si="42"/>
        <v>1.0900000000000001</v>
      </c>
      <c r="W157" s="137">
        <f t="shared" si="42"/>
        <v>1.0900000000000001</v>
      </c>
      <c r="X157" s="137">
        <f t="shared" si="42"/>
        <v>1.0900000000000001</v>
      </c>
      <c r="Y157" s="137">
        <f t="shared" si="42"/>
        <v>1.0900000000000001</v>
      </c>
      <c r="Z157" s="137">
        <f t="shared" si="42"/>
        <v>1.0900000000000001</v>
      </c>
      <c r="AA157" s="137">
        <f t="shared" si="42"/>
        <v>1.0900000000000001</v>
      </c>
      <c r="AB157" s="137">
        <f t="shared" si="42"/>
        <v>1.0900000000000001</v>
      </c>
      <c r="AC157" s="137">
        <f t="shared" si="42"/>
        <v>1.0900000000000001</v>
      </c>
      <c r="AD157" s="137">
        <f t="shared" si="42"/>
        <v>1.0900000000000001</v>
      </c>
      <c r="AE157" s="137">
        <f t="shared" si="42"/>
        <v>1.0900000000000001</v>
      </c>
      <c r="AF157" s="137">
        <f t="shared" si="42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1"/>
        <v>1.58</v>
      </c>
      <c r="D158" s="137">
        <f t="shared" si="41"/>
        <v>1.58</v>
      </c>
      <c r="E158" s="137">
        <f t="shared" si="41"/>
        <v>1.58</v>
      </c>
      <c r="F158" s="137">
        <f t="shared" si="41"/>
        <v>1.58</v>
      </c>
      <c r="G158" s="137">
        <f t="shared" si="41"/>
        <v>1.58</v>
      </c>
      <c r="H158" s="137">
        <f t="shared" si="41"/>
        <v>1.58</v>
      </c>
      <c r="I158" s="137">
        <f t="shared" si="41"/>
        <v>1.58</v>
      </c>
      <c r="J158" s="137">
        <f t="shared" si="41"/>
        <v>1.58</v>
      </c>
      <c r="K158" s="137">
        <f t="shared" si="41"/>
        <v>1.58</v>
      </c>
      <c r="L158" s="137">
        <f t="shared" si="41"/>
        <v>1.58</v>
      </c>
      <c r="M158" s="137">
        <f t="shared" si="41"/>
        <v>1.58</v>
      </c>
      <c r="N158" s="137">
        <f t="shared" si="41"/>
        <v>1.58</v>
      </c>
      <c r="O158" s="137">
        <f t="shared" si="41"/>
        <v>1.58</v>
      </c>
      <c r="P158" s="137">
        <f t="shared" si="41"/>
        <v>1.58</v>
      </c>
      <c r="Q158" s="137">
        <f t="shared" si="41"/>
        <v>1.58</v>
      </c>
      <c r="R158" s="137">
        <f t="shared" si="41"/>
        <v>1.58</v>
      </c>
      <c r="S158" s="137">
        <f t="shared" si="42"/>
        <v>1.58</v>
      </c>
      <c r="T158" s="137">
        <f t="shared" si="42"/>
        <v>1.58</v>
      </c>
      <c r="U158" s="137">
        <f t="shared" si="42"/>
        <v>1.58</v>
      </c>
      <c r="V158" s="137">
        <f t="shared" si="42"/>
        <v>1.58</v>
      </c>
      <c r="W158" s="137">
        <f t="shared" si="42"/>
        <v>1.58</v>
      </c>
      <c r="X158" s="137">
        <f t="shared" si="42"/>
        <v>1.58</v>
      </c>
      <c r="Y158" s="137">
        <f t="shared" si="42"/>
        <v>1.58</v>
      </c>
      <c r="Z158" s="137">
        <f t="shared" si="42"/>
        <v>1.58</v>
      </c>
      <c r="AA158" s="137">
        <f t="shared" si="42"/>
        <v>1.58</v>
      </c>
      <c r="AB158" s="137">
        <f t="shared" si="42"/>
        <v>1.58</v>
      </c>
      <c r="AC158" s="137">
        <f t="shared" si="42"/>
        <v>1.58</v>
      </c>
      <c r="AD158" s="137">
        <f t="shared" si="42"/>
        <v>1.58</v>
      </c>
      <c r="AE158" s="137">
        <f t="shared" si="42"/>
        <v>1.58</v>
      </c>
      <c r="AF158" s="137">
        <f t="shared" si="42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1"/>
        <v>2</v>
      </c>
      <c r="D159" s="137">
        <f t="shared" si="41"/>
        <v>2</v>
      </c>
      <c r="E159" s="137">
        <f t="shared" si="41"/>
        <v>2</v>
      </c>
      <c r="F159" s="137">
        <f t="shared" si="41"/>
        <v>2</v>
      </c>
      <c r="G159" s="137">
        <f t="shared" si="41"/>
        <v>2</v>
      </c>
      <c r="H159" s="137">
        <f t="shared" si="41"/>
        <v>2</v>
      </c>
      <c r="I159" s="137">
        <f t="shared" si="41"/>
        <v>2</v>
      </c>
      <c r="J159" s="137">
        <f t="shared" si="41"/>
        <v>2</v>
      </c>
      <c r="K159" s="137">
        <f t="shared" si="41"/>
        <v>2</v>
      </c>
      <c r="L159" s="137">
        <f t="shared" si="41"/>
        <v>2</v>
      </c>
      <c r="M159" s="137">
        <f t="shared" si="41"/>
        <v>2</v>
      </c>
      <c r="N159" s="137">
        <f t="shared" si="41"/>
        <v>2</v>
      </c>
      <c r="O159" s="137">
        <f t="shared" si="41"/>
        <v>2</v>
      </c>
      <c r="P159" s="137">
        <f t="shared" si="41"/>
        <v>2</v>
      </c>
      <c r="Q159" s="137">
        <f t="shared" si="41"/>
        <v>2</v>
      </c>
      <c r="R159" s="137">
        <f t="shared" si="41"/>
        <v>2</v>
      </c>
      <c r="S159" s="137">
        <f t="shared" si="42"/>
        <v>2</v>
      </c>
      <c r="T159" s="137">
        <f t="shared" si="42"/>
        <v>2</v>
      </c>
      <c r="U159" s="137">
        <f t="shared" si="42"/>
        <v>2</v>
      </c>
      <c r="V159" s="137">
        <f t="shared" si="42"/>
        <v>2</v>
      </c>
      <c r="W159" s="137">
        <f t="shared" si="42"/>
        <v>2</v>
      </c>
      <c r="X159" s="137">
        <f t="shared" si="42"/>
        <v>2</v>
      </c>
      <c r="Y159" s="137">
        <f t="shared" si="42"/>
        <v>2</v>
      </c>
      <c r="Z159" s="137">
        <f t="shared" si="42"/>
        <v>2</v>
      </c>
      <c r="AA159" s="137">
        <f t="shared" si="42"/>
        <v>2</v>
      </c>
      <c r="AB159" s="137">
        <f t="shared" si="42"/>
        <v>2</v>
      </c>
      <c r="AC159" s="137">
        <f t="shared" si="42"/>
        <v>2</v>
      </c>
      <c r="AD159" s="137">
        <f t="shared" si="42"/>
        <v>2</v>
      </c>
      <c r="AE159" s="137">
        <f t="shared" si="42"/>
        <v>2</v>
      </c>
      <c r="AF159" s="137">
        <f t="shared" si="42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1"/>
        <v>0.47</v>
      </c>
      <c r="D160" s="137">
        <f t="shared" si="41"/>
        <v>0.47</v>
      </c>
      <c r="E160" s="137">
        <f t="shared" si="41"/>
        <v>0.47</v>
      </c>
      <c r="F160" s="137">
        <f t="shared" si="41"/>
        <v>0.47</v>
      </c>
      <c r="G160" s="137">
        <f t="shared" si="41"/>
        <v>0.47</v>
      </c>
      <c r="H160" s="137">
        <f t="shared" si="41"/>
        <v>0.47</v>
      </c>
      <c r="I160" s="137">
        <f t="shared" si="41"/>
        <v>0.47</v>
      </c>
      <c r="J160" s="137">
        <f t="shared" si="41"/>
        <v>0.47</v>
      </c>
      <c r="K160" s="137">
        <f t="shared" si="41"/>
        <v>0.47</v>
      </c>
      <c r="L160" s="137">
        <f t="shared" si="41"/>
        <v>0.47</v>
      </c>
      <c r="M160" s="137">
        <f t="shared" si="41"/>
        <v>0.47</v>
      </c>
      <c r="N160" s="137">
        <f t="shared" si="41"/>
        <v>0.47</v>
      </c>
      <c r="O160" s="137">
        <f t="shared" si="41"/>
        <v>0.47</v>
      </c>
      <c r="P160" s="137">
        <f t="shared" si="41"/>
        <v>0.47</v>
      </c>
      <c r="Q160" s="137">
        <f t="shared" si="41"/>
        <v>0.47</v>
      </c>
      <c r="R160" s="137">
        <f t="shared" si="41"/>
        <v>0.47</v>
      </c>
      <c r="S160" s="137">
        <f t="shared" si="42"/>
        <v>0.47</v>
      </c>
      <c r="T160" s="137">
        <f t="shared" si="42"/>
        <v>0.47</v>
      </c>
      <c r="U160" s="137">
        <f t="shared" si="42"/>
        <v>0.47</v>
      </c>
      <c r="V160" s="137">
        <f t="shared" si="42"/>
        <v>0.47</v>
      </c>
      <c r="W160" s="137">
        <f t="shared" si="42"/>
        <v>0.47</v>
      </c>
      <c r="X160" s="137">
        <f t="shared" si="42"/>
        <v>0.47</v>
      </c>
      <c r="Y160" s="137">
        <f t="shared" si="42"/>
        <v>0.47</v>
      </c>
      <c r="Z160" s="137">
        <f t="shared" si="42"/>
        <v>0.47</v>
      </c>
      <c r="AA160" s="137">
        <f t="shared" si="42"/>
        <v>0.47</v>
      </c>
      <c r="AB160" s="137">
        <f t="shared" si="42"/>
        <v>0.47</v>
      </c>
      <c r="AC160" s="137">
        <f t="shared" si="42"/>
        <v>0.47</v>
      </c>
      <c r="AD160" s="137">
        <f t="shared" si="42"/>
        <v>0.47</v>
      </c>
      <c r="AE160" s="137">
        <f t="shared" si="42"/>
        <v>0.47</v>
      </c>
      <c r="AF160" s="137">
        <f t="shared" si="42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1"/>
        <v>0</v>
      </c>
      <c r="D161" s="137">
        <f t="shared" si="41"/>
        <v>0</v>
      </c>
      <c r="E161" s="137">
        <f t="shared" si="41"/>
        <v>0</v>
      </c>
      <c r="F161" s="137">
        <f t="shared" si="41"/>
        <v>0</v>
      </c>
      <c r="G161" s="137">
        <f t="shared" si="41"/>
        <v>0</v>
      </c>
      <c r="H161" s="137">
        <f t="shared" si="41"/>
        <v>0</v>
      </c>
      <c r="I161" s="137">
        <f t="shared" si="41"/>
        <v>0</v>
      </c>
      <c r="J161" s="137">
        <f t="shared" si="41"/>
        <v>0</v>
      </c>
      <c r="K161" s="137">
        <f t="shared" si="41"/>
        <v>0</v>
      </c>
      <c r="L161" s="137">
        <f t="shared" si="41"/>
        <v>0</v>
      </c>
      <c r="M161" s="137">
        <f t="shared" si="41"/>
        <v>0</v>
      </c>
      <c r="N161" s="137">
        <f t="shared" si="41"/>
        <v>0</v>
      </c>
      <c r="O161" s="137">
        <f t="shared" si="41"/>
        <v>0</v>
      </c>
      <c r="P161" s="137">
        <f t="shared" si="41"/>
        <v>0</v>
      </c>
      <c r="Q161" s="137">
        <f t="shared" si="41"/>
        <v>0</v>
      </c>
      <c r="R161" s="137">
        <f t="shared" si="41"/>
        <v>0</v>
      </c>
      <c r="S161" s="137">
        <f t="shared" si="42"/>
        <v>0</v>
      </c>
      <c r="T161" s="137">
        <f t="shared" si="42"/>
        <v>0</v>
      </c>
      <c r="U161" s="137">
        <f t="shared" si="42"/>
        <v>0</v>
      </c>
      <c r="V161" s="137">
        <f t="shared" si="42"/>
        <v>0</v>
      </c>
      <c r="W161" s="137">
        <f t="shared" si="42"/>
        <v>0</v>
      </c>
      <c r="X161" s="137">
        <f t="shared" si="42"/>
        <v>0</v>
      </c>
      <c r="Y161" s="137">
        <f t="shared" si="42"/>
        <v>0</v>
      </c>
      <c r="Z161" s="137">
        <f t="shared" si="42"/>
        <v>0</v>
      </c>
      <c r="AA161" s="137">
        <f t="shared" si="42"/>
        <v>0</v>
      </c>
      <c r="AB161" s="137">
        <f t="shared" si="42"/>
        <v>0</v>
      </c>
      <c r="AC161" s="137">
        <f t="shared" si="42"/>
        <v>0</v>
      </c>
      <c r="AD161" s="137">
        <f t="shared" si="42"/>
        <v>0</v>
      </c>
      <c r="AE161" s="137">
        <f t="shared" si="42"/>
        <v>0</v>
      </c>
      <c r="AF161" s="137">
        <f t="shared" si="42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1"/>
        <v>0</v>
      </c>
      <c r="D162" s="137">
        <f t="shared" si="41"/>
        <v>0</v>
      </c>
      <c r="E162" s="137">
        <f t="shared" si="41"/>
        <v>0</v>
      </c>
      <c r="F162" s="137">
        <f t="shared" si="41"/>
        <v>0</v>
      </c>
      <c r="G162" s="137">
        <f t="shared" si="41"/>
        <v>0</v>
      </c>
      <c r="H162" s="137">
        <f t="shared" si="41"/>
        <v>0</v>
      </c>
      <c r="I162" s="137">
        <f t="shared" si="41"/>
        <v>0</v>
      </c>
      <c r="J162" s="137">
        <f t="shared" si="41"/>
        <v>0</v>
      </c>
      <c r="K162" s="137">
        <f t="shared" si="41"/>
        <v>0</v>
      </c>
      <c r="L162" s="137">
        <f t="shared" si="41"/>
        <v>0</v>
      </c>
      <c r="M162" s="137">
        <f t="shared" si="41"/>
        <v>0</v>
      </c>
      <c r="N162" s="137">
        <f t="shared" si="41"/>
        <v>0</v>
      </c>
      <c r="O162" s="137">
        <f t="shared" si="41"/>
        <v>0</v>
      </c>
      <c r="P162" s="137">
        <f t="shared" si="41"/>
        <v>0</v>
      </c>
      <c r="Q162" s="137">
        <f t="shared" si="41"/>
        <v>0</v>
      </c>
      <c r="R162" s="137">
        <f t="shared" si="42"/>
        <v>0</v>
      </c>
      <c r="S162" s="137">
        <f t="shared" si="42"/>
        <v>0</v>
      </c>
      <c r="T162" s="137">
        <f t="shared" si="42"/>
        <v>0</v>
      </c>
      <c r="U162" s="137">
        <f t="shared" si="42"/>
        <v>0</v>
      </c>
      <c r="V162" s="137">
        <f t="shared" si="42"/>
        <v>0</v>
      </c>
      <c r="W162" s="137">
        <f t="shared" si="42"/>
        <v>0</v>
      </c>
      <c r="X162" s="137">
        <f t="shared" si="42"/>
        <v>0</v>
      </c>
      <c r="Y162" s="137">
        <f t="shared" si="42"/>
        <v>0</v>
      </c>
      <c r="Z162" s="137">
        <f t="shared" si="42"/>
        <v>0</v>
      </c>
      <c r="AA162" s="137">
        <f t="shared" si="42"/>
        <v>0</v>
      </c>
      <c r="AB162" s="137">
        <f t="shared" si="42"/>
        <v>0</v>
      </c>
      <c r="AC162" s="137">
        <f t="shared" si="42"/>
        <v>0</v>
      </c>
      <c r="AD162" s="137">
        <f t="shared" si="42"/>
        <v>0</v>
      </c>
      <c r="AE162" s="137">
        <f t="shared" si="42"/>
        <v>0</v>
      </c>
      <c r="AF162" s="137">
        <f t="shared" si="42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1"/>
        <v>0.8</v>
      </c>
      <c r="D163" s="137">
        <f t="shared" si="41"/>
        <v>0.8</v>
      </c>
      <c r="E163" s="137">
        <f t="shared" si="41"/>
        <v>0.8</v>
      </c>
      <c r="F163" s="137">
        <f t="shared" si="41"/>
        <v>0.8</v>
      </c>
      <c r="G163" s="137">
        <f t="shared" si="41"/>
        <v>0.8</v>
      </c>
      <c r="H163" s="137">
        <f t="shared" si="41"/>
        <v>0.8</v>
      </c>
      <c r="I163" s="137">
        <f t="shared" si="41"/>
        <v>0.8</v>
      </c>
      <c r="J163" s="137">
        <f t="shared" si="41"/>
        <v>0.8</v>
      </c>
      <c r="K163" s="137">
        <f t="shared" si="41"/>
        <v>0.8</v>
      </c>
      <c r="L163" s="137">
        <f t="shared" si="41"/>
        <v>0.8</v>
      </c>
      <c r="M163" s="137">
        <f t="shared" si="41"/>
        <v>0.8</v>
      </c>
      <c r="N163" s="137">
        <f t="shared" si="41"/>
        <v>0.8</v>
      </c>
      <c r="O163" s="137">
        <f t="shared" si="41"/>
        <v>0.8</v>
      </c>
      <c r="P163" s="137">
        <f t="shared" si="41"/>
        <v>0.8</v>
      </c>
      <c r="Q163" s="137">
        <f t="shared" si="41"/>
        <v>0.8</v>
      </c>
      <c r="R163" s="137">
        <f t="shared" si="42"/>
        <v>0.8</v>
      </c>
      <c r="S163" s="137">
        <f t="shared" si="42"/>
        <v>0.8</v>
      </c>
      <c r="T163" s="137">
        <f t="shared" si="42"/>
        <v>0.8</v>
      </c>
      <c r="U163" s="137">
        <f t="shared" si="42"/>
        <v>0.8</v>
      </c>
      <c r="V163" s="137">
        <f t="shared" si="42"/>
        <v>0.8</v>
      </c>
      <c r="W163" s="137">
        <f t="shared" si="42"/>
        <v>0.8</v>
      </c>
      <c r="X163" s="137">
        <f t="shared" si="42"/>
        <v>0.8</v>
      </c>
      <c r="Y163" s="137">
        <f t="shared" si="42"/>
        <v>0.8</v>
      </c>
      <c r="Z163" s="137">
        <f t="shared" si="42"/>
        <v>0.8</v>
      </c>
      <c r="AA163" s="137">
        <f t="shared" si="42"/>
        <v>0.8</v>
      </c>
      <c r="AB163" s="137">
        <f t="shared" si="42"/>
        <v>0.8</v>
      </c>
      <c r="AC163" s="137">
        <f t="shared" si="42"/>
        <v>0.8</v>
      </c>
      <c r="AD163" s="137">
        <f t="shared" si="42"/>
        <v>0.8</v>
      </c>
      <c r="AE163" s="137">
        <f t="shared" si="42"/>
        <v>0.8</v>
      </c>
      <c r="AF163" s="137">
        <f t="shared" si="42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1"/>
        <v>1.5</v>
      </c>
      <c r="D164" s="137">
        <f t="shared" si="41"/>
        <v>1.5</v>
      </c>
      <c r="E164" s="137">
        <f t="shared" si="41"/>
        <v>1.5</v>
      </c>
      <c r="F164" s="137">
        <f t="shared" si="41"/>
        <v>1.5</v>
      </c>
      <c r="G164" s="137">
        <f t="shared" si="41"/>
        <v>1.5</v>
      </c>
      <c r="H164" s="137">
        <f t="shared" si="41"/>
        <v>1.5</v>
      </c>
      <c r="I164" s="137">
        <f t="shared" si="41"/>
        <v>1.5</v>
      </c>
      <c r="J164" s="137">
        <f t="shared" si="41"/>
        <v>1.5</v>
      </c>
      <c r="K164" s="137">
        <f t="shared" si="41"/>
        <v>1.5</v>
      </c>
      <c r="L164" s="137">
        <f t="shared" si="41"/>
        <v>1.5</v>
      </c>
      <c r="M164" s="137">
        <f t="shared" si="41"/>
        <v>1.5</v>
      </c>
      <c r="N164" s="137">
        <f t="shared" si="41"/>
        <v>1.5</v>
      </c>
      <c r="O164" s="137">
        <f t="shared" si="41"/>
        <v>1.5</v>
      </c>
      <c r="P164" s="137">
        <f t="shared" si="41"/>
        <v>1.5</v>
      </c>
      <c r="Q164" s="137">
        <f t="shared" si="41"/>
        <v>1.5</v>
      </c>
      <c r="R164" s="137">
        <f t="shared" si="42"/>
        <v>1.5</v>
      </c>
      <c r="S164" s="137">
        <f t="shared" si="42"/>
        <v>1.5</v>
      </c>
      <c r="T164" s="137">
        <f t="shared" si="42"/>
        <v>1.5</v>
      </c>
      <c r="U164" s="137">
        <f t="shared" si="42"/>
        <v>1.5</v>
      </c>
      <c r="V164" s="137">
        <f t="shared" si="42"/>
        <v>1.5</v>
      </c>
      <c r="W164" s="137">
        <f t="shared" si="42"/>
        <v>1.5</v>
      </c>
      <c r="X164" s="137">
        <f t="shared" si="42"/>
        <v>1.5</v>
      </c>
      <c r="Y164" s="137">
        <f t="shared" si="42"/>
        <v>1.5</v>
      </c>
      <c r="Z164" s="137">
        <f t="shared" si="42"/>
        <v>1.5</v>
      </c>
      <c r="AA164" s="137">
        <f t="shared" si="42"/>
        <v>1.5</v>
      </c>
      <c r="AB164" s="137">
        <f t="shared" si="42"/>
        <v>1.5</v>
      </c>
      <c r="AC164" s="137">
        <f t="shared" si="42"/>
        <v>1.5</v>
      </c>
      <c r="AD164" s="137">
        <f t="shared" si="42"/>
        <v>1.5</v>
      </c>
      <c r="AE164" s="137">
        <f t="shared" si="42"/>
        <v>1.5</v>
      </c>
      <c r="AF164" s="137">
        <f t="shared" si="42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1"/>
        <v>1</v>
      </c>
      <c r="D165" s="137">
        <f t="shared" si="41"/>
        <v>1</v>
      </c>
      <c r="E165" s="137">
        <f t="shared" si="41"/>
        <v>1</v>
      </c>
      <c r="F165" s="137">
        <f t="shared" si="41"/>
        <v>1</v>
      </c>
      <c r="G165" s="137">
        <f t="shared" si="41"/>
        <v>1</v>
      </c>
      <c r="H165" s="137">
        <f t="shared" si="41"/>
        <v>1</v>
      </c>
      <c r="I165" s="137">
        <f t="shared" si="41"/>
        <v>1</v>
      </c>
      <c r="J165" s="137">
        <f t="shared" si="41"/>
        <v>1</v>
      </c>
      <c r="K165" s="137">
        <f t="shared" si="41"/>
        <v>1</v>
      </c>
      <c r="L165" s="137">
        <f t="shared" si="41"/>
        <v>1</v>
      </c>
      <c r="M165" s="137">
        <f t="shared" si="41"/>
        <v>1</v>
      </c>
      <c r="N165" s="137">
        <f t="shared" si="41"/>
        <v>1</v>
      </c>
      <c r="O165" s="137">
        <f t="shared" si="41"/>
        <v>1</v>
      </c>
      <c r="P165" s="137">
        <f t="shared" si="41"/>
        <v>1</v>
      </c>
      <c r="Q165" s="137">
        <f t="shared" si="41"/>
        <v>1</v>
      </c>
      <c r="R165" s="137">
        <f t="shared" si="42"/>
        <v>1</v>
      </c>
      <c r="S165" s="137">
        <f t="shared" si="42"/>
        <v>1</v>
      </c>
      <c r="T165" s="137">
        <f t="shared" si="42"/>
        <v>1</v>
      </c>
      <c r="U165" s="137">
        <f t="shared" si="42"/>
        <v>1</v>
      </c>
      <c r="V165" s="137">
        <f t="shared" si="42"/>
        <v>1</v>
      </c>
      <c r="W165" s="137">
        <f t="shared" si="42"/>
        <v>1</v>
      </c>
      <c r="X165" s="137">
        <f t="shared" si="42"/>
        <v>1</v>
      </c>
      <c r="Y165" s="137">
        <f t="shared" si="42"/>
        <v>1</v>
      </c>
      <c r="Z165" s="137">
        <f t="shared" si="42"/>
        <v>1</v>
      </c>
      <c r="AA165" s="137">
        <f t="shared" si="42"/>
        <v>1</v>
      </c>
      <c r="AB165" s="137">
        <f t="shared" si="42"/>
        <v>1</v>
      </c>
      <c r="AC165" s="137">
        <f t="shared" si="42"/>
        <v>1</v>
      </c>
      <c r="AD165" s="137">
        <f t="shared" si="42"/>
        <v>1</v>
      </c>
      <c r="AE165" s="137">
        <f t="shared" si="42"/>
        <v>1</v>
      </c>
      <c r="AF165" s="137">
        <f t="shared" si="42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3">B167</f>
        <v>1</v>
      </c>
      <c r="D167" s="137">
        <f t="shared" si="43"/>
        <v>1</v>
      </c>
      <c r="E167" s="137">
        <f t="shared" si="43"/>
        <v>1</v>
      </c>
      <c r="F167" s="137">
        <f t="shared" si="43"/>
        <v>1</v>
      </c>
      <c r="G167" s="137">
        <f t="shared" si="43"/>
        <v>1</v>
      </c>
      <c r="H167" s="137">
        <f t="shared" si="43"/>
        <v>1</v>
      </c>
      <c r="I167" s="137">
        <f t="shared" si="43"/>
        <v>1</v>
      </c>
      <c r="J167" s="137">
        <f t="shared" si="43"/>
        <v>1</v>
      </c>
      <c r="K167" s="137">
        <f t="shared" si="43"/>
        <v>1</v>
      </c>
      <c r="L167" s="137">
        <f t="shared" si="43"/>
        <v>1</v>
      </c>
      <c r="M167" s="137">
        <f t="shared" si="43"/>
        <v>1</v>
      </c>
      <c r="N167" s="137">
        <f t="shared" si="43"/>
        <v>1</v>
      </c>
      <c r="O167" s="137">
        <f t="shared" si="43"/>
        <v>1</v>
      </c>
      <c r="P167" s="137">
        <f t="shared" si="43"/>
        <v>1</v>
      </c>
      <c r="Q167" s="137">
        <f t="shared" si="43"/>
        <v>1</v>
      </c>
      <c r="R167" s="137">
        <f t="shared" si="43"/>
        <v>1</v>
      </c>
      <c r="S167" s="137">
        <f t="shared" ref="R167:AF174" si="44">R167</f>
        <v>1</v>
      </c>
      <c r="T167" s="137">
        <f t="shared" si="44"/>
        <v>1</v>
      </c>
      <c r="U167" s="137">
        <f t="shared" si="44"/>
        <v>1</v>
      </c>
      <c r="V167" s="137">
        <f t="shared" si="44"/>
        <v>1</v>
      </c>
      <c r="W167" s="137">
        <f t="shared" si="44"/>
        <v>1</v>
      </c>
      <c r="X167" s="137">
        <f t="shared" si="44"/>
        <v>1</v>
      </c>
      <c r="Y167" s="137">
        <f t="shared" si="44"/>
        <v>1</v>
      </c>
      <c r="Z167" s="137">
        <f t="shared" si="44"/>
        <v>1</v>
      </c>
      <c r="AA167" s="137">
        <f t="shared" si="44"/>
        <v>1</v>
      </c>
      <c r="AB167" s="137">
        <f t="shared" si="44"/>
        <v>1</v>
      </c>
      <c r="AC167" s="137">
        <f t="shared" si="44"/>
        <v>1</v>
      </c>
      <c r="AD167" s="137">
        <f t="shared" si="44"/>
        <v>1</v>
      </c>
      <c r="AE167" s="137">
        <f t="shared" si="44"/>
        <v>1</v>
      </c>
      <c r="AF167" s="137">
        <f t="shared" si="44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3"/>
        <v>0.42</v>
      </c>
      <c r="D168" s="137">
        <f t="shared" si="43"/>
        <v>0.42</v>
      </c>
      <c r="E168" s="137">
        <f t="shared" si="43"/>
        <v>0.42</v>
      </c>
      <c r="F168" s="137">
        <f t="shared" si="43"/>
        <v>0.42</v>
      </c>
      <c r="G168" s="137">
        <f t="shared" si="43"/>
        <v>0.42</v>
      </c>
      <c r="H168" s="137">
        <f t="shared" si="43"/>
        <v>0.42</v>
      </c>
      <c r="I168" s="137">
        <f t="shared" si="43"/>
        <v>0.42</v>
      </c>
      <c r="J168" s="137">
        <f t="shared" si="43"/>
        <v>0.42</v>
      </c>
      <c r="K168" s="137">
        <f t="shared" si="43"/>
        <v>0.42</v>
      </c>
      <c r="L168" s="137">
        <f t="shared" si="43"/>
        <v>0.42</v>
      </c>
      <c r="M168" s="137">
        <f t="shared" si="43"/>
        <v>0.42</v>
      </c>
      <c r="N168" s="137">
        <f t="shared" si="43"/>
        <v>0.42</v>
      </c>
      <c r="O168" s="137">
        <f t="shared" si="43"/>
        <v>0.42</v>
      </c>
      <c r="P168" s="137">
        <f t="shared" si="43"/>
        <v>0.42</v>
      </c>
      <c r="Q168" s="137">
        <f t="shared" si="43"/>
        <v>0.42</v>
      </c>
      <c r="R168" s="137">
        <f t="shared" si="44"/>
        <v>0.42</v>
      </c>
      <c r="S168" s="137">
        <f t="shared" si="44"/>
        <v>0.42</v>
      </c>
      <c r="T168" s="137">
        <f t="shared" si="44"/>
        <v>0.42</v>
      </c>
      <c r="U168" s="137">
        <f t="shared" si="44"/>
        <v>0.42</v>
      </c>
      <c r="V168" s="137">
        <f t="shared" si="44"/>
        <v>0.42</v>
      </c>
      <c r="W168" s="137">
        <f t="shared" si="44"/>
        <v>0.42</v>
      </c>
      <c r="X168" s="137">
        <f t="shared" si="44"/>
        <v>0.42</v>
      </c>
      <c r="Y168" s="137">
        <f t="shared" si="44"/>
        <v>0.42</v>
      </c>
      <c r="Z168" s="137">
        <f t="shared" si="44"/>
        <v>0.42</v>
      </c>
      <c r="AA168" s="137">
        <f t="shared" si="44"/>
        <v>0.42</v>
      </c>
      <c r="AB168" s="137">
        <f t="shared" si="44"/>
        <v>0.42</v>
      </c>
      <c r="AC168" s="137">
        <f t="shared" si="44"/>
        <v>0.42</v>
      </c>
      <c r="AD168" s="137">
        <f t="shared" si="44"/>
        <v>0.42</v>
      </c>
      <c r="AE168" s="137">
        <f t="shared" si="44"/>
        <v>0.42</v>
      </c>
      <c r="AF168" s="137">
        <f t="shared" si="44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3"/>
        <v>0.46</v>
      </c>
      <c r="D169" s="137">
        <f t="shared" si="43"/>
        <v>0.46</v>
      </c>
      <c r="E169" s="137">
        <f t="shared" si="43"/>
        <v>0.46</v>
      </c>
      <c r="F169" s="137">
        <f t="shared" si="43"/>
        <v>0.46</v>
      </c>
      <c r="G169" s="137">
        <f t="shared" si="43"/>
        <v>0.46</v>
      </c>
      <c r="H169" s="137">
        <f t="shared" si="43"/>
        <v>0.46</v>
      </c>
      <c r="I169" s="137">
        <f t="shared" si="43"/>
        <v>0.46</v>
      </c>
      <c r="J169" s="137">
        <f t="shared" si="43"/>
        <v>0.46</v>
      </c>
      <c r="K169" s="137">
        <f t="shared" si="43"/>
        <v>0.46</v>
      </c>
      <c r="L169" s="137">
        <f t="shared" si="43"/>
        <v>0.46</v>
      </c>
      <c r="M169" s="137">
        <f t="shared" si="43"/>
        <v>0.46</v>
      </c>
      <c r="N169" s="137">
        <f t="shared" si="43"/>
        <v>0.46</v>
      </c>
      <c r="O169" s="137">
        <f t="shared" si="43"/>
        <v>0.46</v>
      </c>
      <c r="P169" s="137">
        <f t="shared" si="43"/>
        <v>0.46</v>
      </c>
      <c r="Q169" s="137">
        <f t="shared" si="43"/>
        <v>0.46</v>
      </c>
      <c r="R169" s="137">
        <f t="shared" si="44"/>
        <v>0.46</v>
      </c>
      <c r="S169" s="137">
        <f t="shared" si="44"/>
        <v>0.46</v>
      </c>
      <c r="T169" s="137">
        <f t="shared" si="44"/>
        <v>0.46</v>
      </c>
      <c r="U169" s="137">
        <f t="shared" si="44"/>
        <v>0.46</v>
      </c>
      <c r="V169" s="137">
        <f t="shared" si="44"/>
        <v>0.46</v>
      </c>
      <c r="W169" s="137">
        <f t="shared" si="44"/>
        <v>0.46</v>
      </c>
      <c r="X169" s="137">
        <f t="shared" si="44"/>
        <v>0.46</v>
      </c>
      <c r="Y169" s="137">
        <f t="shared" si="44"/>
        <v>0.46</v>
      </c>
      <c r="Z169" s="137">
        <f t="shared" si="44"/>
        <v>0.46</v>
      </c>
      <c r="AA169" s="137">
        <f t="shared" si="44"/>
        <v>0.46</v>
      </c>
      <c r="AB169" s="137">
        <f t="shared" si="44"/>
        <v>0.46</v>
      </c>
      <c r="AC169" s="137">
        <f t="shared" si="44"/>
        <v>0.46</v>
      </c>
      <c r="AD169" s="137">
        <f t="shared" si="44"/>
        <v>0.46</v>
      </c>
      <c r="AE169" s="137">
        <f t="shared" si="44"/>
        <v>0.46</v>
      </c>
      <c r="AF169" s="137">
        <f t="shared" si="44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3"/>
        <v>0.85</v>
      </c>
      <c r="D170" s="137">
        <f t="shared" si="43"/>
        <v>0.85</v>
      </c>
      <c r="E170" s="137">
        <f t="shared" si="43"/>
        <v>0.85</v>
      </c>
      <c r="F170" s="137">
        <f t="shared" si="43"/>
        <v>0.85</v>
      </c>
      <c r="G170" s="137">
        <f t="shared" si="43"/>
        <v>0.85</v>
      </c>
      <c r="H170" s="137">
        <f t="shared" si="43"/>
        <v>0.85</v>
      </c>
      <c r="I170" s="137">
        <f t="shared" si="43"/>
        <v>0.85</v>
      </c>
      <c r="J170" s="137">
        <f t="shared" si="43"/>
        <v>0.85</v>
      </c>
      <c r="K170" s="137">
        <f t="shared" si="43"/>
        <v>0.85</v>
      </c>
      <c r="L170" s="137">
        <f t="shared" si="43"/>
        <v>0.85</v>
      </c>
      <c r="M170" s="137">
        <f t="shared" si="43"/>
        <v>0.85</v>
      </c>
      <c r="N170" s="137">
        <f t="shared" si="43"/>
        <v>0.85</v>
      </c>
      <c r="O170" s="137">
        <f t="shared" si="43"/>
        <v>0.85</v>
      </c>
      <c r="P170" s="137">
        <f t="shared" si="43"/>
        <v>0.85</v>
      </c>
      <c r="Q170" s="137">
        <f t="shared" si="43"/>
        <v>0.85</v>
      </c>
      <c r="R170" s="137">
        <f t="shared" si="44"/>
        <v>0.85</v>
      </c>
      <c r="S170" s="137">
        <f t="shared" si="44"/>
        <v>0.85</v>
      </c>
      <c r="T170" s="137">
        <f t="shared" si="44"/>
        <v>0.85</v>
      </c>
      <c r="U170" s="137">
        <f t="shared" si="44"/>
        <v>0.85</v>
      </c>
      <c r="V170" s="137">
        <f t="shared" si="44"/>
        <v>0.85</v>
      </c>
      <c r="W170" s="137">
        <f t="shared" si="44"/>
        <v>0.85</v>
      </c>
      <c r="X170" s="137">
        <f t="shared" si="44"/>
        <v>0.85</v>
      </c>
      <c r="Y170" s="137">
        <f t="shared" si="44"/>
        <v>0.85</v>
      </c>
      <c r="Z170" s="137">
        <f t="shared" si="44"/>
        <v>0.85</v>
      </c>
      <c r="AA170" s="137">
        <f t="shared" si="44"/>
        <v>0.85</v>
      </c>
      <c r="AB170" s="137">
        <f t="shared" si="44"/>
        <v>0.85</v>
      </c>
      <c r="AC170" s="137">
        <f t="shared" si="44"/>
        <v>0.85</v>
      </c>
      <c r="AD170" s="137">
        <f t="shared" si="44"/>
        <v>0.85</v>
      </c>
      <c r="AE170" s="137">
        <f t="shared" si="44"/>
        <v>0.85</v>
      </c>
      <c r="AF170" s="137">
        <f t="shared" si="44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3"/>
        <v>0.9</v>
      </c>
      <c r="D171" s="137">
        <f t="shared" si="43"/>
        <v>0.9</v>
      </c>
      <c r="E171" s="137">
        <f t="shared" si="43"/>
        <v>0.9</v>
      </c>
      <c r="F171" s="137">
        <f t="shared" si="43"/>
        <v>0.9</v>
      </c>
      <c r="G171" s="137">
        <f t="shared" si="43"/>
        <v>0.9</v>
      </c>
      <c r="H171" s="137">
        <f t="shared" si="43"/>
        <v>0.9</v>
      </c>
      <c r="I171" s="137">
        <f t="shared" si="43"/>
        <v>0.9</v>
      </c>
      <c r="J171" s="137">
        <f t="shared" si="43"/>
        <v>0.9</v>
      </c>
      <c r="K171" s="137">
        <f t="shared" si="43"/>
        <v>0.9</v>
      </c>
      <c r="L171" s="137">
        <f t="shared" si="43"/>
        <v>0.9</v>
      </c>
      <c r="M171" s="137">
        <f t="shared" si="43"/>
        <v>0.9</v>
      </c>
      <c r="N171" s="137">
        <f t="shared" si="43"/>
        <v>0.9</v>
      </c>
      <c r="O171" s="137">
        <f t="shared" si="43"/>
        <v>0.9</v>
      </c>
      <c r="P171" s="137">
        <f t="shared" si="43"/>
        <v>0.9</v>
      </c>
      <c r="Q171" s="137">
        <f t="shared" si="43"/>
        <v>0.9</v>
      </c>
      <c r="R171" s="137">
        <f t="shared" si="44"/>
        <v>0.9</v>
      </c>
      <c r="S171" s="137">
        <f t="shared" si="44"/>
        <v>0.9</v>
      </c>
      <c r="T171" s="137">
        <f t="shared" si="44"/>
        <v>0.9</v>
      </c>
      <c r="U171" s="137">
        <f t="shared" si="44"/>
        <v>0.9</v>
      </c>
      <c r="V171" s="137">
        <f t="shared" si="44"/>
        <v>0.9</v>
      </c>
      <c r="W171" s="137">
        <f t="shared" si="44"/>
        <v>0.9</v>
      </c>
      <c r="X171" s="137">
        <f t="shared" si="44"/>
        <v>0.9</v>
      </c>
      <c r="Y171" s="137">
        <f t="shared" si="44"/>
        <v>0.9</v>
      </c>
      <c r="Z171" s="137">
        <f t="shared" si="44"/>
        <v>0.9</v>
      </c>
      <c r="AA171" s="137">
        <f t="shared" si="44"/>
        <v>0.9</v>
      </c>
      <c r="AB171" s="137">
        <f t="shared" si="44"/>
        <v>0.9</v>
      </c>
      <c r="AC171" s="137">
        <f t="shared" si="44"/>
        <v>0.9</v>
      </c>
      <c r="AD171" s="137">
        <f t="shared" si="44"/>
        <v>0.9</v>
      </c>
      <c r="AE171" s="137">
        <f t="shared" si="44"/>
        <v>0.9</v>
      </c>
      <c r="AF171" s="137">
        <f t="shared" si="44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3"/>
        <v>0.44</v>
      </c>
      <c r="D172" s="137">
        <f t="shared" si="43"/>
        <v>0.44</v>
      </c>
      <c r="E172" s="137">
        <f t="shared" si="43"/>
        <v>0.44</v>
      </c>
      <c r="F172" s="137">
        <f t="shared" si="43"/>
        <v>0.44</v>
      </c>
      <c r="G172" s="137">
        <f t="shared" si="43"/>
        <v>0.44</v>
      </c>
      <c r="H172" s="137">
        <f t="shared" si="43"/>
        <v>0.44</v>
      </c>
      <c r="I172" s="137">
        <f t="shared" si="43"/>
        <v>0.44</v>
      </c>
      <c r="J172" s="137">
        <f t="shared" si="43"/>
        <v>0.44</v>
      </c>
      <c r="K172" s="137">
        <f t="shared" si="43"/>
        <v>0.44</v>
      </c>
      <c r="L172" s="137">
        <f t="shared" si="43"/>
        <v>0.44</v>
      </c>
      <c r="M172" s="137">
        <f t="shared" si="43"/>
        <v>0.44</v>
      </c>
      <c r="N172" s="137">
        <f t="shared" si="43"/>
        <v>0.44</v>
      </c>
      <c r="O172" s="137">
        <f t="shared" si="43"/>
        <v>0.44</v>
      </c>
      <c r="P172" s="137">
        <f t="shared" si="43"/>
        <v>0.44</v>
      </c>
      <c r="Q172" s="137">
        <f t="shared" si="43"/>
        <v>0.44</v>
      </c>
      <c r="R172" s="137">
        <f t="shared" si="44"/>
        <v>0.44</v>
      </c>
      <c r="S172" s="137">
        <f t="shared" si="44"/>
        <v>0.44</v>
      </c>
      <c r="T172" s="137">
        <f t="shared" si="44"/>
        <v>0.44</v>
      </c>
      <c r="U172" s="137">
        <f t="shared" si="44"/>
        <v>0.44</v>
      </c>
      <c r="V172" s="137">
        <f t="shared" si="44"/>
        <v>0.44</v>
      </c>
      <c r="W172" s="137">
        <f t="shared" si="44"/>
        <v>0.44</v>
      </c>
      <c r="X172" s="137">
        <f t="shared" si="44"/>
        <v>0.44</v>
      </c>
      <c r="Y172" s="137">
        <f t="shared" si="44"/>
        <v>0.44</v>
      </c>
      <c r="Z172" s="137">
        <f t="shared" si="44"/>
        <v>0.44</v>
      </c>
      <c r="AA172" s="137">
        <f t="shared" si="44"/>
        <v>0.44</v>
      </c>
      <c r="AB172" s="137">
        <f t="shared" si="44"/>
        <v>0.44</v>
      </c>
      <c r="AC172" s="137">
        <f t="shared" si="44"/>
        <v>0.44</v>
      </c>
      <c r="AD172" s="137">
        <f t="shared" si="44"/>
        <v>0.44</v>
      </c>
      <c r="AE172" s="137">
        <f t="shared" si="44"/>
        <v>0.44</v>
      </c>
      <c r="AF172" s="137">
        <f t="shared" si="44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3"/>
        <v>2.1</v>
      </c>
      <c r="D173" s="137">
        <f t="shared" si="43"/>
        <v>2.1</v>
      </c>
      <c r="E173" s="137">
        <f t="shared" si="43"/>
        <v>2.1</v>
      </c>
      <c r="F173" s="137">
        <f t="shared" si="43"/>
        <v>2.1</v>
      </c>
      <c r="G173" s="137">
        <f t="shared" si="43"/>
        <v>2.1</v>
      </c>
      <c r="H173" s="137">
        <f t="shared" si="43"/>
        <v>2.1</v>
      </c>
      <c r="I173" s="137">
        <f t="shared" si="43"/>
        <v>2.1</v>
      </c>
      <c r="J173" s="137">
        <f t="shared" si="43"/>
        <v>2.1</v>
      </c>
      <c r="K173" s="137">
        <f t="shared" si="43"/>
        <v>2.1</v>
      </c>
      <c r="L173" s="137">
        <f t="shared" si="43"/>
        <v>2.1</v>
      </c>
      <c r="M173" s="137">
        <f t="shared" si="43"/>
        <v>2.1</v>
      </c>
      <c r="N173" s="137">
        <f t="shared" si="43"/>
        <v>2.1</v>
      </c>
      <c r="O173" s="137">
        <f t="shared" si="43"/>
        <v>2.1</v>
      </c>
      <c r="P173" s="137">
        <f t="shared" si="43"/>
        <v>2.1</v>
      </c>
      <c r="Q173" s="137">
        <f t="shared" si="43"/>
        <v>2.1</v>
      </c>
      <c r="R173" s="137">
        <f t="shared" si="44"/>
        <v>2.1</v>
      </c>
      <c r="S173" s="137">
        <f t="shared" si="44"/>
        <v>2.1</v>
      </c>
      <c r="T173" s="137">
        <f t="shared" si="44"/>
        <v>2.1</v>
      </c>
      <c r="U173" s="137">
        <f t="shared" si="44"/>
        <v>2.1</v>
      </c>
      <c r="V173" s="137">
        <f t="shared" si="44"/>
        <v>2.1</v>
      </c>
      <c r="W173" s="137">
        <f t="shared" si="44"/>
        <v>2.1</v>
      </c>
      <c r="X173" s="137">
        <f t="shared" si="44"/>
        <v>2.1</v>
      </c>
      <c r="Y173" s="137">
        <f t="shared" si="44"/>
        <v>2.1</v>
      </c>
      <c r="Z173" s="137">
        <f t="shared" si="44"/>
        <v>2.1</v>
      </c>
      <c r="AA173" s="137">
        <f t="shared" si="44"/>
        <v>2.1</v>
      </c>
      <c r="AB173" s="137">
        <f t="shared" si="44"/>
        <v>2.1</v>
      </c>
      <c r="AC173" s="137">
        <f t="shared" si="44"/>
        <v>2.1</v>
      </c>
      <c r="AD173" s="137">
        <f t="shared" si="44"/>
        <v>2.1</v>
      </c>
      <c r="AE173" s="137">
        <f t="shared" si="44"/>
        <v>2.1</v>
      </c>
      <c r="AF173" s="137">
        <f t="shared" si="44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3"/>
        <v>0.9</v>
      </c>
      <c r="D174" s="137">
        <f t="shared" si="43"/>
        <v>0.9</v>
      </c>
      <c r="E174" s="137">
        <f t="shared" si="43"/>
        <v>0.9</v>
      </c>
      <c r="F174" s="137">
        <f t="shared" si="43"/>
        <v>0.9</v>
      </c>
      <c r="G174" s="137">
        <f t="shared" si="43"/>
        <v>0.9</v>
      </c>
      <c r="H174" s="137">
        <f t="shared" si="43"/>
        <v>0.9</v>
      </c>
      <c r="I174" s="137">
        <f t="shared" si="43"/>
        <v>0.9</v>
      </c>
      <c r="J174" s="137">
        <f t="shared" si="43"/>
        <v>0.9</v>
      </c>
      <c r="K174" s="137">
        <f t="shared" si="43"/>
        <v>0.9</v>
      </c>
      <c r="L174" s="137">
        <f t="shared" si="43"/>
        <v>0.9</v>
      </c>
      <c r="M174" s="137">
        <f t="shared" si="43"/>
        <v>0.9</v>
      </c>
      <c r="N174" s="137">
        <f t="shared" si="43"/>
        <v>0.9</v>
      </c>
      <c r="O174" s="137">
        <f t="shared" si="43"/>
        <v>0.9</v>
      </c>
      <c r="P174" s="137">
        <f t="shared" si="43"/>
        <v>0.9</v>
      </c>
      <c r="Q174" s="137">
        <f t="shared" si="43"/>
        <v>0.9</v>
      </c>
      <c r="R174" s="137">
        <f t="shared" si="44"/>
        <v>0.9</v>
      </c>
      <c r="S174" s="137">
        <f t="shared" si="44"/>
        <v>0.9</v>
      </c>
      <c r="T174" s="137">
        <f t="shared" si="44"/>
        <v>0.9</v>
      </c>
      <c r="U174" s="137">
        <f t="shared" si="44"/>
        <v>0.9</v>
      </c>
      <c r="V174" s="137">
        <f t="shared" si="44"/>
        <v>0.9</v>
      </c>
      <c r="W174" s="137">
        <f t="shared" si="44"/>
        <v>0.9</v>
      </c>
      <c r="X174" s="137">
        <f t="shared" si="44"/>
        <v>0.9</v>
      </c>
      <c r="Y174" s="137">
        <f t="shared" si="44"/>
        <v>0.9</v>
      </c>
      <c r="Z174" s="137">
        <f t="shared" si="44"/>
        <v>0.9</v>
      </c>
      <c r="AA174" s="137">
        <f t="shared" si="44"/>
        <v>0.9</v>
      </c>
      <c r="AB174" s="137">
        <f t="shared" si="44"/>
        <v>0.9</v>
      </c>
      <c r="AC174" s="137">
        <f t="shared" si="44"/>
        <v>0.9</v>
      </c>
      <c r="AD174" s="137">
        <f t="shared" si="44"/>
        <v>0.9</v>
      </c>
      <c r="AE174" s="137">
        <f t="shared" si="44"/>
        <v>0.9</v>
      </c>
      <c r="AF174" s="137">
        <f t="shared" si="44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5">B176</f>
        <v>0.57999999999999996</v>
      </c>
      <c r="D176" s="137">
        <f t="shared" si="45"/>
        <v>0.57999999999999996</v>
      </c>
      <c r="E176" s="137">
        <f t="shared" si="45"/>
        <v>0.57999999999999996</v>
      </c>
      <c r="F176" s="137">
        <f t="shared" si="45"/>
        <v>0.57999999999999996</v>
      </c>
      <c r="G176" s="137">
        <f t="shared" si="45"/>
        <v>0.57999999999999996</v>
      </c>
      <c r="H176" s="137">
        <f t="shared" si="45"/>
        <v>0.57999999999999996</v>
      </c>
      <c r="I176" s="137">
        <f t="shared" si="45"/>
        <v>0.57999999999999996</v>
      </c>
      <c r="J176" s="137">
        <f t="shared" si="45"/>
        <v>0.57999999999999996</v>
      </c>
      <c r="K176" s="137">
        <f t="shared" si="45"/>
        <v>0.57999999999999996</v>
      </c>
      <c r="L176" s="137">
        <f t="shared" si="45"/>
        <v>0.57999999999999996</v>
      </c>
      <c r="M176" s="137">
        <f t="shared" si="45"/>
        <v>0.57999999999999996</v>
      </c>
      <c r="N176" s="137">
        <f t="shared" si="45"/>
        <v>0.57999999999999996</v>
      </c>
      <c r="O176" s="137">
        <f t="shared" si="45"/>
        <v>0.57999999999999996</v>
      </c>
      <c r="P176" s="137">
        <f t="shared" si="45"/>
        <v>0.57999999999999996</v>
      </c>
      <c r="Q176" s="137">
        <f t="shared" si="45"/>
        <v>0.57999999999999996</v>
      </c>
      <c r="R176" s="137">
        <f t="shared" si="45"/>
        <v>0.57999999999999996</v>
      </c>
      <c r="S176" s="137">
        <f t="shared" ref="R176:AF188" si="46">R176</f>
        <v>0.57999999999999996</v>
      </c>
      <c r="T176" s="137">
        <f t="shared" si="46"/>
        <v>0.57999999999999996</v>
      </c>
      <c r="U176" s="137">
        <f t="shared" si="46"/>
        <v>0.57999999999999996</v>
      </c>
      <c r="V176" s="137">
        <f t="shared" si="46"/>
        <v>0.57999999999999996</v>
      </c>
      <c r="W176" s="137">
        <f t="shared" si="46"/>
        <v>0.57999999999999996</v>
      </c>
      <c r="X176" s="137">
        <f t="shared" si="46"/>
        <v>0.57999999999999996</v>
      </c>
      <c r="Y176" s="137">
        <f t="shared" si="46"/>
        <v>0.57999999999999996</v>
      </c>
      <c r="Z176" s="137">
        <f t="shared" si="46"/>
        <v>0.57999999999999996</v>
      </c>
      <c r="AA176" s="137">
        <f t="shared" si="46"/>
        <v>0.57999999999999996</v>
      </c>
      <c r="AB176" s="137">
        <f t="shared" si="46"/>
        <v>0.57999999999999996</v>
      </c>
      <c r="AC176" s="137">
        <f t="shared" si="46"/>
        <v>0.57999999999999996</v>
      </c>
      <c r="AD176" s="137">
        <f t="shared" si="46"/>
        <v>0.57999999999999996</v>
      </c>
      <c r="AE176" s="137">
        <f t="shared" si="46"/>
        <v>0.57999999999999996</v>
      </c>
      <c r="AF176" s="137">
        <f t="shared" si="46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5"/>
        <v>0.8</v>
      </c>
      <c r="D177" s="137">
        <f t="shared" si="45"/>
        <v>0.8</v>
      </c>
      <c r="E177" s="137">
        <f t="shared" si="45"/>
        <v>0.8</v>
      </c>
      <c r="F177" s="137">
        <f t="shared" si="45"/>
        <v>0.8</v>
      </c>
      <c r="G177" s="137">
        <f t="shared" si="45"/>
        <v>0.8</v>
      </c>
      <c r="H177" s="137">
        <f t="shared" si="45"/>
        <v>0.8</v>
      </c>
      <c r="I177" s="137">
        <f t="shared" si="45"/>
        <v>0.8</v>
      </c>
      <c r="J177" s="137">
        <f t="shared" si="45"/>
        <v>0.8</v>
      </c>
      <c r="K177" s="137">
        <f t="shared" si="45"/>
        <v>0.8</v>
      </c>
      <c r="L177" s="137">
        <f t="shared" si="45"/>
        <v>0.8</v>
      </c>
      <c r="M177" s="137">
        <f t="shared" si="45"/>
        <v>0.8</v>
      </c>
      <c r="N177" s="137">
        <f t="shared" si="45"/>
        <v>0.8</v>
      </c>
      <c r="O177" s="137">
        <f t="shared" si="45"/>
        <v>0.8</v>
      </c>
      <c r="P177" s="137">
        <f t="shared" si="45"/>
        <v>0.8</v>
      </c>
      <c r="Q177" s="137">
        <f t="shared" si="45"/>
        <v>0.8</v>
      </c>
      <c r="R177" s="137">
        <f t="shared" si="45"/>
        <v>0.8</v>
      </c>
      <c r="S177" s="137">
        <f t="shared" si="46"/>
        <v>0.8</v>
      </c>
      <c r="T177" s="137">
        <f t="shared" si="46"/>
        <v>0.8</v>
      </c>
      <c r="U177" s="137">
        <f t="shared" si="46"/>
        <v>0.8</v>
      </c>
      <c r="V177" s="137">
        <f t="shared" si="46"/>
        <v>0.8</v>
      </c>
      <c r="W177" s="137">
        <f t="shared" si="46"/>
        <v>0.8</v>
      </c>
      <c r="X177" s="137">
        <f t="shared" si="46"/>
        <v>0.8</v>
      </c>
      <c r="Y177" s="137">
        <f t="shared" si="46"/>
        <v>0.8</v>
      </c>
      <c r="Z177" s="137">
        <f t="shared" si="46"/>
        <v>0.8</v>
      </c>
      <c r="AA177" s="137">
        <f t="shared" si="46"/>
        <v>0.8</v>
      </c>
      <c r="AB177" s="137">
        <f t="shared" si="46"/>
        <v>0.8</v>
      </c>
      <c r="AC177" s="137">
        <f t="shared" si="46"/>
        <v>0.8</v>
      </c>
      <c r="AD177" s="137">
        <f t="shared" si="46"/>
        <v>0.8</v>
      </c>
      <c r="AE177" s="137">
        <f t="shared" si="46"/>
        <v>0.8</v>
      </c>
      <c r="AF177" s="137">
        <f t="shared" si="46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5"/>
        <v>0</v>
      </c>
      <c r="D178" s="137">
        <f t="shared" si="45"/>
        <v>0</v>
      </c>
      <c r="E178" s="137">
        <f t="shared" si="45"/>
        <v>0</v>
      </c>
      <c r="F178" s="137">
        <f t="shared" si="45"/>
        <v>0</v>
      </c>
      <c r="G178" s="137">
        <f t="shared" si="45"/>
        <v>0</v>
      </c>
      <c r="H178" s="137">
        <f t="shared" si="45"/>
        <v>0</v>
      </c>
      <c r="I178" s="137">
        <f t="shared" si="45"/>
        <v>0</v>
      </c>
      <c r="J178" s="137">
        <f t="shared" si="45"/>
        <v>0</v>
      </c>
      <c r="K178" s="137">
        <f t="shared" si="45"/>
        <v>0</v>
      </c>
      <c r="L178" s="137">
        <f t="shared" si="45"/>
        <v>0</v>
      </c>
      <c r="M178" s="137">
        <f t="shared" si="45"/>
        <v>0</v>
      </c>
      <c r="N178" s="137">
        <f t="shared" si="45"/>
        <v>0</v>
      </c>
      <c r="O178" s="137">
        <f t="shared" si="45"/>
        <v>0</v>
      </c>
      <c r="P178" s="137">
        <f t="shared" si="45"/>
        <v>0</v>
      </c>
      <c r="Q178" s="137">
        <f t="shared" si="45"/>
        <v>0</v>
      </c>
      <c r="R178" s="137">
        <f t="shared" si="45"/>
        <v>0</v>
      </c>
      <c r="S178" s="137">
        <f t="shared" si="46"/>
        <v>0</v>
      </c>
      <c r="T178" s="137">
        <f t="shared" si="46"/>
        <v>0</v>
      </c>
      <c r="U178" s="137">
        <f t="shared" si="46"/>
        <v>0</v>
      </c>
      <c r="V178" s="137">
        <f t="shared" si="46"/>
        <v>0</v>
      </c>
      <c r="W178" s="137">
        <f t="shared" si="46"/>
        <v>0</v>
      </c>
      <c r="X178" s="137">
        <f t="shared" si="46"/>
        <v>0</v>
      </c>
      <c r="Y178" s="137">
        <f t="shared" si="46"/>
        <v>0</v>
      </c>
      <c r="Z178" s="137">
        <f t="shared" si="46"/>
        <v>0</v>
      </c>
      <c r="AA178" s="137">
        <f t="shared" si="46"/>
        <v>0</v>
      </c>
      <c r="AB178" s="137">
        <f t="shared" si="46"/>
        <v>0</v>
      </c>
      <c r="AC178" s="137">
        <f t="shared" si="46"/>
        <v>0</v>
      </c>
      <c r="AD178" s="137">
        <f t="shared" si="46"/>
        <v>0</v>
      </c>
      <c r="AE178" s="137">
        <f t="shared" si="46"/>
        <v>0</v>
      </c>
      <c r="AF178" s="137">
        <f t="shared" si="46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5"/>
        <v>0.6</v>
      </c>
      <c r="D179" s="137">
        <f t="shared" si="45"/>
        <v>0.6</v>
      </c>
      <c r="E179" s="137">
        <f t="shared" si="45"/>
        <v>0.6</v>
      </c>
      <c r="F179" s="137">
        <f t="shared" si="45"/>
        <v>0.6</v>
      </c>
      <c r="G179" s="137">
        <f t="shared" si="45"/>
        <v>0.6</v>
      </c>
      <c r="H179" s="137">
        <f t="shared" si="45"/>
        <v>0.6</v>
      </c>
      <c r="I179" s="137">
        <f t="shared" si="45"/>
        <v>0.6</v>
      </c>
      <c r="J179" s="137">
        <f t="shared" si="45"/>
        <v>0.6</v>
      </c>
      <c r="K179" s="137">
        <f t="shared" si="45"/>
        <v>0.6</v>
      </c>
      <c r="L179" s="137">
        <f t="shared" si="45"/>
        <v>0.6</v>
      </c>
      <c r="M179" s="137">
        <f t="shared" si="45"/>
        <v>0.6</v>
      </c>
      <c r="N179" s="137">
        <f t="shared" si="45"/>
        <v>0.6</v>
      </c>
      <c r="O179" s="137">
        <f t="shared" si="45"/>
        <v>0.6</v>
      </c>
      <c r="P179" s="137">
        <f t="shared" si="45"/>
        <v>0.6</v>
      </c>
      <c r="Q179" s="137">
        <f t="shared" si="45"/>
        <v>0.6</v>
      </c>
      <c r="R179" s="137">
        <f t="shared" si="45"/>
        <v>0.6</v>
      </c>
      <c r="S179" s="137">
        <f t="shared" si="46"/>
        <v>0.6</v>
      </c>
      <c r="T179" s="137">
        <f t="shared" si="46"/>
        <v>0.6</v>
      </c>
      <c r="U179" s="137">
        <f t="shared" si="46"/>
        <v>0.6</v>
      </c>
      <c r="V179" s="137">
        <f t="shared" si="46"/>
        <v>0.6</v>
      </c>
      <c r="W179" s="137">
        <f t="shared" si="46"/>
        <v>0.6</v>
      </c>
      <c r="X179" s="137">
        <f t="shared" si="46"/>
        <v>0.6</v>
      </c>
      <c r="Y179" s="137">
        <f t="shared" si="46"/>
        <v>0.6</v>
      </c>
      <c r="Z179" s="137">
        <f t="shared" si="46"/>
        <v>0.6</v>
      </c>
      <c r="AA179" s="137">
        <f t="shared" si="46"/>
        <v>0.6</v>
      </c>
      <c r="AB179" s="137">
        <f t="shared" si="46"/>
        <v>0.6</v>
      </c>
      <c r="AC179" s="137">
        <f t="shared" si="46"/>
        <v>0.6</v>
      </c>
      <c r="AD179" s="137">
        <f t="shared" si="46"/>
        <v>0.6</v>
      </c>
      <c r="AE179" s="137">
        <f t="shared" si="46"/>
        <v>0.6</v>
      </c>
      <c r="AF179" s="137">
        <f t="shared" si="46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5"/>
        <v>0.6</v>
      </c>
      <c r="D180" s="137">
        <f t="shared" si="45"/>
        <v>0.6</v>
      </c>
      <c r="E180" s="137">
        <f t="shared" si="45"/>
        <v>0.6</v>
      </c>
      <c r="F180" s="137">
        <f t="shared" si="45"/>
        <v>0.6</v>
      </c>
      <c r="G180" s="137">
        <f t="shared" si="45"/>
        <v>0.6</v>
      </c>
      <c r="H180" s="137">
        <f t="shared" si="45"/>
        <v>0.6</v>
      </c>
      <c r="I180" s="137">
        <f t="shared" si="45"/>
        <v>0.6</v>
      </c>
      <c r="J180" s="137">
        <f t="shared" si="45"/>
        <v>0.6</v>
      </c>
      <c r="K180" s="137">
        <f t="shared" si="45"/>
        <v>0.6</v>
      </c>
      <c r="L180" s="137">
        <f t="shared" si="45"/>
        <v>0.6</v>
      </c>
      <c r="M180" s="137">
        <f t="shared" si="45"/>
        <v>0.6</v>
      </c>
      <c r="N180" s="137">
        <f t="shared" si="45"/>
        <v>0.6</v>
      </c>
      <c r="O180" s="137">
        <f t="shared" si="45"/>
        <v>0.6</v>
      </c>
      <c r="P180" s="137">
        <f t="shared" si="45"/>
        <v>0.6</v>
      </c>
      <c r="Q180" s="137">
        <f t="shared" si="45"/>
        <v>0.6</v>
      </c>
      <c r="R180" s="137">
        <f t="shared" si="45"/>
        <v>0.6</v>
      </c>
      <c r="S180" s="137">
        <f t="shared" si="46"/>
        <v>0.6</v>
      </c>
      <c r="T180" s="137">
        <f t="shared" si="46"/>
        <v>0.6</v>
      </c>
      <c r="U180" s="137">
        <f t="shared" si="46"/>
        <v>0.6</v>
      </c>
      <c r="V180" s="137">
        <f t="shared" si="46"/>
        <v>0.6</v>
      </c>
      <c r="W180" s="137">
        <f t="shared" si="46"/>
        <v>0.6</v>
      </c>
      <c r="X180" s="137">
        <f t="shared" si="46"/>
        <v>0.6</v>
      </c>
      <c r="Y180" s="137">
        <f t="shared" si="46"/>
        <v>0.6</v>
      </c>
      <c r="Z180" s="137">
        <f t="shared" si="46"/>
        <v>0.6</v>
      </c>
      <c r="AA180" s="137">
        <f t="shared" si="46"/>
        <v>0.6</v>
      </c>
      <c r="AB180" s="137">
        <f t="shared" si="46"/>
        <v>0.6</v>
      </c>
      <c r="AC180" s="137">
        <f t="shared" si="46"/>
        <v>0.6</v>
      </c>
      <c r="AD180" s="137">
        <f t="shared" si="46"/>
        <v>0.6</v>
      </c>
      <c r="AE180" s="137">
        <f t="shared" si="46"/>
        <v>0.6</v>
      </c>
      <c r="AF180" s="137">
        <f t="shared" si="46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5"/>
        <v>0.35</v>
      </c>
      <c r="D181" s="137">
        <f t="shared" si="45"/>
        <v>0.35</v>
      </c>
      <c r="E181" s="137">
        <f t="shared" si="45"/>
        <v>0.35</v>
      </c>
      <c r="F181" s="137">
        <f t="shared" si="45"/>
        <v>0.35</v>
      </c>
      <c r="G181" s="137">
        <f t="shared" si="45"/>
        <v>0.35</v>
      </c>
      <c r="H181" s="137">
        <f t="shared" si="45"/>
        <v>0.35</v>
      </c>
      <c r="I181" s="137">
        <f t="shared" si="45"/>
        <v>0.35</v>
      </c>
      <c r="J181" s="137">
        <f t="shared" si="45"/>
        <v>0.35</v>
      </c>
      <c r="K181" s="137">
        <f t="shared" si="45"/>
        <v>0.35</v>
      </c>
      <c r="L181" s="137">
        <f t="shared" si="45"/>
        <v>0.35</v>
      </c>
      <c r="M181" s="137">
        <f t="shared" si="45"/>
        <v>0.35</v>
      </c>
      <c r="N181" s="137">
        <f t="shared" si="45"/>
        <v>0.35</v>
      </c>
      <c r="O181" s="137">
        <f t="shared" si="45"/>
        <v>0.35</v>
      </c>
      <c r="P181" s="137">
        <f t="shared" si="45"/>
        <v>0.35</v>
      </c>
      <c r="Q181" s="137">
        <f t="shared" si="45"/>
        <v>0.35</v>
      </c>
      <c r="R181" s="137">
        <f t="shared" si="45"/>
        <v>0.35</v>
      </c>
      <c r="S181" s="137">
        <f t="shared" si="46"/>
        <v>0.35</v>
      </c>
      <c r="T181" s="137">
        <f t="shared" si="46"/>
        <v>0.35</v>
      </c>
      <c r="U181" s="137">
        <f t="shared" si="46"/>
        <v>0.35</v>
      </c>
      <c r="V181" s="137">
        <f t="shared" si="46"/>
        <v>0.35</v>
      </c>
      <c r="W181" s="137">
        <f t="shared" si="46"/>
        <v>0.35</v>
      </c>
      <c r="X181" s="137">
        <f t="shared" si="46"/>
        <v>0.35</v>
      </c>
      <c r="Y181" s="137">
        <f t="shared" si="46"/>
        <v>0.35</v>
      </c>
      <c r="Z181" s="137">
        <f t="shared" si="46"/>
        <v>0.35</v>
      </c>
      <c r="AA181" s="137">
        <f t="shared" si="46"/>
        <v>0.35</v>
      </c>
      <c r="AB181" s="137">
        <f t="shared" si="46"/>
        <v>0.35</v>
      </c>
      <c r="AC181" s="137">
        <f t="shared" si="46"/>
        <v>0.35</v>
      </c>
      <c r="AD181" s="137">
        <f t="shared" si="46"/>
        <v>0.35</v>
      </c>
      <c r="AE181" s="137">
        <f t="shared" si="46"/>
        <v>0.35</v>
      </c>
      <c r="AF181" s="137">
        <f t="shared" si="46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5"/>
        <v>0.28999999999999998</v>
      </c>
      <c r="D182" s="137">
        <f t="shared" si="45"/>
        <v>0.28999999999999998</v>
      </c>
      <c r="E182" s="137">
        <f t="shared" si="45"/>
        <v>0.28999999999999998</v>
      </c>
      <c r="F182" s="137">
        <f t="shared" si="45"/>
        <v>0.28999999999999998</v>
      </c>
      <c r="G182" s="137">
        <f t="shared" si="45"/>
        <v>0.28999999999999998</v>
      </c>
      <c r="H182" s="137">
        <f t="shared" si="45"/>
        <v>0.28999999999999998</v>
      </c>
      <c r="I182" s="137">
        <f t="shared" si="45"/>
        <v>0.28999999999999998</v>
      </c>
      <c r="J182" s="137">
        <f t="shared" si="45"/>
        <v>0.28999999999999998</v>
      </c>
      <c r="K182" s="137">
        <f t="shared" si="45"/>
        <v>0.28999999999999998</v>
      </c>
      <c r="L182" s="137">
        <f t="shared" si="45"/>
        <v>0.28999999999999998</v>
      </c>
      <c r="M182" s="137">
        <f t="shared" si="45"/>
        <v>0.28999999999999998</v>
      </c>
      <c r="N182" s="137">
        <f t="shared" si="45"/>
        <v>0.28999999999999998</v>
      </c>
      <c r="O182" s="137">
        <f t="shared" si="45"/>
        <v>0.28999999999999998</v>
      </c>
      <c r="P182" s="137">
        <f t="shared" si="45"/>
        <v>0.28999999999999998</v>
      </c>
      <c r="Q182" s="137">
        <f t="shared" si="45"/>
        <v>0.28999999999999998</v>
      </c>
      <c r="R182" s="137">
        <f t="shared" si="45"/>
        <v>0.28999999999999998</v>
      </c>
      <c r="S182" s="137">
        <f t="shared" si="46"/>
        <v>0.28999999999999998</v>
      </c>
      <c r="T182" s="137">
        <f t="shared" si="46"/>
        <v>0.28999999999999998</v>
      </c>
      <c r="U182" s="137">
        <f t="shared" si="46"/>
        <v>0.28999999999999998</v>
      </c>
      <c r="V182" s="137">
        <f t="shared" si="46"/>
        <v>0.28999999999999998</v>
      </c>
      <c r="W182" s="137">
        <f t="shared" si="46"/>
        <v>0.28999999999999998</v>
      </c>
      <c r="X182" s="137">
        <f t="shared" si="46"/>
        <v>0.28999999999999998</v>
      </c>
      <c r="Y182" s="137">
        <f t="shared" si="46"/>
        <v>0.28999999999999998</v>
      </c>
      <c r="Z182" s="137">
        <f t="shared" si="46"/>
        <v>0.28999999999999998</v>
      </c>
      <c r="AA182" s="137">
        <f t="shared" si="46"/>
        <v>0.28999999999999998</v>
      </c>
      <c r="AB182" s="137">
        <f t="shared" si="46"/>
        <v>0.28999999999999998</v>
      </c>
      <c r="AC182" s="137">
        <f t="shared" si="46"/>
        <v>0.28999999999999998</v>
      </c>
      <c r="AD182" s="137">
        <f t="shared" si="46"/>
        <v>0.28999999999999998</v>
      </c>
      <c r="AE182" s="137">
        <f t="shared" si="46"/>
        <v>0.28999999999999998</v>
      </c>
      <c r="AF182" s="137">
        <f t="shared" si="46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5"/>
        <v>0.06</v>
      </c>
      <c r="D183" s="137">
        <f t="shared" si="45"/>
        <v>0.06</v>
      </c>
      <c r="E183" s="137">
        <f t="shared" si="45"/>
        <v>0.06</v>
      </c>
      <c r="F183" s="137">
        <f t="shared" si="45"/>
        <v>0.06</v>
      </c>
      <c r="G183" s="137">
        <f t="shared" si="45"/>
        <v>0.06</v>
      </c>
      <c r="H183" s="137">
        <f t="shared" si="45"/>
        <v>0.06</v>
      </c>
      <c r="I183" s="137">
        <f t="shared" si="45"/>
        <v>0.06</v>
      </c>
      <c r="J183" s="137">
        <f t="shared" si="45"/>
        <v>0.06</v>
      </c>
      <c r="K183" s="137">
        <f t="shared" si="45"/>
        <v>0.06</v>
      </c>
      <c r="L183" s="137">
        <f t="shared" si="45"/>
        <v>0.06</v>
      </c>
      <c r="M183" s="137">
        <f t="shared" si="45"/>
        <v>0.06</v>
      </c>
      <c r="N183" s="137">
        <f t="shared" si="45"/>
        <v>0.06</v>
      </c>
      <c r="O183" s="137">
        <f t="shared" si="45"/>
        <v>0.06</v>
      </c>
      <c r="P183" s="137">
        <f t="shared" si="45"/>
        <v>0.06</v>
      </c>
      <c r="Q183" s="137">
        <f t="shared" si="45"/>
        <v>0.06</v>
      </c>
      <c r="R183" s="137">
        <f t="shared" si="45"/>
        <v>0.06</v>
      </c>
      <c r="S183" s="137">
        <f t="shared" si="46"/>
        <v>0.06</v>
      </c>
      <c r="T183" s="137">
        <f t="shared" si="46"/>
        <v>0.06</v>
      </c>
      <c r="U183" s="137">
        <f t="shared" si="46"/>
        <v>0.06</v>
      </c>
      <c r="V183" s="137">
        <f t="shared" si="46"/>
        <v>0.06</v>
      </c>
      <c r="W183" s="137">
        <f t="shared" si="46"/>
        <v>0.06</v>
      </c>
      <c r="X183" s="137">
        <f t="shared" si="46"/>
        <v>0.06</v>
      </c>
      <c r="Y183" s="137">
        <f t="shared" si="46"/>
        <v>0.06</v>
      </c>
      <c r="Z183" s="137">
        <f t="shared" si="46"/>
        <v>0.06</v>
      </c>
      <c r="AA183" s="137">
        <f t="shared" si="46"/>
        <v>0.06</v>
      </c>
      <c r="AB183" s="137">
        <f t="shared" si="46"/>
        <v>0.06</v>
      </c>
      <c r="AC183" s="137">
        <f t="shared" si="46"/>
        <v>0.06</v>
      </c>
      <c r="AD183" s="137">
        <f t="shared" si="46"/>
        <v>0.06</v>
      </c>
      <c r="AE183" s="137">
        <f t="shared" si="46"/>
        <v>0.06</v>
      </c>
      <c r="AF183" s="137">
        <f t="shared" si="46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5"/>
        <v>0.11</v>
      </c>
      <c r="D184" s="137">
        <f t="shared" si="45"/>
        <v>0.11</v>
      </c>
      <c r="E184" s="137">
        <f t="shared" si="45"/>
        <v>0.11</v>
      </c>
      <c r="F184" s="137">
        <f t="shared" si="45"/>
        <v>0.11</v>
      </c>
      <c r="G184" s="137">
        <f t="shared" si="45"/>
        <v>0.11</v>
      </c>
      <c r="H184" s="137">
        <f t="shared" si="45"/>
        <v>0.11</v>
      </c>
      <c r="I184" s="137">
        <f t="shared" si="45"/>
        <v>0.11</v>
      </c>
      <c r="J184" s="137">
        <f t="shared" si="45"/>
        <v>0.11</v>
      </c>
      <c r="K184" s="137">
        <f t="shared" si="45"/>
        <v>0.11</v>
      </c>
      <c r="L184" s="137">
        <f t="shared" si="45"/>
        <v>0.11</v>
      </c>
      <c r="M184" s="137">
        <f t="shared" si="45"/>
        <v>0.11</v>
      </c>
      <c r="N184" s="137">
        <f t="shared" si="45"/>
        <v>0.11</v>
      </c>
      <c r="O184" s="137">
        <f t="shared" si="45"/>
        <v>0.11</v>
      </c>
      <c r="P184" s="137">
        <f t="shared" si="45"/>
        <v>0.11</v>
      </c>
      <c r="Q184" s="137">
        <f t="shared" si="45"/>
        <v>0.11</v>
      </c>
      <c r="R184" s="137">
        <f t="shared" si="45"/>
        <v>0.11</v>
      </c>
      <c r="S184" s="137">
        <f t="shared" si="46"/>
        <v>0.11</v>
      </c>
      <c r="T184" s="137">
        <f t="shared" si="46"/>
        <v>0.11</v>
      </c>
      <c r="U184" s="137">
        <f t="shared" si="46"/>
        <v>0.11</v>
      </c>
      <c r="V184" s="137">
        <f t="shared" si="46"/>
        <v>0.11</v>
      </c>
      <c r="W184" s="137">
        <f t="shared" si="46"/>
        <v>0.11</v>
      </c>
      <c r="X184" s="137">
        <f t="shared" si="46"/>
        <v>0.11</v>
      </c>
      <c r="Y184" s="137">
        <f t="shared" si="46"/>
        <v>0.11</v>
      </c>
      <c r="Z184" s="137">
        <f t="shared" si="46"/>
        <v>0.11</v>
      </c>
      <c r="AA184" s="137">
        <f t="shared" si="46"/>
        <v>0.11</v>
      </c>
      <c r="AB184" s="137">
        <f t="shared" si="46"/>
        <v>0.11</v>
      </c>
      <c r="AC184" s="137">
        <f t="shared" si="46"/>
        <v>0.11</v>
      </c>
      <c r="AD184" s="137">
        <f t="shared" si="46"/>
        <v>0.11</v>
      </c>
      <c r="AE184" s="137">
        <f t="shared" si="46"/>
        <v>0.11</v>
      </c>
      <c r="AF184" s="137">
        <f t="shared" si="46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5"/>
        <v>0.1</v>
      </c>
      <c r="D185" s="137">
        <f t="shared" si="45"/>
        <v>0.1</v>
      </c>
      <c r="E185" s="137">
        <f t="shared" si="45"/>
        <v>0.1</v>
      </c>
      <c r="F185" s="137">
        <f t="shared" si="45"/>
        <v>0.1</v>
      </c>
      <c r="G185" s="137">
        <f t="shared" si="45"/>
        <v>0.1</v>
      </c>
      <c r="H185" s="137">
        <f t="shared" si="45"/>
        <v>0.1</v>
      </c>
      <c r="I185" s="137">
        <f t="shared" si="45"/>
        <v>0.1</v>
      </c>
      <c r="J185" s="137">
        <f t="shared" si="45"/>
        <v>0.1</v>
      </c>
      <c r="K185" s="137">
        <f t="shared" si="45"/>
        <v>0.1</v>
      </c>
      <c r="L185" s="137">
        <f t="shared" si="45"/>
        <v>0.1</v>
      </c>
      <c r="M185" s="137">
        <f t="shared" si="45"/>
        <v>0.1</v>
      </c>
      <c r="N185" s="137">
        <f t="shared" si="45"/>
        <v>0.1</v>
      </c>
      <c r="O185" s="137">
        <f t="shared" si="45"/>
        <v>0.1</v>
      </c>
      <c r="P185" s="137">
        <f t="shared" si="45"/>
        <v>0.1</v>
      </c>
      <c r="Q185" s="137">
        <f t="shared" si="45"/>
        <v>0.1</v>
      </c>
      <c r="R185" s="137">
        <f t="shared" si="46"/>
        <v>0.1</v>
      </c>
      <c r="S185" s="137">
        <f t="shared" si="46"/>
        <v>0.1</v>
      </c>
      <c r="T185" s="137">
        <f t="shared" si="46"/>
        <v>0.1</v>
      </c>
      <c r="U185" s="137">
        <f t="shared" si="46"/>
        <v>0.1</v>
      </c>
      <c r="V185" s="137">
        <f t="shared" si="46"/>
        <v>0.1</v>
      </c>
      <c r="W185" s="137">
        <f t="shared" si="46"/>
        <v>0.1</v>
      </c>
      <c r="X185" s="137">
        <f t="shared" si="46"/>
        <v>0.1</v>
      </c>
      <c r="Y185" s="137">
        <f t="shared" si="46"/>
        <v>0.1</v>
      </c>
      <c r="Z185" s="137">
        <f t="shared" si="46"/>
        <v>0.1</v>
      </c>
      <c r="AA185" s="137">
        <f t="shared" si="46"/>
        <v>0.1</v>
      </c>
      <c r="AB185" s="137">
        <f t="shared" si="46"/>
        <v>0.1</v>
      </c>
      <c r="AC185" s="137">
        <f t="shared" si="46"/>
        <v>0.1</v>
      </c>
      <c r="AD185" s="137">
        <f t="shared" si="46"/>
        <v>0.1</v>
      </c>
      <c r="AE185" s="137">
        <f t="shared" si="46"/>
        <v>0.1</v>
      </c>
      <c r="AF185" s="137">
        <f t="shared" si="46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5"/>
        <v>0.09</v>
      </c>
      <c r="D186" s="137">
        <f t="shared" si="45"/>
        <v>0.09</v>
      </c>
      <c r="E186" s="137">
        <f t="shared" si="45"/>
        <v>0.09</v>
      </c>
      <c r="F186" s="137">
        <f t="shared" si="45"/>
        <v>0.09</v>
      </c>
      <c r="G186" s="137">
        <f t="shared" si="45"/>
        <v>0.09</v>
      </c>
      <c r="H186" s="137">
        <f t="shared" si="45"/>
        <v>0.09</v>
      </c>
      <c r="I186" s="137">
        <f t="shared" si="45"/>
        <v>0.09</v>
      </c>
      <c r="J186" s="137">
        <f t="shared" si="45"/>
        <v>0.09</v>
      </c>
      <c r="K186" s="137">
        <f t="shared" si="45"/>
        <v>0.09</v>
      </c>
      <c r="L186" s="137">
        <f t="shared" si="45"/>
        <v>0.09</v>
      </c>
      <c r="M186" s="137">
        <f t="shared" si="45"/>
        <v>0.09</v>
      </c>
      <c r="N186" s="137">
        <f t="shared" si="45"/>
        <v>0.09</v>
      </c>
      <c r="O186" s="137">
        <f t="shared" si="45"/>
        <v>0.09</v>
      </c>
      <c r="P186" s="137">
        <f t="shared" si="45"/>
        <v>0.09</v>
      </c>
      <c r="Q186" s="137">
        <f t="shared" si="45"/>
        <v>0.09</v>
      </c>
      <c r="R186" s="137">
        <f t="shared" si="46"/>
        <v>0.09</v>
      </c>
      <c r="S186" s="137">
        <f t="shared" si="46"/>
        <v>0.09</v>
      </c>
      <c r="T186" s="137">
        <f t="shared" si="46"/>
        <v>0.09</v>
      </c>
      <c r="U186" s="137">
        <f t="shared" si="46"/>
        <v>0.09</v>
      </c>
      <c r="V186" s="137">
        <f t="shared" si="46"/>
        <v>0.09</v>
      </c>
      <c r="W186" s="137">
        <f t="shared" si="46"/>
        <v>0.09</v>
      </c>
      <c r="X186" s="137">
        <f t="shared" si="46"/>
        <v>0.09</v>
      </c>
      <c r="Y186" s="137">
        <f t="shared" si="46"/>
        <v>0.09</v>
      </c>
      <c r="Z186" s="137">
        <f t="shared" si="46"/>
        <v>0.09</v>
      </c>
      <c r="AA186" s="137">
        <f t="shared" si="46"/>
        <v>0.09</v>
      </c>
      <c r="AB186" s="137">
        <f t="shared" si="46"/>
        <v>0.09</v>
      </c>
      <c r="AC186" s="137">
        <f t="shared" si="46"/>
        <v>0.09</v>
      </c>
      <c r="AD186" s="137">
        <f t="shared" si="46"/>
        <v>0.09</v>
      </c>
      <c r="AE186" s="137">
        <f t="shared" si="46"/>
        <v>0.09</v>
      </c>
      <c r="AF186" s="137">
        <f t="shared" si="46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5"/>
        <v>0.04</v>
      </c>
      <c r="D187" s="137">
        <f t="shared" si="45"/>
        <v>0.04</v>
      </c>
      <c r="E187" s="137">
        <f t="shared" si="45"/>
        <v>0.04</v>
      </c>
      <c r="F187" s="137">
        <f t="shared" si="45"/>
        <v>0.04</v>
      </c>
      <c r="G187" s="137">
        <f t="shared" si="45"/>
        <v>0.04</v>
      </c>
      <c r="H187" s="137">
        <f t="shared" si="45"/>
        <v>0.04</v>
      </c>
      <c r="I187" s="137">
        <f t="shared" si="45"/>
        <v>0.04</v>
      </c>
      <c r="J187" s="137">
        <f t="shared" si="45"/>
        <v>0.04</v>
      </c>
      <c r="K187" s="137">
        <f t="shared" si="45"/>
        <v>0.04</v>
      </c>
      <c r="L187" s="137">
        <f t="shared" si="45"/>
        <v>0.04</v>
      </c>
      <c r="M187" s="137">
        <f t="shared" si="45"/>
        <v>0.04</v>
      </c>
      <c r="N187" s="137">
        <f t="shared" si="45"/>
        <v>0.04</v>
      </c>
      <c r="O187" s="137">
        <f t="shared" si="45"/>
        <v>0.04</v>
      </c>
      <c r="P187" s="137">
        <f t="shared" si="45"/>
        <v>0.04</v>
      </c>
      <c r="Q187" s="137">
        <f t="shared" si="45"/>
        <v>0.04</v>
      </c>
      <c r="R187" s="137">
        <f t="shared" si="46"/>
        <v>0.04</v>
      </c>
      <c r="S187" s="137">
        <f t="shared" si="46"/>
        <v>0.04</v>
      </c>
      <c r="T187" s="137">
        <f t="shared" si="46"/>
        <v>0.04</v>
      </c>
      <c r="U187" s="137">
        <f t="shared" si="46"/>
        <v>0.04</v>
      </c>
      <c r="V187" s="137">
        <f t="shared" si="46"/>
        <v>0.04</v>
      </c>
      <c r="W187" s="137">
        <f t="shared" si="46"/>
        <v>0.04</v>
      </c>
      <c r="X187" s="137">
        <f t="shared" si="46"/>
        <v>0.04</v>
      </c>
      <c r="Y187" s="137">
        <f t="shared" si="46"/>
        <v>0.04</v>
      </c>
      <c r="Z187" s="137">
        <f t="shared" si="46"/>
        <v>0.04</v>
      </c>
      <c r="AA187" s="137">
        <f t="shared" si="46"/>
        <v>0.04</v>
      </c>
      <c r="AB187" s="137">
        <f t="shared" si="46"/>
        <v>0.04</v>
      </c>
      <c r="AC187" s="137">
        <f t="shared" si="46"/>
        <v>0.04</v>
      </c>
      <c r="AD187" s="137">
        <f t="shared" si="46"/>
        <v>0.04</v>
      </c>
      <c r="AE187" s="137">
        <f t="shared" si="46"/>
        <v>0.04</v>
      </c>
      <c r="AF187" s="137">
        <f t="shared" si="46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5"/>
        <v>2.3E-2</v>
      </c>
      <c r="E188" s="137">
        <f t="shared" si="45"/>
        <v>2.3E-2</v>
      </c>
      <c r="F188" s="137">
        <f t="shared" si="45"/>
        <v>2.3E-2</v>
      </c>
      <c r="G188" s="137">
        <f t="shared" si="45"/>
        <v>2.3E-2</v>
      </c>
      <c r="H188" s="137">
        <f t="shared" si="45"/>
        <v>2.3E-2</v>
      </c>
      <c r="I188" s="137">
        <f t="shared" si="45"/>
        <v>2.3E-2</v>
      </c>
      <c r="J188" s="137">
        <f t="shared" si="45"/>
        <v>2.3E-2</v>
      </c>
      <c r="K188" s="137">
        <f t="shared" si="45"/>
        <v>2.3E-2</v>
      </c>
      <c r="L188" s="137">
        <f t="shared" si="45"/>
        <v>2.3E-2</v>
      </c>
      <c r="M188" s="137">
        <f t="shared" si="45"/>
        <v>2.3E-2</v>
      </c>
      <c r="N188" s="137">
        <f t="shared" si="45"/>
        <v>2.3E-2</v>
      </c>
      <c r="O188" s="137">
        <f t="shared" si="45"/>
        <v>2.3E-2</v>
      </c>
      <c r="P188" s="137">
        <f t="shared" si="45"/>
        <v>2.3E-2</v>
      </c>
      <c r="Q188" s="137">
        <f t="shared" si="45"/>
        <v>2.3E-2</v>
      </c>
      <c r="R188" s="137">
        <f t="shared" si="46"/>
        <v>2.3E-2</v>
      </c>
      <c r="S188" s="137">
        <f t="shared" si="46"/>
        <v>2.3E-2</v>
      </c>
      <c r="T188" s="137">
        <f t="shared" si="46"/>
        <v>2.3E-2</v>
      </c>
      <c r="U188" s="137">
        <f t="shared" si="46"/>
        <v>2.3E-2</v>
      </c>
      <c r="V188" s="137">
        <f t="shared" si="46"/>
        <v>2.3E-2</v>
      </c>
      <c r="W188" s="137">
        <f t="shared" si="46"/>
        <v>2.3E-2</v>
      </c>
      <c r="X188" s="137">
        <f t="shared" si="46"/>
        <v>2.3E-2</v>
      </c>
      <c r="Y188" s="137">
        <f t="shared" si="46"/>
        <v>2.3E-2</v>
      </c>
      <c r="Z188" s="137">
        <f t="shared" si="46"/>
        <v>2.3E-2</v>
      </c>
      <c r="AA188" s="137">
        <f t="shared" si="46"/>
        <v>2.3E-2</v>
      </c>
      <c r="AB188" s="137">
        <f t="shared" si="46"/>
        <v>2.3E-2</v>
      </c>
      <c r="AC188" s="137">
        <f t="shared" si="46"/>
        <v>2.3E-2</v>
      </c>
      <c r="AD188" s="137">
        <f t="shared" si="46"/>
        <v>2.3E-2</v>
      </c>
      <c r="AE188" s="137">
        <f t="shared" si="46"/>
        <v>2.3E-2</v>
      </c>
      <c r="AF188" s="137">
        <f t="shared" si="46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7">SUM(B99:B188)</f>
        <v>194.70600000000002</v>
      </c>
      <c r="C189" s="141">
        <f t="shared" si="47"/>
        <v>194.70600000000002</v>
      </c>
      <c r="D189" s="141">
        <f t="shared" si="47"/>
        <v>194.70600000000002</v>
      </c>
      <c r="E189" s="141">
        <f t="shared" si="47"/>
        <v>194.70600000000002</v>
      </c>
      <c r="F189" s="141">
        <f t="shared" si="47"/>
        <v>194.70600000000002</v>
      </c>
      <c r="G189" s="141">
        <f t="shared" si="47"/>
        <v>194.70600000000002</v>
      </c>
      <c r="H189" s="141">
        <f t="shared" si="47"/>
        <v>194.70600000000002</v>
      </c>
      <c r="I189" s="141">
        <f t="shared" si="47"/>
        <v>192.10600000000005</v>
      </c>
      <c r="J189" s="141">
        <f t="shared" si="47"/>
        <v>192.10600000000005</v>
      </c>
      <c r="K189" s="141">
        <f t="shared" si="47"/>
        <v>192.10600000000005</v>
      </c>
      <c r="L189" s="141">
        <f t="shared" si="47"/>
        <v>192.10600000000005</v>
      </c>
      <c r="M189" s="141">
        <f t="shared" si="47"/>
        <v>192.10600000000005</v>
      </c>
      <c r="N189" s="141">
        <f t="shared" si="47"/>
        <v>192.10600000000005</v>
      </c>
      <c r="O189" s="141">
        <f t="shared" si="47"/>
        <v>192.10600000000005</v>
      </c>
      <c r="P189" s="141">
        <f t="shared" si="47"/>
        <v>192.10600000000005</v>
      </c>
      <c r="Q189" s="141">
        <f t="shared" si="47"/>
        <v>192.10600000000005</v>
      </c>
      <c r="R189" s="141">
        <f t="shared" si="47"/>
        <v>192.10600000000005</v>
      </c>
      <c r="S189" s="141">
        <f t="shared" si="47"/>
        <v>192.10600000000005</v>
      </c>
      <c r="T189" s="141">
        <f t="shared" si="47"/>
        <v>192.10600000000005</v>
      </c>
      <c r="U189" s="141">
        <f t="shared" si="47"/>
        <v>192.10600000000005</v>
      </c>
      <c r="V189" s="141">
        <f t="shared" si="47"/>
        <v>192.10600000000005</v>
      </c>
      <c r="W189" s="141">
        <f t="shared" si="47"/>
        <v>192.10600000000005</v>
      </c>
      <c r="X189" s="141">
        <f t="shared" si="47"/>
        <v>192.10600000000005</v>
      </c>
      <c r="Y189" s="141">
        <f t="shared" si="47"/>
        <v>192.10600000000005</v>
      </c>
      <c r="Z189" s="141">
        <f t="shared" si="47"/>
        <v>192.10600000000005</v>
      </c>
      <c r="AA189" s="141">
        <f t="shared" si="47"/>
        <v>192.10600000000005</v>
      </c>
      <c r="AB189" s="141">
        <f t="shared" si="47"/>
        <v>192.10600000000005</v>
      </c>
      <c r="AC189" s="141">
        <f t="shared" si="47"/>
        <v>192.10600000000005</v>
      </c>
      <c r="AD189" s="141">
        <f t="shared" si="47"/>
        <v>192.10600000000005</v>
      </c>
      <c r="AE189" s="141">
        <f t="shared" si="47"/>
        <v>192.10600000000005</v>
      </c>
      <c r="AF189" s="141">
        <f t="shared" si="47"/>
        <v>192.10600000000005</v>
      </c>
      <c r="AG189" s="142">
        <f t="shared" si="47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8">B191</f>
        <v>0.3</v>
      </c>
      <c r="D191" s="143">
        <f t="shared" si="48"/>
        <v>0.3</v>
      </c>
      <c r="E191" s="143">
        <f t="shared" si="48"/>
        <v>0.3</v>
      </c>
      <c r="F191" s="143">
        <f t="shared" si="48"/>
        <v>0.3</v>
      </c>
      <c r="G191" s="143">
        <f t="shared" si="48"/>
        <v>0.3</v>
      </c>
      <c r="H191" s="143">
        <f t="shared" si="48"/>
        <v>0.3</v>
      </c>
      <c r="I191" s="143">
        <f t="shared" si="48"/>
        <v>0.3</v>
      </c>
      <c r="J191" s="143">
        <f t="shared" si="48"/>
        <v>0.3</v>
      </c>
      <c r="K191" s="143">
        <f t="shared" si="48"/>
        <v>0.3</v>
      </c>
      <c r="L191" s="143">
        <f t="shared" si="48"/>
        <v>0.3</v>
      </c>
      <c r="M191" s="143">
        <f t="shared" si="48"/>
        <v>0.3</v>
      </c>
      <c r="N191" s="143">
        <f t="shared" si="48"/>
        <v>0.3</v>
      </c>
      <c r="O191" s="143">
        <f t="shared" si="48"/>
        <v>0.3</v>
      </c>
      <c r="P191" s="143">
        <f t="shared" si="48"/>
        <v>0.3</v>
      </c>
      <c r="Q191" s="143">
        <f t="shared" si="48"/>
        <v>0.3</v>
      </c>
      <c r="R191" s="143">
        <f t="shared" si="48"/>
        <v>0.3</v>
      </c>
      <c r="S191" s="143">
        <f t="shared" ref="S191:AF196" si="49">R191</f>
        <v>0.3</v>
      </c>
      <c r="T191" s="143">
        <f t="shared" si="49"/>
        <v>0.3</v>
      </c>
      <c r="U191" s="143">
        <f t="shared" si="49"/>
        <v>0.3</v>
      </c>
      <c r="V191" s="143">
        <f t="shared" si="49"/>
        <v>0.3</v>
      </c>
      <c r="W191" s="143">
        <f t="shared" si="49"/>
        <v>0.3</v>
      </c>
      <c r="X191" s="143">
        <f t="shared" si="49"/>
        <v>0.3</v>
      </c>
      <c r="Y191" s="143">
        <f t="shared" si="49"/>
        <v>0.3</v>
      </c>
      <c r="Z191" s="143">
        <f t="shared" si="49"/>
        <v>0.3</v>
      </c>
      <c r="AA191" s="143">
        <f t="shared" si="49"/>
        <v>0.3</v>
      </c>
      <c r="AB191" s="143">
        <f t="shared" si="49"/>
        <v>0.3</v>
      </c>
      <c r="AC191" s="143">
        <f t="shared" si="49"/>
        <v>0.3</v>
      </c>
      <c r="AD191" s="143">
        <f t="shared" si="49"/>
        <v>0.3</v>
      </c>
      <c r="AE191" s="143">
        <f t="shared" si="49"/>
        <v>0.3</v>
      </c>
      <c r="AF191" s="143">
        <f t="shared" si="49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8"/>
        <v>0.4</v>
      </c>
      <c r="D192" s="137">
        <f t="shared" si="48"/>
        <v>0.4</v>
      </c>
      <c r="E192" s="137">
        <f t="shared" si="48"/>
        <v>0.4</v>
      </c>
      <c r="F192" s="137">
        <f t="shared" si="48"/>
        <v>0.4</v>
      </c>
      <c r="G192" s="137">
        <f t="shared" si="48"/>
        <v>0.4</v>
      </c>
      <c r="H192" s="137">
        <f t="shared" si="48"/>
        <v>0.4</v>
      </c>
      <c r="I192" s="137">
        <f t="shared" si="48"/>
        <v>0.4</v>
      </c>
      <c r="J192" s="137">
        <f t="shared" si="48"/>
        <v>0.4</v>
      </c>
      <c r="K192" s="137">
        <f t="shared" si="48"/>
        <v>0.4</v>
      </c>
      <c r="L192" s="137">
        <f t="shared" si="48"/>
        <v>0.4</v>
      </c>
      <c r="M192" s="137">
        <f t="shared" si="48"/>
        <v>0.4</v>
      </c>
      <c r="N192" s="137">
        <f t="shared" si="48"/>
        <v>0.4</v>
      </c>
      <c r="O192" s="137">
        <f t="shared" si="48"/>
        <v>0.4</v>
      </c>
      <c r="P192" s="137">
        <f t="shared" si="48"/>
        <v>0.4</v>
      </c>
      <c r="Q192" s="137">
        <f t="shared" si="48"/>
        <v>0.4</v>
      </c>
      <c r="R192" s="137">
        <f t="shared" si="48"/>
        <v>0.4</v>
      </c>
      <c r="S192" s="137">
        <f t="shared" si="49"/>
        <v>0.4</v>
      </c>
      <c r="T192" s="137">
        <f t="shared" si="49"/>
        <v>0.4</v>
      </c>
      <c r="U192" s="137">
        <f t="shared" si="49"/>
        <v>0.4</v>
      </c>
      <c r="V192" s="137">
        <f>U192</f>
        <v>0.4</v>
      </c>
      <c r="W192" s="137">
        <f>V192</f>
        <v>0.4</v>
      </c>
      <c r="X192" s="137">
        <f t="shared" si="49"/>
        <v>0.4</v>
      </c>
      <c r="Y192" s="137">
        <f t="shared" si="49"/>
        <v>0.4</v>
      </c>
      <c r="Z192" s="137">
        <f t="shared" si="49"/>
        <v>0.4</v>
      </c>
      <c r="AA192" s="137">
        <f t="shared" si="49"/>
        <v>0.4</v>
      </c>
      <c r="AB192" s="137">
        <f t="shared" si="49"/>
        <v>0.4</v>
      </c>
      <c r="AC192" s="137">
        <f t="shared" si="49"/>
        <v>0.4</v>
      </c>
      <c r="AD192" s="137">
        <f t="shared" si="49"/>
        <v>0.4</v>
      </c>
      <c r="AE192" s="137">
        <f t="shared" si="49"/>
        <v>0.4</v>
      </c>
      <c r="AF192" s="137">
        <f t="shared" si="49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8"/>
        <v>1.5</v>
      </c>
      <c r="D193" s="137">
        <f t="shared" si="48"/>
        <v>1.5</v>
      </c>
      <c r="E193" s="137">
        <f t="shared" si="48"/>
        <v>1.5</v>
      </c>
      <c r="F193" s="137">
        <f t="shared" si="48"/>
        <v>1.5</v>
      </c>
      <c r="G193" s="137">
        <f t="shared" si="48"/>
        <v>1.5</v>
      </c>
      <c r="H193" s="137">
        <f t="shared" si="48"/>
        <v>1.5</v>
      </c>
      <c r="I193" s="137">
        <f t="shared" si="48"/>
        <v>1.5</v>
      </c>
      <c r="J193" s="137">
        <f t="shared" si="48"/>
        <v>1.5</v>
      </c>
      <c r="K193" s="137">
        <f t="shared" si="48"/>
        <v>1.5</v>
      </c>
      <c r="L193" s="137">
        <f t="shared" si="48"/>
        <v>1.5</v>
      </c>
      <c r="M193" s="137">
        <f t="shared" si="48"/>
        <v>1.5</v>
      </c>
      <c r="N193" s="137">
        <f t="shared" si="48"/>
        <v>1.5</v>
      </c>
      <c r="O193" s="137">
        <f t="shared" si="48"/>
        <v>1.5</v>
      </c>
      <c r="P193" s="137">
        <f t="shared" si="48"/>
        <v>1.5</v>
      </c>
      <c r="Q193" s="137">
        <f t="shared" si="48"/>
        <v>1.5</v>
      </c>
      <c r="R193" s="137">
        <f t="shared" si="48"/>
        <v>1.5</v>
      </c>
      <c r="S193" s="137">
        <f t="shared" si="49"/>
        <v>1.5</v>
      </c>
      <c r="T193" s="137">
        <f t="shared" si="49"/>
        <v>1.5</v>
      </c>
      <c r="U193" s="137">
        <f t="shared" si="49"/>
        <v>1.5</v>
      </c>
      <c r="V193" s="137">
        <f t="shared" si="49"/>
        <v>1.5</v>
      </c>
      <c r="W193" s="137">
        <f t="shared" si="49"/>
        <v>1.5</v>
      </c>
      <c r="X193" s="137">
        <f t="shared" si="49"/>
        <v>1.5</v>
      </c>
      <c r="Y193" s="137">
        <f t="shared" si="49"/>
        <v>1.5</v>
      </c>
      <c r="Z193" s="137">
        <f t="shared" si="49"/>
        <v>1.5</v>
      </c>
      <c r="AA193" s="137">
        <f t="shared" si="49"/>
        <v>1.5</v>
      </c>
      <c r="AB193" s="137">
        <f t="shared" si="49"/>
        <v>1.5</v>
      </c>
      <c r="AC193" s="137">
        <f t="shared" si="49"/>
        <v>1.5</v>
      </c>
      <c r="AD193" s="137">
        <f t="shared" si="49"/>
        <v>1.5</v>
      </c>
      <c r="AE193" s="137">
        <f t="shared" si="49"/>
        <v>1.5</v>
      </c>
      <c r="AF193" s="137">
        <f t="shared" si="49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8"/>
        <v>0.3</v>
      </c>
      <c r="D194" s="137">
        <f t="shared" si="48"/>
        <v>0.3</v>
      </c>
      <c r="E194" s="137">
        <f t="shared" si="48"/>
        <v>0.3</v>
      </c>
      <c r="F194" s="137">
        <f t="shared" si="48"/>
        <v>0.3</v>
      </c>
      <c r="G194" s="137">
        <f t="shared" si="48"/>
        <v>0.3</v>
      </c>
      <c r="H194" s="137">
        <f t="shared" si="48"/>
        <v>0.3</v>
      </c>
      <c r="I194" s="137">
        <f t="shared" si="48"/>
        <v>0.3</v>
      </c>
      <c r="J194" s="137">
        <f t="shared" si="48"/>
        <v>0.3</v>
      </c>
      <c r="K194" s="137">
        <f t="shared" si="48"/>
        <v>0.3</v>
      </c>
      <c r="L194" s="137">
        <f t="shared" si="48"/>
        <v>0.3</v>
      </c>
      <c r="M194" s="137">
        <f t="shared" si="48"/>
        <v>0.3</v>
      </c>
      <c r="N194" s="137">
        <f t="shared" si="48"/>
        <v>0.3</v>
      </c>
      <c r="O194" s="137">
        <f t="shared" si="48"/>
        <v>0.3</v>
      </c>
      <c r="P194" s="137">
        <f t="shared" si="48"/>
        <v>0.3</v>
      </c>
      <c r="Q194" s="137">
        <f t="shared" si="48"/>
        <v>0.3</v>
      </c>
      <c r="R194" s="137">
        <f t="shared" si="48"/>
        <v>0.3</v>
      </c>
      <c r="S194" s="137">
        <f t="shared" si="49"/>
        <v>0.3</v>
      </c>
      <c r="T194" s="137">
        <f t="shared" si="49"/>
        <v>0.3</v>
      </c>
      <c r="U194" s="137">
        <f t="shared" si="49"/>
        <v>0.3</v>
      </c>
      <c r="V194" s="137">
        <f t="shared" si="49"/>
        <v>0.3</v>
      </c>
      <c r="W194" s="137">
        <f t="shared" si="49"/>
        <v>0.3</v>
      </c>
      <c r="X194" s="137">
        <f t="shared" si="49"/>
        <v>0.3</v>
      </c>
      <c r="Y194" s="137">
        <f t="shared" si="49"/>
        <v>0.3</v>
      </c>
      <c r="Z194" s="137">
        <f t="shared" si="49"/>
        <v>0.3</v>
      </c>
      <c r="AA194" s="137">
        <f t="shared" si="49"/>
        <v>0.3</v>
      </c>
      <c r="AB194" s="137">
        <f t="shared" si="49"/>
        <v>0.3</v>
      </c>
      <c r="AC194" s="137">
        <f t="shared" si="49"/>
        <v>0.3</v>
      </c>
      <c r="AD194" s="137">
        <f t="shared" si="49"/>
        <v>0.3</v>
      </c>
      <c r="AE194" s="137">
        <f t="shared" si="49"/>
        <v>0.3</v>
      </c>
      <c r="AF194" s="137">
        <f t="shared" si="49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8"/>
        <v>0.4</v>
      </c>
      <c r="D195" s="137">
        <f t="shared" si="48"/>
        <v>0.4</v>
      </c>
      <c r="E195" s="137">
        <f t="shared" si="48"/>
        <v>0.4</v>
      </c>
      <c r="F195" s="137">
        <f t="shared" si="48"/>
        <v>0.4</v>
      </c>
      <c r="G195" s="137">
        <f t="shared" si="48"/>
        <v>0.4</v>
      </c>
      <c r="H195" s="137">
        <f t="shared" si="48"/>
        <v>0.4</v>
      </c>
      <c r="I195" s="137">
        <f t="shared" si="48"/>
        <v>0.4</v>
      </c>
      <c r="J195" s="137">
        <f t="shared" si="48"/>
        <v>0.4</v>
      </c>
      <c r="K195" s="137">
        <f t="shared" si="48"/>
        <v>0.4</v>
      </c>
      <c r="L195" s="137">
        <f t="shared" si="48"/>
        <v>0.4</v>
      </c>
      <c r="M195" s="137">
        <f t="shared" si="48"/>
        <v>0.4</v>
      </c>
      <c r="N195" s="137">
        <f t="shared" si="48"/>
        <v>0.4</v>
      </c>
      <c r="O195" s="137">
        <f t="shared" si="48"/>
        <v>0.4</v>
      </c>
      <c r="P195" s="137">
        <f t="shared" si="48"/>
        <v>0.4</v>
      </c>
      <c r="Q195" s="137">
        <f t="shared" si="48"/>
        <v>0.4</v>
      </c>
      <c r="R195" s="137">
        <f t="shared" si="48"/>
        <v>0.4</v>
      </c>
      <c r="S195" s="137">
        <f t="shared" si="49"/>
        <v>0.4</v>
      </c>
      <c r="T195" s="137">
        <f t="shared" si="49"/>
        <v>0.4</v>
      </c>
      <c r="U195" s="137">
        <f t="shared" si="49"/>
        <v>0.4</v>
      </c>
      <c r="V195" s="137">
        <f t="shared" si="49"/>
        <v>0.4</v>
      </c>
      <c r="W195" s="137">
        <f t="shared" si="49"/>
        <v>0.4</v>
      </c>
      <c r="X195" s="137">
        <f t="shared" si="49"/>
        <v>0.4</v>
      </c>
      <c r="Y195" s="137">
        <f t="shared" si="49"/>
        <v>0.4</v>
      </c>
      <c r="Z195" s="137">
        <f t="shared" si="49"/>
        <v>0.4</v>
      </c>
      <c r="AA195" s="137">
        <f t="shared" si="49"/>
        <v>0.4</v>
      </c>
      <c r="AB195" s="137">
        <f t="shared" si="49"/>
        <v>0.4</v>
      </c>
      <c r="AC195" s="137">
        <f t="shared" si="49"/>
        <v>0.4</v>
      </c>
      <c r="AD195" s="137">
        <f t="shared" si="49"/>
        <v>0.4</v>
      </c>
      <c r="AE195" s="137">
        <f t="shared" si="49"/>
        <v>0.4</v>
      </c>
      <c r="AF195" s="137">
        <f t="shared" si="49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8"/>
        <v>0.64</v>
      </c>
      <c r="D196" s="146">
        <f t="shared" si="48"/>
        <v>0.64</v>
      </c>
      <c r="E196" s="146">
        <f t="shared" si="48"/>
        <v>0.64</v>
      </c>
      <c r="F196" s="146">
        <f t="shared" si="48"/>
        <v>0.64</v>
      </c>
      <c r="G196" s="146">
        <f t="shared" si="48"/>
        <v>0.64</v>
      </c>
      <c r="H196" s="146">
        <f t="shared" si="48"/>
        <v>0.64</v>
      </c>
      <c r="I196" s="146">
        <f t="shared" si="48"/>
        <v>0.64</v>
      </c>
      <c r="J196" s="146">
        <f t="shared" si="48"/>
        <v>0.64</v>
      </c>
      <c r="K196" s="146">
        <f t="shared" si="48"/>
        <v>0.64</v>
      </c>
      <c r="L196" s="146">
        <f t="shared" si="48"/>
        <v>0.64</v>
      </c>
      <c r="M196" s="146">
        <f t="shared" si="48"/>
        <v>0.64</v>
      </c>
      <c r="N196" s="146">
        <f t="shared" si="48"/>
        <v>0.64</v>
      </c>
      <c r="O196" s="146">
        <f t="shared" si="48"/>
        <v>0.64</v>
      </c>
      <c r="P196" s="146">
        <f t="shared" si="48"/>
        <v>0.64</v>
      </c>
      <c r="Q196" s="146">
        <f t="shared" si="48"/>
        <v>0.64</v>
      </c>
      <c r="R196" s="146">
        <f t="shared" si="48"/>
        <v>0.64</v>
      </c>
      <c r="S196" s="146">
        <f t="shared" si="49"/>
        <v>0.64</v>
      </c>
      <c r="T196" s="146">
        <f t="shared" si="49"/>
        <v>0.64</v>
      </c>
      <c r="U196" s="146">
        <f t="shared" si="49"/>
        <v>0.64</v>
      </c>
      <c r="V196" s="146">
        <f t="shared" si="49"/>
        <v>0.64</v>
      </c>
      <c r="W196" s="146">
        <f t="shared" si="49"/>
        <v>0.64</v>
      </c>
      <c r="X196" s="146">
        <f t="shared" si="49"/>
        <v>0.64</v>
      </c>
      <c r="Y196" s="146">
        <f t="shared" si="49"/>
        <v>0.64</v>
      </c>
      <c r="Z196" s="146">
        <f t="shared" si="49"/>
        <v>0.64</v>
      </c>
      <c r="AA196" s="146">
        <f t="shared" si="49"/>
        <v>0.64</v>
      </c>
      <c r="AB196" s="146">
        <f t="shared" si="49"/>
        <v>0.64</v>
      </c>
      <c r="AC196" s="146">
        <f t="shared" si="49"/>
        <v>0.64</v>
      </c>
      <c r="AD196" s="146">
        <f t="shared" si="49"/>
        <v>0.64</v>
      </c>
      <c r="AE196" s="146">
        <f t="shared" si="49"/>
        <v>0.64</v>
      </c>
      <c r="AF196" s="146">
        <f t="shared" si="49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50">SUM(C191:C196)</f>
        <v>3.54</v>
      </c>
      <c r="D197" s="149">
        <f t="shared" si="50"/>
        <v>3.54</v>
      </c>
      <c r="E197" s="149">
        <f t="shared" si="50"/>
        <v>3.54</v>
      </c>
      <c r="F197" s="149">
        <f t="shared" si="50"/>
        <v>3.54</v>
      </c>
      <c r="G197" s="149">
        <f t="shared" si="50"/>
        <v>3.54</v>
      </c>
      <c r="H197" s="149">
        <f t="shared" si="50"/>
        <v>3.54</v>
      </c>
      <c r="I197" s="149">
        <f t="shared" si="50"/>
        <v>3.54</v>
      </c>
      <c r="J197" s="149">
        <f t="shared" si="50"/>
        <v>3.54</v>
      </c>
      <c r="K197" s="149">
        <f t="shared" si="50"/>
        <v>3.54</v>
      </c>
      <c r="L197" s="149">
        <f>SUM(L191:L196)</f>
        <v>3.54</v>
      </c>
      <c r="M197" s="149">
        <f t="shared" ref="M197:R197" si="51">SUM(M191:M196)</f>
        <v>3.54</v>
      </c>
      <c r="N197" s="149">
        <f t="shared" si="51"/>
        <v>3.54</v>
      </c>
      <c r="O197" s="149">
        <f t="shared" si="51"/>
        <v>3.54</v>
      </c>
      <c r="P197" s="149">
        <f t="shared" si="51"/>
        <v>3.54</v>
      </c>
      <c r="Q197" s="149">
        <f t="shared" si="51"/>
        <v>3.54</v>
      </c>
      <c r="R197" s="149">
        <f t="shared" si="51"/>
        <v>3.54</v>
      </c>
      <c r="S197" s="149">
        <f>SUM(S191:S196)</f>
        <v>3.54</v>
      </c>
      <c r="T197" s="149">
        <f t="shared" ref="T197:AG197" si="52">SUM(T191:T196)</f>
        <v>3.54</v>
      </c>
      <c r="U197" s="149">
        <f t="shared" si="52"/>
        <v>3.54</v>
      </c>
      <c r="V197" s="149">
        <f t="shared" si="52"/>
        <v>3.54</v>
      </c>
      <c r="W197" s="149">
        <f t="shared" si="52"/>
        <v>3.54</v>
      </c>
      <c r="X197" s="149">
        <f t="shared" si="52"/>
        <v>3.54</v>
      </c>
      <c r="Y197" s="149">
        <f t="shared" si="52"/>
        <v>3.54</v>
      </c>
      <c r="Z197" s="149">
        <f t="shared" si="52"/>
        <v>3.54</v>
      </c>
      <c r="AA197" s="149">
        <f t="shared" si="52"/>
        <v>3.54</v>
      </c>
      <c r="AB197" s="149">
        <f t="shared" si="52"/>
        <v>3.54</v>
      </c>
      <c r="AC197" s="149">
        <f t="shared" si="52"/>
        <v>3.54</v>
      </c>
      <c r="AD197" s="149">
        <f t="shared" si="52"/>
        <v>3.54</v>
      </c>
      <c r="AE197" s="149">
        <f t="shared" si="52"/>
        <v>3.54</v>
      </c>
      <c r="AF197" s="149">
        <f t="shared" si="52"/>
        <v>3.54</v>
      </c>
      <c r="AG197" s="150">
        <f t="shared" si="52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1191.8399999999999</v>
      </c>
      <c r="C206" s="164">
        <f>INDEX(F9:M9,1,MATCH(MAX(F73:M73),F73:M73,0))</f>
        <v>0.3125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12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2078/07/12)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2078/07/12)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3">B73</f>
        <v>820.74</v>
      </c>
      <c r="U211" s="173">
        <f t="shared" si="53"/>
        <v>808.14</v>
      </c>
      <c r="V211" s="173">
        <f t="shared" si="53"/>
        <v>784.04000000000008</v>
      </c>
      <c r="W211" s="173">
        <f t="shared" si="53"/>
        <v>816.04</v>
      </c>
      <c r="X211" s="173">
        <f t="shared" si="53"/>
        <v>839.54</v>
      </c>
      <c r="Y211" s="173">
        <f t="shared" si="53"/>
        <v>902.44</v>
      </c>
      <c r="Z211" s="173">
        <f t="shared" si="53"/>
        <v>962.74</v>
      </c>
      <c r="AA211" s="173">
        <f t="shared" si="53"/>
        <v>1014.44</v>
      </c>
      <c r="AB211" s="173">
        <f t="shared" si="53"/>
        <v>1107.54</v>
      </c>
      <c r="AC211" s="173">
        <f t="shared" si="53"/>
        <v>1191.8399999999999</v>
      </c>
      <c r="AD211" s="173">
        <f t="shared" si="53"/>
        <v>1184.04</v>
      </c>
      <c r="AE211" s="173">
        <f t="shared" si="53"/>
        <v>1150.04</v>
      </c>
      <c r="AF211" s="173">
        <f t="shared" si="53"/>
        <v>1145.7399999999998</v>
      </c>
      <c r="AG211" s="173">
        <f t="shared" si="53"/>
        <v>1121.74</v>
      </c>
      <c r="AH211" s="173">
        <f t="shared" si="53"/>
        <v>1094.94</v>
      </c>
      <c r="AI211" s="173">
        <f t="shared" si="53"/>
        <v>1089.1399999999999</v>
      </c>
      <c r="AJ211" s="173">
        <f t="shared" si="53"/>
        <v>1082.6399999999999</v>
      </c>
      <c r="AK211" s="173">
        <f t="shared" si="53"/>
        <v>1093.3399999999999</v>
      </c>
      <c r="AL211" s="173">
        <f t="shared" si="53"/>
        <v>1143.1399999999999</v>
      </c>
      <c r="AM211" s="173">
        <f t="shared" si="53"/>
        <v>1159.74</v>
      </c>
      <c r="AN211" s="173">
        <f t="shared" si="53"/>
        <v>1264.74</v>
      </c>
      <c r="AO211" s="173">
        <f t="shared" si="53"/>
        <v>1391</v>
      </c>
      <c r="AP211" s="173">
        <f t="shared" si="53"/>
        <v>1365.04</v>
      </c>
      <c r="AQ211" s="173">
        <f t="shared" si="53"/>
        <v>1253.1399999999999</v>
      </c>
      <c r="AR211" s="173">
        <f t="shared" si="53"/>
        <v>1192.94</v>
      </c>
      <c r="AS211" s="173">
        <f t="shared" si="53"/>
        <v>1117.54</v>
      </c>
      <c r="AT211" s="173">
        <f t="shared" si="53"/>
        <v>1064.3400000000001</v>
      </c>
      <c r="AU211" s="173">
        <f t="shared" si="53"/>
        <v>1000.44</v>
      </c>
      <c r="AV211" s="173">
        <f t="shared" si="53"/>
        <v>878.1400000000001</v>
      </c>
      <c r="AW211" s="173">
        <f t="shared" si="53"/>
        <v>856.44</v>
      </c>
      <c r="AX211" s="173">
        <f t="shared" si="53"/>
        <v>838.64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4">B196</f>
        <v>0.64</v>
      </c>
      <c r="C232" s="176">
        <f t="shared" si="54"/>
        <v>0.64</v>
      </c>
      <c r="D232" s="176">
        <f t="shared" si="54"/>
        <v>0.64</v>
      </c>
      <c r="E232" s="176">
        <f t="shared" si="54"/>
        <v>0.64</v>
      </c>
      <c r="F232" s="176">
        <f t="shared" si="54"/>
        <v>0.64</v>
      </c>
      <c r="G232" s="176">
        <f t="shared" si="54"/>
        <v>0.64</v>
      </c>
      <c r="H232" s="176">
        <f t="shared" si="54"/>
        <v>0.64</v>
      </c>
      <c r="I232" s="176">
        <f t="shared" si="54"/>
        <v>0.64</v>
      </c>
      <c r="J232" s="176">
        <f t="shared" si="54"/>
        <v>0.64</v>
      </c>
      <c r="K232" s="176">
        <f t="shared" si="54"/>
        <v>0.64</v>
      </c>
      <c r="L232" s="176">
        <f t="shared" si="54"/>
        <v>0.64</v>
      </c>
      <c r="M232" s="176">
        <f t="shared" si="54"/>
        <v>0.64</v>
      </c>
      <c r="N232" s="176">
        <f t="shared" si="54"/>
        <v>0.64</v>
      </c>
      <c r="O232" s="176">
        <f t="shared" si="54"/>
        <v>0.64</v>
      </c>
      <c r="P232" s="176">
        <f t="shared" si="54"/>
        <v>0.64</v>
      </c>
      <c r="Q232" s="176">
        <f t="shared" si="54"/>
        <v>0.64</v>
      </c>
      <c r="R232" s="176">
        <f t="shared" si="54"/>
        <v>0.64</v>
      </c>
      <c r="S232" s="176">
        <f t="shared" si="54"/>
        <v>0.64</v>
      </c>
      <c r="T232" s="176">
        <f t="shared" si="54"/>
        <v>0.64</v>
      </c>
      <c r="U232" s="176">
        <f t="shared" si="54"/>
        <v>0.64</v>
      </c>
      <c r="V232" s="176">
        <f t="shared" si="54"/>
        <v>0.64</v>
      </c>
      <c r="W232" s="176">
        <f t="shared" si="54"/>
        <v>0.64</v>
      </c>
      <c r="X232" s="176">
        <f t="shared" si="54"/>
        <v>0.64</v>
      </c>
      <c r="Y232" s="176">
        <f t="shared" si="54"/>
        <v>0.64</v>
      </c>
      <c r="Z232" s="176">
        <f t="shared" si="54"/>
        <v>0.64</v>
      </c>
      <c r="AA232" s="176">
        <f t="shared" si="54"/>
        <v>0.64</v>
      </c>
      <c r="AB232" s="176">
        <f t="shared" si="54"/>
        <v>0.64</v>
      </c>
      <c r="AC232" s="176">
        <f t="shared" si="54"/>
        <v>0.64</v>
      </c>
      <c r="AD232" s="176">
        <f t="shared" si="54"/>
        <v>0.64</v>
      </c>
      <c r="AE232" s="176">
        <f t="shared" si="54"/>
        <v>0.64</v>
      </c>
      <c r="AF232" s="176">
        <f t="shared" si="54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5">IF(C200&lt;100,"",C200-520)</f>
        <v/>
      </c>
      <c r="D233" s="120" t="str">
        <f t="shared" si="55"/>
        <v/>
      </c>
      <c r="E233" s="120" t="str">
        <f t="shared" si="55"/>
        <v/>
      </c>
      <c r="F233" s="120" t="str">
        <f t="shared" si="55"/>
        <v/>
      </c>
      <c r="G233" s="120" t="str">
        <f t="shared" si="55"/>
        <v/>
      </c>
      <c r="H233" s="120" t="str">
        <f t="shared" si="55"/>
        <v/>
      </c>
      <c r="I233" s="120" t="str">
        <f t="shared" si="55"/>
        <v/>
      </c>
      <c r="J233" s="120" t="str">
        <f t="shared" si="55"/>
        <v/>
      </c>
      <c r="K233" s="120" t="str">
        <f t="shared" si="55"/>
        <v/>
      </c>
      <c r="L233" s="120" t="str">
        <f t="shared" si="55"/>
        <v/>
      </c>
      <c r="M233" s="120" t="str">
        <f t="shared" si="55"/>
        <v/>
      </c>
      <c r="N233" s="120" t="str">
        <f t="shared" si="55"/>
        <v/>
      </c>
      <c r="O233" s="120" t="str">
        <f t="shared" si="55"/>
        <v/>
      </c>
      <c r="P233" s="120" t="str">
        <f t="shared" si="55"/>
        <v/>
      </c>
      <c r="Q233" s="120" t="str">
        <f t="shared" si="55"/>
        <v/>
      </c>
      <c r="R233" s="120" t="str">
        <f t="shared" si="55"/>
        <v/>
      </c>
      <c r="S233" s="120" t="str">
        <f t="shared" si="55"/>
        <v/>
      </c>
      <c r="T233" s="120" t="str">
        <f t="shared" si="55"/>
        <v/>
      </c>
      <c r="U233" s="120" t="str">
        <f t="shared" si="55"/>
        <v/>
      </c>
      <c r="V233" s="120" t="str">
        <f t="shared" si="55"/>
        <v/>
      </c>
      <c r="W233" s="120" t="str">
        <f t="shared" si="55"/>
        <v/>
      </c>
      <c r="X233" s="120" t="str">
        <f t="shared" si="55"/>
        <v/>
      </c>
      <c r="Y233" s="120" t="str">
        <f t="shared" si="55"/>
        <v/>
      </c>
      <c r="Z233" s="120" t="str">
        <f t="shared" si="55"/>
        <v/>
      </c>
      <c r="AA233" s="120" t="str">
        <f t="shared" si="55"/>
        <v/>
      </c>
      <c r="AB233" s="120" t="str">
        <f t="shared" si="55"/>
        <v/>
      </c>
      <c r="AC233" s="120" t="str">
        <f t="shared" si="55"/>
        <v/>
      </c>
      <c r="AD233" s="120" t="str">
        <f t="shared" si="55"/>
        <v/>
      </c>
      <c r="AE233" s="120" t="str">
        <f t="shared" si="55"/>
        <v/>
      </c>
      <c r="AF233" s="120" t="str">
        <f t="shared" si="55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6">IF(B201&lt;100,"",B201-620)</f>
        <v/>
      </c>
      <c r="C234" s="120" t="str">
        <f t="shared" si="56"/>
        <v/>
      </c>
      <c r="D234" s="120" t="str">
        <f t="shared" si="56"/>
        <v/>
      </c>
      <c r="E234" s="120" t="str">
        <f t="shared" si="56"/>
        <v/>
      </c>
      <c r="F234" s="120" t="str">
        <f t="shared" si="56"/>
        <v/>
      </c>
      <c r="G234" s="120" t="str">
        <f t="shared" si="56"/>
        <v/>
      </c>
      <c r="H234" s="120" t="str">
        <f t="shared" si="56"/>
        <v/>
      </c>
      <c r="I234" s="120" t="str">
        <f t="shared" si="56"/>
        <v/>
      </c>
      <c r="J234" s="120" t="str">
        <f t="shared" si="56"/>
        <v/>
      </c>
      <c r="K234" s="120" t="str">
        <f t="shared" si="56"/>
        <v/>
      </c>
      <c r="L234" s="120" t="str">
        <f t="shared" si="56"/>
        <v/>
      </c>
      <c r="M234" s="120" t="str">
        <f t="shared" si="56"/>
        <v/>
      </c>
      <c r="N234" s="120" t="str">
        <f t="shared" si="56"/>
        <v/>
      </c>
      <c r="O234" s="120" t="str">
        <f t="shared" si="56"/>
        <v/>
      </c>
      <c r="P234" s="120" t="str">
        <f t="shared" si="56"/>
        <v/>
      </c>
      <c r="Q234" s="120" t="str">
        <f t="shared" si="56"/>
        <v/>
      </c>
      <c r="R234" s="120" t="str">
        <f t="shared" si="56"/>
        <v/>
      </c>
      <c r="S234" s="120" t="str">
        <f t="shared" si="56"/>
        <v/>
      </c>
      <c r="T234" s="120" t="str">
        <f t="shared" si="56"/>
        <v/>
      </c>
      <c r="U234" s="120" t="str">
        <f t="shared" si="56"/>
        <v/>
      </c>
      <c r="V234" s="120" t="str">
        <f t="shared" si="56"/>
        <v/>
      </c>
      <c r="W234" s="120" t="str">
        <f t="shared" si="56"/>
        <v/>
      </c>
      <c r="X234" s="120" t="str">
        <f t="shared" si="56"/>
        <v/>
      </c>
      <c r="Y234" s="120" t="str">
        <f t="shared" si="56"/>
        <v/>
      </c>
      <c r="Z234" s="120" t="str">
        <f t="shared" si="56"/>
        <v/>
      </c>
      <c r="AA234" s="120" t="str">
        <f t="shared" si="56"/>
        <v/>
      </c>
      <c r="AB234" s="120" t="str">
        <f t="shared" si="56"/>
        <v/>
      </c>
      <c r="AC234" s="120" t="str">
        <f t="shared" si="56"/>
        <v/>
      </c>
      <c r="AD234" s="120" t="str">
        <f t="shared" si="56"/>
        <v/>
      </c>
      <c r="AE234" s="120" t="str">
        <f t="shared" si="56"/>
        <v/>
      </c>
      <c r="AF234" s="120" t="str">
        <f t="shared" si="56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7">IF(B202&lt;100,"",B202-330)</f>
        <v/>
      </c>
      <c r="C235" s="120" t="str">
        <f t="shared" si="57"/>
        <v/>
      </c>
      <c r="D235" s="120" t="str">
        <f t="shared" si="57"/>
        <v/>
      </c>
      <c r="E235" s="120" t="str">
        <f t="shared" si="57"/>
        <v/>
      </c>
      <c r="F235" s="120" t="str">
        <f t="shared" si="57"/>
        <v/>
      </c>
      <c r="G235" s="120" t="str">
        <f t="shared" si="57"/>
        <v/>
      </c>
      <c r="H235" s="120" t="str">
        <f t="shared" si="57"/>
        <v/>
      </c>
      <c r="I235" s="120" t="str">
        <f t="shared" si="57"/>
        <v/>
      </c>
      <c r="J235" s="120" t="str">
        <f t="shared" si="57"/>
        <v/>
      </c>
      <c r="K235" s="120" t="str">
        <f t="shared" si="57"/>
        <v/>
      </c>
      <c r="L235" s="120" t="str">
        <f t="shared" si="57"/>
        <v/>
      </c>
      <c r="M235" s="120" t="str">
        <f t="shared" si="57"/>
        <v/>
      </c>
      <c r="N235" s="120" t="str">
        <f t="shared" si="57"/>
        <v/>
      </c>
      <c r="O235" s="120" t="str">
        <f t="shared" si="57"/>
        <v/>
      </c>
      <c r="P235" s="120" t="str">
        <f t="shared" si="57"/>
        <v/>
      </c>
      <c r="Q235" s="120" t="str">
        <f t="shared" si="57"/>
        <v/>
      </c>
      <c r="R235" s="120" t="str">
        <f t="shared" si="57"/>
        <v/>
      </c>
      <c r="S235" s="120" t="str">
        <f t="shared" si="57"/>
        <v/>
      </c>
      <c r="T235" s="120" t="str">
        <f t="shared" si="57"/>
        <v/>
      </c>
      <c r="U235" s="120" t="str">
        <f t="shared" si="57"/>
        <v/>
      </c>
      <c r="V235" s="120" t="str">
        <f t="shared" si="57"/>
        <v/>
      </c>
      <c r="W235" s="120" t="str">
        <f t="shared" si="57"/>
        <v/>
      </c>
      <c r="X235" s="120" t="str">
        <f t="shared" si="57"/>
        <v/>
      </c>
      <c r="Y235" s="120" t="str">
        <f t="shared" si="57"/>
        <v/>
      </c>
      <c r="Z235" s="120" t="str">
        <f t="shared" si="57"/>
        <v/>
      </c>
      <c r="AA235" s="120" t="str">
        <f t="shared" si="57"/>
        <v/>
      </c>
      <c r="AB235" s="120" t="str">
        <f t="shared" si="57"/>
        <v/>
      </c>
      <c r="AC235" s="120" t="str">
        <f t="shared" si="57"/>
        <v/>
      </c>
      <c r="AD235" s="120" t="str">
        <f t="shared" si="57"/>
        <v/>
      </c>
      <c r="AE235" s="120" t="str">
        <f t="shared" si="57"/>
        <v/>
      </c>
      <c r="AF235" s="120" t="str">
        <f t="shared" si="57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8">IF(C203&lt;100,"",C203-1500)</f>
        <v/>
      </c>
      <c r="D236" s="120" t="str">
        <f t="shared" si="58"/>
        <v/>
      </c>
      <c r="E236" s="120" t="str">
        <f t="shared" si="58"/>
        <v/>
      </c>
      <c r="F236" s="120" t="str">
        <f t="shared" si="58"/>
        <v/>
      </c>
      <c r="G236" s="120" t="str">
        <f t="shared" si="58"/>
        <v/>
      </c>
      <c r="H236" s="120" t="str">
        <f t="shared" si="58"/>
        <v/>
      </c>
      <c r="I236" s="120" t="str">
        <f t="shared" si="58"/>
        <v/>
      </c>
      <c r="J236" s="120" t="str">
        <f t="shared" si="58"/>
        <v/>
      </c>
      <c r="K236" s="120" t="str">
        <f t="shared" si="58"/>
        <v/>
      </c>
      <c r="L236" s="120" t="str">
        <f t="shared" si="58"/>
        <v/>
      </c>
      <c r="M236" s="120" t="str">
        <f t="shared" si="58"/>
        <v/>
      </c>
      <c r="N236" s="120" t="str">
        <f t="shared" si="58"/>
        <v/>
      </c>
      <c r="O236" s="120" t="str">
        <f t="shared" si="58"/>
        <v/>
      </c>
      <c r="P236" s="120" t="str">
        <f t="shared" si="58"/>
        <v/>
      </c>
      <c r="Q236" s="120" t="str">
        <f t="shared" si="58"/>
        <v/>
      </c>
      <c r="R236" s="120" t="str">
        <f t="shared" si="58"/>
        <v/>
      </c>
      <c r="S236" s="120" t="str">
        <f t="shared" si="58"/>
        <v/>
      </c>
      <c r="T236" s="120" t="str">
        <f t="shared" si="58"/>
        <v/>
      </c>
      <c r="U236" s="120" t="str">
        <f t="shared" si="58"/>
        <v/>
      </c>
      <c r="V236" s="120" t="str">
        <f t="shared" si="58"/>
        <v/>
      </c>
      <c r="W236" s="120" t="str">
        <f t="shared" si="58"/>
        <v/>
      </c>
      <c r="X236" s="120" t="str">
        <f t="shared" si="58"/>
        <v/>
      </c>
      <c r="Y236" s="120" t="str">
        <f t="shared" si="58"/>
        <v/>
      </c>
      <c r="Z236" s="120" t="str">
        <f t="shared" si="58"/>
        <v/>
      </c>
      <c r="AA236" s="120" t="str">
        <f t="shared" si="58"/>
        <v/>
      </c>
      <c r="AB236" s="120" t="str">
        <f t="shared" si="58"/>
        <v/>
      </c>
      <c r="AC236" s="120" t="str">
        <f t="shared" si="58"/>
        <v/>
      </c>
      <c r="AD236" s="120" t="str">
        <f t="shared" si="58"/>
        <v/>
      </c>
      <c r="AE236" s="120" t="str">
        <f t="shared" si="58"/>
        <v/>
      </c>
      <c r="AF236" s="120" t="str">
        <f t="shared" si="58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983" priority="443">
      <formula>S$9&gt;=20/24</formula>
    </cfRule>
    <cfRule type="expression" dxfId="6982" priority="444">
      <formula>AND(S$9&gt;=14/24,S$9&lt;20/24)</formula>
    </cfRule>
    <cfRule type="expression" dxfId="6981" priority="445">
      <formula>AND(S$9&gt;=8/24,S$9&lt;14/24)</formula>
    </cfRule>
    <cfRule type="expression" dxfId="6980" priority="446">
      <formula>S$9&lt;8/24</formula>
    </cfRule>
  </conditionalFormatting>
  <conditionalFormatting sqref="B8:AF10 AA79:AF79 B79:Q79 B54:V54 B80:AF80 C191:AF197 L35:Q35 AF55:AF57 B66:AF70 M60:M65 T210:AX210 N59:N65 L56:R57 X83:Z89 AA82:AF89 B72:AF76 B78:AF78 L59:M59 L58:N58 B55:K59 B61:K65 L15:N15 O15:Q24 L12:Q13 O31:Q31 O26:Q29 O37:Q40 O43:Q46 L11:V11 O58:R65 R17:V29 T38:V40 L51:V53 S56:V65 Z11:AD11 X38:AD40 Y41:AD41 AA12:AD13 AA15:AF25 AA27:AF30 AE13:AF13 X51:AF54">
    <cfRule type="expression" dxfId="6979" priority="439">
      <formula>B$9&gt;=20/24</formula>
    </cfRule>
    <cfRule type="expression" dxfId="6978" priority="440">
      <formula>AND(B$9&gt;=14/24,B$9&lt;20/24)</formula>
    </cfRule>
    <cfRule type="expression" dxfId="6977" priority="441">
      <formula>AND(B$9&gt;=8/24,B$9&lt;14/24)</formula>
    </cfRule>
    <cfRule type="expression" dxfId="6976" priority="442">
      <formula>B$9&lt;8/24</formula>
    </cfRule>
  </conditionalFormatting>
  <conditionalFormatting sqref="B189:AF189">
    <cfRule type="expression" dxfId="6975" priority="435">
      <formula>B$9&gt;=20/24</formula>
    </cfRule>
    <cfRule type="expression" dxfId="6974" priority="436">
      <formula>AND(B$9&gt;=14/24,B$9&lt;20/24)</formula>
    </cfRule>
    <cfRule type="expression" dxfId="6973" priority="437">
      <formula>AND(B$9&gt;=8/24,B$9&lt;14/24)</formula>
    </cfRule>
    <cfRule type="expression" dxfId="6972" priority="438">
      <formula>B$9&lt;8/24</formula>
    </cfRule>
  </conditionalFormatting>
  <conditionalFormatting sqref="L55:Q55">
    <cfRule type="expression" dxfId="6971" priority="430">
      <formula>L$9&gt;=20/24</formula>
    </cfRule>
    <cfRule type="expression" dxfId="6970" priority="431">
      <formula>AND(L$9&gt;=14/24,L$9&lt;20/24)</formula>
    </cfRule>
    <cfRule type="expression" dxfId="6969" priority="432">
      <formula>AND(L$9&gt;=8/24,L$9&lt;14/24)</formula>
    </cfRule>
    <cfRule type="expression" dxfId="6968" priority="433">
      <formula>L$9&lt;8/24</formula>
    </cfRule>
  </conditionalFormatting>
  <conditionalFormatting sqref="O41:Q41">
    <cfRule type="expression" dxfId="6967" priority="426">
      <formula>O$9&gt;=20/24</formula>
    </cfRule>
    <cfRule type="expression" dxfId="6966" priority="427">
      <formula>AND(O$9&gt;=14/24,O$9&lt;20/24)</formula>
    </cfRule>
    <cfRule type="expression" dxfId="6965" priority="428">
      <formula>AND(O$9&gt;=8/24,O$9&lt;14/24)</formula>
    </cfRule>
    <cfRule type="expression" dxfId="6964" priority="429">
      <formula>O$9&lt;8/24</formula>
    </cfRule>
  </conditionalFormatting>
  <conditionalFormatting sqref="AA31:AF31">
    <cfRule type="expression" dxfId="6963" priority="422">
      <formula>AA$9&gt;=20/24</formula>
    </cfRule>
    <cfRule type="expression" dxfId="6962" priority="423">
      <formula>AND(AA$9&gt;=14/24,AA$9&lt;20/24)</formula>
    </cfRule>
    <cfRule type="expression" dxfId="6961" priority="424">
      <formula>AND(AA$9&gt;=8/24,AA$9&lt;14/24)</formula>
    </cfRule>
    <cfRule type="expression" dxfId="6960" priority="425">
      <formula>AA$9&lt;8/24</formula>
    </cfRule>
  </conditionalFormatting>
  <conditionalFormatting sqref="T37:V37 X37:AD37">
    <cfRule type="expression" dxfId="6959" priority="418">
      <formula>T$9&gt;=20/24</formula>
    </cfRule>
    <cfRule type="expression" dxfId="6958" priority="419">
      <formula>AND(T$9&gt;=14/24,T$9&lt;20/24)</formula>
    </cfRule>
    <cfRule type="expression" dxfId="6957" priority="420">
      <formula>AND(T$9&gt;=8/24,T$9&lt;14/24)</formula>
    </cfRule>
    <cfRule type="expression" dxfId="6956" priority="421">
      <formula>T$9&lt;8/24</formula>
    </cfRule>
  </conditionalFormatting>
  <conditionalFormatting sqref="R55:V55 AA55:AE55">
    <cfRule type="expression" dxfId="6955" priority="414">
      <formula>R$9&gt;=20/24</formula>
    </cfRule>
    <cfRule type="expression" dxfId="6954" priority="415">
      <formula>AND(R$9&gt;=14/24,R$9&lt;20/24)</formula>
    </cfRule>
    <cfRule type="expression" dxfId="6953" priority="416">
      <formula>AND(R$9&gt;=8/24,R$9&lt;14/24)</formula>
    </cfRule>
    <cfRule type="expression" dxfId="6952" priority="417">
      <formula>R$9&lt;8/24</formula>
    </cfRule>
  </conditionalFormatting>
  <conditionalFormatting sqref="R79:Z79">
    <cfRule type="expression" dxfId="6951" priority="410">
      <formula>R$9&gt;=20/24</formula>
    </cfRule>
    <cfRule type="expression" dxfId="6950" priority="411">
      <formula>AND(R$9&gt;=14/24,R$9&lt;20/24)</formula>
    </cfRule>
    <cfRule type="expression" dxfId="6949" priority="412">
      <formula>AND(R$9&gt;=8/24,R$9&lt;14/24)</formula>
    </cfRule>
    <cfRule type="expression" dxfId="6948" priority="413">
      <formula>R$9&lt;8/24</formula>
    </cfRule>
  </conditionalFormatting>
  <conditionalFormatting sqref="T82:Z82">
    <cfRule type="expression" dxfId="6947" priority="406">
      <formula>T$9&gt;=20/24</formula>
    </cfRule>
    <cfRule type="expression" dxfId="6946" priority="407">
      <formula>AND(T$9&gt;=14/24,T$9&lt;20/24)</formula>
    </cfRule>
    <cfRule type="expression" dxfId="6945" priority="408">
      <formula>AND(T$9&gt;=8/24,T$9&lt;14/24)</formula>
    </cfRule>
    <cfRule type="expression" dxfId="6944" priority="409">
      <formula>T$9&lt;8/24</formula>
    </cfRule>
  </conditionalFormatting>
  <conditionalFormatting sqref="O33:Q33">
    <cfRule type="expression" dxfId="6943" priority="402">
      <formula>O$9&gt;=20/24</formula>
    </cfRule>
    <cfRule type="expression" dxfId="6942" priority="403">
      <formula>AND(O$9&gt;=14/24,O$9&lt;20/24)</formula>
    </cfRule>
    <cfRule type="expression" dxfId="6941" priority="404">
      <formula>AND(O$9&gt;=8/24,O$9&lt;14/24)</formula>
    </cfRule>
    <cfRule type="expression" dxfId="6940" priority="405">
      <formula>O$9&lt;8/24</formula>
    </cfRule>
  </conditionalFormatting>
  <conditionalFormatting sqref="O47:Q47">
    <cfRule type="expression" dxfId="6939" priority="398">
      <formula>O$9&gt;=20/24</formula>
    </cfRule>
    <cfRule type="expression" dxfId="6938" priority="399">
      <formula>AND(O$9&gt;=14/24,O$9&lt;20/24)</formula>
    </cfRule>
    <cfRule type="expression" dxfId="6937" priority="400">
      <formula>AND(O$9&gt;=8/24,O$9&lt;14/24)</formula>
    </cfRule>
    <cfRule type="expression" dxfId="6936" priority="401">
      <formula>O$9&lt;8/24</formula>
    </cfRule>
  </conditionalFormatting>
  <conditionalFormatting sqref="O48:Q48">
    <cfRule type="expression" dxfId="6935" priority="394">
      <formula>O$9&gt;=20/24</formula>
    </cfRule>
    <cfRule type="expression" dxfId="6934" priority="395">
      <formula>AND(O$9&gt;=14/24,O$9&lt;20/24)</formula>
    </cfRule>
    <cfRule type="expression" dxfId="6933" priority="396">
      <formula>AND(O$9&gt;=8/24,O$9&lt;14/24)</formula>
    </cfRule>
    <cfRule type="expression" dxfId="6932" priority="397">
      <formula>O$9&lt;8/24</formula>
    </cfRule>
  </conditionalFormatting>
  <conditionalFormatting sqref="O43:Q46">
    <cfRule type="expression" dxfId="6931" priority="390">
      <formula>O$9&gt;=20/24</formula>
    </cfRule>
    <cfRule type="expression" dxfId="6930" priority="391">
      <formula>AND(O$9&gt;=14/24,O$9&lt;20/24)</formula>
    </cfRule>
    <cfRule type="expression" dxfId="6929" priority="392">
      <formula>AND(O$9&gt;=8/24,O$9&lt;14/24)</formula>
    </cfRule>
    <cfRule type="expression" dxfId="6928" priority="393">
      <formula>O$9&lt;8/24</formula>
    </cfRule>
  </conditionalFormatting>
  <conditionalFormatting sqref="R35:V35 Z35:AD35">
    <cfRule type="expression" dxfId="6927" priority="386">
      <formula>R$9&gt;=20/24</formula>
    </cfRule>
    <cfRule type="expression" dxfId="6926" priority="387">
      <formula>AND(R$9&gt;=14/24,R$9&lt;20/24)</formula>
    </cfRule>
    <cfRule type="expression" dxfId="6925" priority="388">
      <formula>AND(R$9&gt;=8/24,R$9&lt;14/24)</formula>
    </cfRule>
    <cfRule type="expression" dxfId="6924" priority="389">
      <formula>R$9&lt;8/24</formula>
    </cfRule>
  </conditionalFormatting>
  <conditionalFormatting sqref="R30:V31 R33:V33 AA33:AF33">
    <cfRule type="expression" dxfId="6923" priority="382">
      <formula>R$9&gt;=20/24</formula>
    </cfRule>
    <cfRule type="expression" dxfId="6922" priority="383">
      <formula>AND(R$9&gt;=14/24,R$9&lt;20/24)</formula>
    </cfRule>
    <cfRule type="expression" dxfId="6921" priority="384">
      <formula>AND(R$9&gt;=8/24,R$9&lt;14/24)</formula>
    </cfRule>
    <cfRule type="expression" dxfId="6920" priority="385">
      <formula>R$9&lt;8/24</formula>
    </cfRule>
  </conditionalFormatting>
  <conditionalFormatting sqref="X41 AA43:AD43 AA45:AD46 AD46:AF46">
    <cfRule type="expression" dxfId="6919" priority="378">
      <formula>X$9&gt;=20/24</formula>
    </cfRule>
    <cfRule type="expression" dxfId="6918" priority="379">
      <formula>AND(X$9&gt;=14/24,X$9&lt;20/24)</formula>
    </cfRule>
    <cfRule type="expression" dxfId="6917" priority="380">
      <formula>AND(X$9&gt;=8/24,X$9&lt;14/24)</formula>
    </cfRule>
    <cfRule type="expression" dxfId="6916" priority="381">
      <formula>X$9&lt;8/24</formula>
    </cfRule>
  </conditionalFormatting>
  <conditionalFormatting sqref="AA47:AF47">
    <cfRule type="expression" dxfId="6915" priority="374">
      <formula>AA$9&gt;=20/24</formula>
    </cfRule>
    <cfRule type="expression" dxfId="6914" priority="375">
      <formula>AND(AA$9&gt;=14/24,AA$9&lt;20/24)</formula>
    </cfRule>
    <cfRule type="expression" dxfId="6913" priority="376">
      <formula>AND(AA$9&gt;=8/24,AA$9&lt;14/24)</formula>
    </cfRule>
    <cfRule type="expression" dxfId="6912" priority="377">
      <formula>AA$9&lt;8/24</formula>
    </cfRule>
  </conditionalFormatting>
  <conditionalFormatting sqref="AA48:AF48">
    <cfRule type="expression" dxfId="6911" priority="370">
      <formula>AA$9&gt;=20/24</formula>
    </cfRule>
    <cfRule type="expression" dxfId="6910" priority="371">
      <formula>AND(AA$9&gt;=14/24,AA$9&lt;20/24)</formula>
    </cfRule>
    <cfRule type="expression" dxfId="6909" priority="372">
      <formula>AND(AA$9&gt;=8/24,AA$9&lt;14/24)</formula>
    </cfRule>
    <cfRule type="expression" dxfId="6908" priority="373">
      <formula>AA$9&lt;8/24</formula>
    </cfRule>
  </conditionalFormatting>
  <conditionalFormatting sqref="AA58:AF65">
    <cfRule type="expression" dxfId="6907" priority="366">
      <formula>AA$9&gt;=20/24</formula>
    </cfRule>
    <cfRule type="expression" dxfId="6906" priority="367">
      <formula>AND(AA$9&gt;=14/24,AA$9&lt;20/24)</formula>
    </cfRule>
    <cfRule type="expression" dxfId="6905" priority="368">
      <formula>AND(AA$9&gt;=8/24,AA$9&lt;14/24)</formula>
    </cfRule>
    <cfRule type="expression" dxfId="6904" priority="369">
      <formula>AA$9&lt;8/24</formula>
    </cfRule>
  </conditionalFormatting>
  <conditionalFormatting sqref="AA92:AF95">
    <cfRule type="expression" dxfId="6903" priority="362">
      <formula>AA$9&gt;=20/24</formula>
    </cfRule>
    <cfRule type="expression" dxfId="6902" priority="363">
      <formula>AND(AA$9&gt;=14/24,AA$9&lt;20/24)</formula>
    </cfRule>
    <cfRule type="expression" dxfId="6901" priority="364">
      <formula>AND(AA$9&gt;=8/24,AA$9&lt;14/24)</formula>
    </cfRule>
    <cfRule type="expression" dxfId="6900" priority="365">
      <formula>AA$9&lt;8/24</formula>
    </cfRule>
  </conditionalFormatting>
  <conditionalFormatting sqref="B60:K60">
    <cfRule type="expression" dxfId="6899" priority="358">
      <formula>B$9&gt;=20/24</formula>
    </cfRule>
    <cfRule type="expression" dxfId="6898" priority="359">
      <formula>AND(B$9&gt;=14/24,B$9&lt;20/24)</formula>
    </cfRule>
    <cfRule type="expression" dxfId="6897" priority="360">
      <formula>AND(B$9&gt;=8/24,B$9&lt;14/24)</formula>
    </cfRule>
    <cfRule type="expression" dxfId="6896" priority="361">
      <formula>B$9&lt;8/24</formula>
    </cfRule>
  </conditionalFormatting>
  <conditionalFormatting sqref="T92:Z95">
    <cfRule type="expression" dxfId="6895" priority="354">
      <formula>T$9&gt;=20/24</formula>
    </cfRule>
    <cfRule type="expression" dxfId="6894" priority="355">
      <formula>AND(T$9&gt;=14/24,T$9&lt;20/24)</formula>
    </cfRule>
    <cfRule type="expression" dxfId="6893" priority="356">
      <formula>AND(T$9&gt;=8/24,T$9&lt;14/24)</formula>
    </cfRule>
    <cfRule type="expression" dxfId="6892" priority="357">
      <formula>T$9&lt;8/24</formula>
    </cfRule>
  </conditionalFormatting>
  <conditionalFormatting sqref="AG49 B11:C13 B15:J29 K16:K29 B33:K33 B35:V36 B43:K48 B37:K41 K15:N15 B34:N34 B30:K31 O15:Q24 D12:Q13 O31:Q31 O26:Q29 O43:Q48 O37:Q41 D11:V11 R17:V31 O33:V34 T37:V40 B49:V54 Z11:AF11 Z35:AF35 AA15:AF31 AA33:AF34 AA12:AF13 AA43:AF43 AA45:AF48 X36:AF41 X49:AF54">
    <cfRule type="expression" dxfId="6891" priority="353">
      <formula>B11&gt;$AG11</formula>
    </cfRule>
  </conditionalFormatting>
  <conditionalFormatting sqref="A98:A154 A82:A95 A11:A13 A15:A31 A43:A70 A78:A80 A72:A76 A33:A41 A167:A198">
    <cfRule type="expression" dxfId="6890" priority="352">
      <formula>$AH11=0</formula>
    </cfRule>
  </conditionalFormatting>
  <conditionalFormatting sqref="AA96:AF96">
    <cfRule type="expression" dxfId="6889" priority="348">
      <formula>AA$9&gt;=20/24</formula>
    </cfRule>
    <cfRule type="expression" dxfId="6888" priority="349">
      <formula>AND(AA$9&gt;=14/24,AA$9&lt;20/24)</formula>
    </cfRule>
    <cfRule type="expression" dxfId="6887" priority="350">
      <formula>AND(AA$9&gt;=8/24,AA$9&lt;14/24)</formula>
    </cfRule>
    <cfRule type="expression" dxfId="6886" priority="351">
      <formula>AA$9&lt;8/24</formula>
    </cfRule>
  </conditionalFormatting>
  <conditionalFormatting sqref="T96:Z96">
    <cfRule type="expression" dxfId="6885" priority="344">
      <formula>T$9&gt;=20/24</formula>
    </cfRule>
    <cfRule type="expression" dxfId="6884" priority="345">
      <formula>AND(T$9&gt;=14/24,T$9&lt;20/24)</formula>
    </cfRule>
    <cfRule type="expression" dxfId="6883" priority="346">
      <formula>AND(T$9&gt;=8/24,T$9&lt;14/24)</formula>
    </cfRule>
    <cfRule type="expression" dxfId="6882" priority="347">
      <formula>T$9&lt;8/24</formula>
    </cfRule>
  </conditionalFormatting>
  <conditionalFormatting sqref="A96">
    <cfRule type="expression" dxfId="6881" priority="343">
      <formula>$AH96=0</formula>
    </cfRule>
  </conditionalFormatting>
  <conditionalFormatting sqref="F34:V34 AA34:AF34">
    <cfRule type="expression" dxfId="6880" priority="339">
      <formula>F$9&gt;=20/24</formula>
    </cfRule>
    <cfRule type="expression" dxfId="6879" priority="340">
      <formula>AND(F$9&gt;=14/24,F$9&lt;20/24)</formula>
    </cfRule>
    <cfRule type="expression" dxfId="6878" priority="341">
      <formula>AND(F$9&gt;=8/24,F$9&lt;14/24)</formula>
    </cfRule>
    <cfRule type="expression" dxfId="6877" priority="342">
      <formula>F$9&lt;8/24</formula>
    </cfRule>
  </conditionalFormatting>
  <conditionalFormatting sqref="R34:V34 AA34:AF34">
    <cfRule type="expression" dxfId="6876" priority="335">
      <formula>R$9&gt;=20/24</formula>
    </cfRule>
    <cfRule type="expression" dxfId="6875" priority="336">
      <formula>AND(R$9&gt;=14/24,R$9&lt;20/24)</formula>
    </cfRule>
    <cfRule type="expression" dxfId="6874" priority="337">
      <formula>AND(R$9&gt;=8/24,R$9&lt;14/24)</formula>
    </cfRule>
    <cfRule type="expression" dxfId="6873" priority="338">
      <formula>R$9&lt;8/24</formula>
    </cfRule>
  </conditionalFormatting>
  <conditionalFormatting sqref="B34:E34">
    <cfRule type="expression" dxfId="6872" priority="331">
      <formula>B$9&gt;=20/24</formula>
    </cfRule>
    <cfRule type="expression" dxfId="6871" priority="332">
      <formula>AND(B$9&gt;=14/24,B$9&lt;20/24)</formula>
    </cfRule>
    <cfRule type="expression" dxfId="6870" priority="333">
      <formula>AND(B$9&gt;=8/24,B$9&lt;14/24)</formula>
    </cfRule>
    <cfRule type="expression" dxfId="6869" priority="334">
      <formula>B$9&lt;8/24</formula>
    </cfRule>
  </conditionalFormatting>
  <conditionalFormatting sqref="L60:L65">
    <cfRule type="expression" dxfId="6868" priority="323">
      <formula>L$9&gt;=20/24</formula>
    </cfRule>
    <cfRule type="expression" dxfId="6867" priority="324">
      <formula>AND(L$9&gt;=14/24,L$9&lt;20/24)</formula>
    </cfRule>
    <cfRule type="expression" dxfId="6866" priority="325">
      <formula>AND(L$9&gt;=8/24,L$9&lt;14/24)</formula>
    </cfRule>
    <cfRule type="expression" dxfId="6865" priority="326">
      <formula>L$9&lt;8/24</formula>
    </cfRule>
  </conditionalFormatting>
  <conditionalFormatting sqref="AL31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A32:AF32">
    <cfRule type="expression" dxfId="6864" priority="318">
      <formula>AA$9&gt;=20/24</formula>
    </cfRule>
    <cfRule type="expression" dxfId="6863" priority="319">
      <formula>AND(AA$9&gt;=14/24,AA$9&lt;20/24)</formula>
    </cfRule>
    <cfRule type="expression" dxfId="6862" priority="320">
      <formula>AND(AA$9&gt;=8/24,AA$9&lt;14/24)</formula>
    </cfRule>
    <cfRule type="expression" dxfId="6861" priority="321">
      <formula>AA$9&lt;8/24</formula>
    </cfRule>
  </conditionalFormatting>
  <conditionalFormatting sqref="O32:Q32">
    <cfRule type="expression" dxfId="6860" priority="314">
      <formula>O$9&gt;=20/24</formula>
    </cfRule>
    <cfRule type="expression" dxfId="6859" priority="315">
      <formula>AND(O$9&gt;=14/24,O$9&lt;20/24)</formula>
    </cfRule>
    <cfRule type="expression" dxfId="6858" priority="316">
      <formula>AND(O$9&gt;=8/24,O$9&lt;14/24)</formula>
    </cfRule>
    <cfRule type="expression" dxfId="6857" priority="317">
      <formula>O$9&lt;8/24</formula>
    </cfRule>
  </conditionalFormatting>
  <conditionalFormatting sqref="R32:V32">
    <cfRule type="expression" dxfId="6856" priority="310">
      <formula>R$9&gt;=20/24</formula>
    </cfRule>
    <cfRule type="expression" dxfId="6855" priority="311">
      <formula>AND(R$9&gt;=14/24,R$9&lt;20/24)</formula>
    </cfRule>
    <cfRule type="expression" dxfId="6854" priority="312">
      <formula>AND(R$9&gt;=8/24,R$9&lt;14/24)</formula>
    </cfRule>
    <cfRule type="expression" dxfId="6853" priority="313">
      <formula>R$9&lt;8/24</formula>
    </cfRule>
  </conditionalFormatting>
  <conditionalFormatting sqref="B32:K32 O32:V32 AA32:AF32">
    <cfRule type="expression" dxfId="6852" priority="309">
      <formula>B32&gt;$AG32</formula>
    </cfRule>
  </conditionalFormatting>
  <conditionalFormatting sqref="A32">
    <cfRule type="expression" dxfId="6851" priority="308">
      <formula>$AH32=0</formula>
    </cfRule>
  </conditionalFormatting>
  <conditionalFormatting sqref="B81:AF81">
    <cfRule type="expression" dxfId="6850" priority="304">
      <formula>B$9&gt;=20/24</formula>
    </cfRule>
    <cfRule type="expression" dxfId="6849" priority="305">
      <formula>AND(B$9&gt;=14/24,B$9&lt;20/24)</formula>
    </cfRule>
    <cfRule type="expression" dxfId="6848" priority="306">
      <formula>AND(B$9&gt;=8/24,B$9&lt;14/24)</formula>
    </cfRule>
    <cfRule type="expression" dxfId="6847" priority="307">
      <formula>B$9&lt;8/24</formula>
    </cfRule>
  </conditionalFormatting>
  <conditionalFormatting sqref="A81">
    <cfRule type="expression" dxfId="6846" priority="303">
      <formula>$AH81=0</formula>
    </cfRule>
  </conditionalFormatting>
  <conditionalFormatting sqref="AA14:AF14">
    <cfRule type="expression" dxfId="6845" priority="299">
      <formula>AA$9&gt;=20/24</formula>
    </cfRule>
    <cfRule type="expression" dxfId="6844" priority="300">
      <formula>AND(AA$9&gt;=14/24,AA$9&lt;20/24)</formula>
    </cfRule>
    <cfRule type="expression" dxfId="6843" priority="301">
      <formula>AND(AA$9&gt;=8/24,AA$9&lt;14/24)</formula>
    </cfRule>
    <cfRule type="expression" dxfId="6842" priority="302">
      <formula>AA$9&lt;8/24</formula>
    </cfRule>
  </conditionalFormatting>
  <conditionalFormatting sqref="L14:Q14">
    <cfRule type="expression" dxfId="6841" priority="295">
      <formula>L$9&gt;=20/24</formula>
    </cfRule>
    <cfRule type="expression" dxfId="6840" priority="296">
      <formula>AND(L$9&gt;=14/24,L$9&lt;20/24)</formula>
    </cfRule>
    <cfRule type="expression" dxfId="6839" priority="297">
      <formula>AND(L$9&gt;=8/24,L$9&lt;14/24)</formula>
    </cfRule>
    <cfRule type="expression" dxfId="6838" priority="298">
      <formula>L$9&lt;8/24</formula>
    </cfRule>
  </conditionalFormatting>
  <conditionalFormatting sqref="B14:Q14 AA14:AF14">
    <cfRule type="expression" dxfId="6837" priority="294">
      <formula>B14&gt;$AG14</formula>
    </cfRule>
  </conditionalFormatting>
  <conditionalFormatting sqref="A14">
    <cfRule type="expression" dxfId="6836" priority="293">
      <formula>$AH14=0</formula>
    </cfRule>
  </conditionalFormatting>
  <conditionalFormatting sqref="A161:A166">
    <cfRule type="expression" dxfId="6835" priority="292">
      <formula>$AH161=0</formula>
    </cfRule>
  </conditionalFormatting>
  <conditionalFormatting sqref="A155:A160">
    <cfRule type="expression" dxfId="6834" priority="291">
      <formula>$AH155=0</formula>
    </cfRule>
  </conditionalFormatting>
  <conditionalFormatting sqref="AA42:AD42">
    <cfRule type="expression" dxfId="6833" priority="287">
      <formula>AA$9&gt;=20/24</formula>
    </cfRule>
    <cfRule type="expression" dxfId="6832" priority="288">
      <formula>AND(AA$9&gt;=14/24,AA$9&lt;20/24)</formula>
    </cfRule>
    <cfRule type="expression" dxfId="6831" priority="289">
      <formula>AND(AA$9&gt;=8/24,AA$9&lt;14/24)</formula>
    </cfRule>
    <cfRule type="expression" dxfId="6830" priority="290">
      <formula>AA$9&lt;8/24</formula>
    </cfRule>
  </conditionalFormatting>
  <conditionalFormatting sqref="O42:Q42">
    <cfRule type="expression" dxfId="6829" priority="283">
      <formula>O$9&gt;=20/24</formula>
    </cfRule>
    <cfRule type="expression" dxfId="6828" priority="284">
      <formula>AND(O$9&gt;=14/24,O$9&lt;20/24)</formula>
    </cfRule>
    <cfRule type="expression" dxfId="6827" priority="285">
      <formula>AND(O$9&gt;=8/24,O$9&lt;14/24)</formula>
    </cfRule>
    <cfRule type="expression" dxfId="6826" priority="286">
      <formula>O$9&lt;8/24</formula>
    </cfRule>
  </conditionalFormatting>
  <conditionalFormatting sqref="B42:K42 O42:Q42 AA42:AF42">
    <cfRule type="expression" dxfId="6825" priority="278">
      <formula>B42&gt;$AG42</formula>
    </cfRule>
  </conditionalFormatting>
  <conditionalFormatting sqref="A42">
    <cfRule type="expression" dxfId="6824" priority="277">
      <formula>$AH42=0</formula>
    </cfRule>
  </conditionalFormatting>
  <conditionalFormatting sqref="B77:AF77">
    <cfRule type="expression" dxfId="6823" priority="273">
      <formula>B$9&gt;=20/24</formula>
    </cfRule>
    <cfRule type="expression" dxfId="6822" priority="274">
      <formula>AND(B$9&gt;=14/24,B$9&lt;20/24)</formula>
    </cfRule>
    <cfRule type="expression" dxfId="6821" priority="275">
      <formula>AND(B$9&gt;=8/24,B$9&lt;14/24)</formula>
    </cfRule>
    <cfRule type="expression" dxfId="6820" priority="276">
      <formula>B$9&lt;8/24</formula>
    </cfRule>
  </conditionalFormatting>
  <conditionalFormatting sqref="A77">
    <cfRule type="expression" dxfId="6819" priority="272">
      <formula>$AH77=0</formula>
    </cfRule>
  </conditionalFormatting>
  <conditionalFormatting sqref="B71:AG71">
    <cfRule type="expression" dxfId="6818" priority="268">
      <formula>B$9&gt;=20/24</formula>
    </cfRule>
    <cfRule type="expression" dxfId="6817" priority="269">
      <formula>AND(B$9&gt;=14/24,B$9&lt;20/24)</formula>
    </cfRule>
    <cfRule type="expression" dxfId="6816" priority="270">
      <formula>AND(B$9&gt;=8/24,B$9&lt;14/24)</formula>
    </cfRule>
    <cfRule type="expression" dxfId="6815" priority="271">
      <formula>B$9&lt;8/24</formula>
    </cfRule>
  </conditionalFormatting>
  <conditionalFormatting sqref="A71">
    <cfRule type="expression" dxfId="6814" priority="267">
      <formula>$AH71=0</formula>
    </cfRule>
  </conditionalFormatting>
  <conditionalFormatting sqref="AL32:AL33 AL10 AL25:AL30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T83:W89">
    <cfRule type="expression" dxfId="6813" priority="259">
      <formula>T$9&gt;=20/24</formula>
    </cfRule>
    <cfRule type="expression" dxfId="6812" priority="260">
      <formula>AND(T$9&gt;=14/24,T$9&lt;20/24)</formula>
    </cfRule>
    <cfRule type="expression" dxfId="6811" priority="261">
      <formula>AND(T$9&gt;=8/24,T$9&lt;14/24)</formula>
    </cfRule>
    <cfRule type="expression" dxfId="6810" priority="262">
      <formula>T$9&lt;8/24</formula>
    </cfRule>
  </conditionalFormatting>
  <conditionalFormatting sqref="S83:S89 B82:R89">
    <cfRule type="expression" dxfId="6809" priority="255">
      <formula>B$9&gt;=20/24</formula>
    </cfRule>
    <cfRule type="expression" dxfId="6808" priority="256">
      <formula>AND(B$9&gt;=14/24,B$9&lt;20/24)</formula>
    </cfRule>
    <cfRule type="expression" dxfId="6807" priority="257">
      <formula>AND(B$9&gt;=8/24,B$9&lt;14/24)</formula>
    </cfRule>
    <cfRule type="expression" dxfId="6806" priority="258">
      <formula>B$9&lt;8/24</formula>
    </cfRule>
  </conditionalFormatting>
  <conditionalFormatting sqref="S82">
    <cfRule type="expression" dxfId="6805" priority="251">
      <formula>S$9&gt;=20/24</formula>
    </cfRule>
    <cfRule type="expression" dxfId="6804" priority="252">
      <formula>AND(S$9&gt;=14/24,S$9&lt;20/24)</formula>
    </cfRule>
    <cfRule type="expression" dxfId="6803" priority="253">
      <formula>AND(S$9&gt;=8/24,S$9&lt;14/24)</formula>
    </cfRule>
    <cfRule type="expression" dxfId="6802" priority="254">
      <formula>S$9&lt;8/24</formula>
    </cfRule>
  </conditionalFormatting>
  <conditionalFormatting sqref="B92:F95 G93:L95">
    <cfRule type="expression" dxfId="6801" priority="247">
      <formula>B$9&gt;=20/24</formula>
    </cfRule>
    <cfRule type="expression" dxfId="6800" priority="248">
      <formula>AND(B$9&gt;=14/24,B$9&lt;20/24)</formula>
    </cfRule>
    <cfRule type="expression" dxfId="6799" priority="249">
      <formula>AND(B$9&gt;=8/24,B$9&lt;14/24)</formula>
    </cfRule>
    <cfRule type="expression" dxfId="6798" priority="250">
      <formula>B$9&lt;8/24</formula>
    </cfRule>
  </conditionalFormatting>
  <conditionalFormatting sqref="M93:Q95 N92:Q92 R92:R95">
    <cfRule type="expression" dxfId="6797" priority="243">
      <formula>M$9&gt;=20/24</formula>
    </cfRule>
    <cfRule type="expression" dxfId="6796" priority="244">
      <formula>AND(M$9&gt;=14/24,M$9&lt;20/24)</formula>
    </cfRule>
    <cfRule type="expression" dxfId="6795" priority="245">
      <formula>AND(M$9&gt;=8/24,M$9&lt;14/24)</formula>
    </cfRule>
    <cfRule type="expression" dxfId="6794" priority="246">
      <formula>M$9&lt;8/24</formula>
    </cfRule>
  </conditionalFormatting>
  <conditionalFormatting sqref="S92:S95">
    <cfRule type="expression" dxfId="6793" priority="239">
      <formula>S$9&gt;=20/24</formula>
    </cfRule>
    <cfRule type="expression" dxfId="6792" priority="240">
      <formula>AND(S$9&gt;=14/24,S$9&lt;20/24)</formula>
    </cfRule>
    <cfRule type="expression" dxfId="6791" priority="241">
      <formula>AND(S$9&gt;=8/24,S$9&lt;14/24)</formula>
    </cfRule>
    <cfRule type="expression" dxfId="6790" priority="242">
      <formula>S$9&lt;8/24</formula>
    </cfRule>
  </conditionalFormatting>
  <conditionalFormatting sqref="B96:L96">
    <cfRule type="expression" dxfId="6789" priority="235">
      <formula>B$9&gt;=20/24</formula>
    </cfRule>
    <cfRule type="expression" dxfId="6788" priority="236">
      <formula>AND(B$9&gt;=14/24,B$9&lt;20/24)</formula>
    </cfRule>
    <cfRule type="expression" dxfId="6787" priority="237">
      <formula>AND(B$9&gt;=8/24,B$9&lt;14/24)</formula>
    </cfRule>
    <cfRule type="expression" dxfId="6786" priority="238">
      <formula>B$9&lt;8/24</formula>
    </cfRule>
  </conditionalFormatting>
  <conditionalFormatting sqref="M96:R96">
    <cfRule type="expression" dxfId="6785" priority="231">
      <formula>M$9&gt;=20/24</formula>
    </cfRule>
    <cfRule type="expression" dxfId="6784" priority="232">
      <formula>AND(M$9&gt;=14/24,M$9&lt;20/24)</formula>
    </cfRule>
    <cfRule type="expression" dxfId="6783" priority="233">
      <formula>AND(M$9&gt;=8/24,M$9&lt;14/24)</formula>
    </cfRule>
    <cfRule type="expression" dxfId="6782" priority="234">
      <formula>M$9&lt;8/24</formula>
    </cfRule>
  </conditionalFormatting>
  <conditionalFormatting sqref="S96">
    <cfRule type="expression" dxfId="6781" priority="227">
      <formula>S$9&gt;=20/24</formula>
    </cfRule>
    <cfRule type="expression" dxfId="6780" priority="228">
      <formula>AND(S$9&gt;=14/24,S$9&lt;20/24)</formula>
    </cfRule>
    <cfRule type="expression" dxfId="6779" priority="229">
      <formula>AND(S$9&gt;=8/24,S$9&lt;14/24)</formula>
    </cfRule>
    <cfRule type="expression" dxfId="6778" priority="230">
      <formula>S$9&lt;8/24</formula>
    </cfRule>
  </conditionalFormatting>
  <conditionalFormatting sqref="M92">
    <cfRule type="expression" dxfId="6777" priority="223">
      <formula>M$9&gt;=20/24</formula>
    </cfRule>
    <cfRule type="expression" dxfId="6776" priority="224">
      <formula>AND(M$9&gt;=14/24,M$9&lt;20/24)</formula>
    </cfRule>
    <cfRule type="expression" dxfId="6775" priority="225">
      <formula>AND(M$9&gt;=8/24,M$9&lt;14/24)</formula>
    </cfRule>
    <cfRule type="expression" dxfId="6774" priority="226">
      <formula>M$9&lt;8/24</formula>
    </cfRule>
  </conditionalFormatting>
  <conditionalFormatting sqref="G92:L92">
    <cfRule type="expression" dxfId="6773" priority="219">
      <formula>G$9&gt;=20/24</formula>
    </cfRule>
    <cfRule type="expression" dxfId="6772" priority="220">
      <formula>AND(G$9&gt;=14/24,G$9&lt;20/24)</formula>
    </cfRule>
    <cfRule type="expression" dxfId="6771" priority="221">
      <formula>AND(G$9&gt;=8/24,G$9&lt;14/24)</formula>
    </cfRule>
    <cfRule type="expression" dxfId="6770" priority="222">
      <formula>G$9&lt;8/24</formula>
    </cfRule>
  </conditionalFormatting>
  <conditionalFormatting sqref="T92:V92">
    <cfRule type="expression" dxfId="6769" priority="215">
      <formula>T$9&gt;=20/24</formula>
    </cfRule>
    <cfRule type="expression" dxfId="6768" priority="216">
      <formula>AND(T$9&gt;=14/24,T$9&lt;20/24)</formula>
    </cfRule>
    <cfRule type="expression" dxfId="6767" priority="217">
      <formula>AND(T$9&gt;=8/24,T$9&lt;14/24)</formula>
    </cfRule>
    <cfRule type="expression" dxfId="6766" priority="218">
      <formula>T$9&lt;8/24</formula>
    </cfRule>
  </conditionalFormatting>
  <conditionalFormatting sqref="M92:S92">
    <cfRule type="expression" dxfId="6765" priority="211">
      <formula>M$9&gt;=20/24</formula>
    </cfRule>
    <cfRule type="expression" dxfId="6764" priority="212">
      <formula>AND(M$9&gt;=14/24,M$9&lt;20/24)</formula>
    </cfRule>
    <cfRule type="expression" dxfId="6763" priority="213">
      <formula>AND(M$9&gt;=8/24,M$9&lt;14/24)</formula>
    </cfRule>
    <cfRule type="expression" dxfId="6762" priority="214">
      <formula>M$9&lt;8/24</formula>
    </cfRule>
  </conditionalFormatting>
  <conditionalFormatting sqref="AA97:AF97">
    <cfRule type="expression" dxfId="6761" priority="207">
      <formula>AA$9&gt;=20/24</formula>
    </cfRule>
    <cfRule type="expression" dxfId="6760" priority="208">
      <formula>AND(AA$9&gt;=14/24,AA$9&lt;20/24)</formula>
    </cfRule>
    <cfRule type="expression" dxfId="6759" priority="209">
      <formula>AND(AA$9&gt;=8/24,AA$9&lt;14/24)</formula>
    </cfRule>
    <cfRule type="expression" dxfId="6758" priority="210">
      <formula>AA$9&lt;8/24</formula>
    </cfRule>
  </conditionalFormatting>
  <conditionalFormatting sqref="T97:Z97">
    <cfRule type="expression" dxfId="6757" priority="203">
      <formula>T$9&gt;=20/24</formula>
    </cfRule>
    <cfRule type="expression" dxfId="6756" priority="204">
      <formula>AND(T$9&gt;=14/24,T$9&lt;20/24)</formula>
    </cfRule>
    <cfRule type="expression" dxfId="6755" priority="205">
      <formula>AND(T$9&gt;=8/24,T$9&lt;14/24)</formula>
    </cfRule>
    <cfRule type="expression" dxfId="6754" priority="206">
      <formula>T$9&lt;8/24</formula>
    </cfRule>
  </conditionalFormatting>
  <conditionalFormatting sqref="A97">
    <cfRule type="expression" dxfId="6753" priority="202">
      <formula>$AH97=0</formula>
    </cfRule>
  </conditionalFormatting>
  <conditionalFormatting sqref="B97:L97">
    <cfRule type="expression" dxfId="6752" priority="198">
      <formula>B$9&gt;=20/24</formula>
    </cfRule>
    <cfRule type="expression" dxfId="6751" priority="199">
      <formula>AND(B$9&gt;=14/24,B$9&lt;20/24)</formula>
    </cfRule>
    <cfRule type="expression" dxfId="6750" priority="200">
      <formula>AND(B$9&gt;=8/24,B$9&lt;14/24)</formula>
    </cfRule>
    <cfRule type="expression" dxfId="6749" priority="201">
      <formula>B$9&lt;8/24</formula>
    </cfRule>
  </conditionalFormatting>
  <conditionalFormatting sqref="M97:R97">
    <cfRule type="expression" dxfId="6748" priority="194">
      <formula>M$9&gt;=20/24</formula>
    </cfRule>
    <cfRule type="expression" dxfId="6747" priority="195">
      <formula>AND(M$9&gt;=14/24,M$9&lt;20/24)</formula>
    </cfRule>
    <cfRule type="expression" dxfId="6746" priority="196">
      <formula>AND(M$9&gt;=8/24,M$9&lt;14/24)</formula>
    </cfRule>
    <cfRule type="expression" dxfId="6745" priority="197">
      <formula>M$9&lt;8/24</formula>
    </cfRule>
  </conditionalFormatting>
  <conditionalFormatting sqref="S97">
    <cfRule type="expression" dxfId="6744" priority="190">
      <formula>S$9&gt;=20/24</formula>
    </cfRule>
    <cfRule type="expression" dxfId="6743" priority="191">
      <formula>AND(S$9&gt;=14/24,S$9&lt;20/24)</formula>
    </cfRule>
    <cfRule type="expression" dxfId="6742" priority="192">
      <formula>AND(S$9&gt;=8/24,S$9&lt;14/24)</formula>
    </cfRule>
    <cfRule type="expression" dxfId="6741" priority="193">
      <formula>S$9&lt;8/24</formula>
    </cfRule>
  </conditionalFormatting>
  <conditionalFormatting sqref="R12:V15">
    <cfRule type="expression" dxfId="6740" priority="186">
      <formula>R$9&gt;=20/24</formula>
    </cfRule>
    <cfRule type="expression" dxfId="6739" priority="187">
      <formula>AND(R$9&gt;=14/24,R$9&lt;20/24)</formula>
    </cfRule>
    <cfRule type="expression" dxfId="6738" priority="188">
      <formula>AND(R$9&gt;=8/24,R$9&lt;14/24)</formula>
    </cfRule>
    <cfRule type="expression" dxfId="6737" priority="189">
      <formula>R$9&lt;8/24</formula>
    </cfRule>
  </conditionalFormatting>
  <conditionalFormatting sqref="R16:V16">
    <cfRule type="expression" dxfId="6736" priority="182">
      <formula>R$9&gt;=20/24</formula>
    </cfRule>
    <cfRule type="expression" dxfId="6735" priority="183">
      <formula>AND(R$9&gt;=14/24,R$9&lt;20/24)</formula>
    </cfRule>
    <cfRule type="expression" dxfId="6734" priority="184">
      <formula>AND(R$9&gt;=8/24,R$9&lt;14/24)</formula>
    </cfRule>
    <cfRule type="expression" dxfId="6733" priority="185">
      <formula>R$9&lt;8/24</formula>
    </cfRule>
  </conditionalFormatting>
  <conditionalFormatting sqref="R12:V12">
    <cfRule type="expression" dxfId="6732" priority="178">
      <formula>R$9&gt;=20/24</formula>
    </cfRule>
    <cfRule type="expression" dxfId="6731" priority="179">
      <formula>AND(R$9&gt;=14/24,R$9&lt;20/24)</formula>
    </cfRule>
    <cfRule type="expression" dxfId="6730" priority="180">
      <formula>AND(R$9&gt;=8/24,R$9&lt;14/24)</formula>
    </cfRule>
    <cfRule type="expression" dxfId="6729" priority="181">
      <formula>R$9&lt;8/24</formula>
    </cfRule>
  </conditionalFormatting>
  <conditionalFormatting sqref="AA56:AE57">
    <cfRule type="expression" dxfId="6728" priority="174">
      <formula>AA$9&gt;=20/24</formula>
    </cfRule>
    <cfRule type="expression" dxfId="6727" priority="175">
      <formula>AND(AA$9&gt;=14/24,AA$9&lt;20/24)</formula>
    </cfRule>
    <cfRule type="expression" dxfId="6726" priority="176">
      <formula>AND(AA$9&gt;=8/24,AA$9&lt;14/24)</formula>
    </cfRule>
    <cfRule type="expression" dxfId="6725" priority="177">
      <formula>AA$9&lt;8/24</formula>
    </cfRule>
  </conditionalFormatting>
  <conditionalFormatting sqref="L16:N29 L31:N31 O25:Q25">
    <cfRule type="expression" dxfId="6724" priority="170">
      <formula>L$9&gt;=20/24</formula>
    </cfRule>
    <cfRule type="expression" dxfId="6723" priority="171">
      <formula>AND(L$9&gt;=14/24,L$9&lt;20/24)</formula>
    </cfRule>
    <cfRule type="expression" dxfId="6722" priority="172">
      <formula>AND(L$9&gt;=8/24,L$9&lt;14/24)</formula>
    </cfRule>
    <cfRule type="expression" dxfId="6721" priority="173">
      <formula>L$9&lt;8/24</formula>
    </cfRule>
  </conditionalFormatting>
  <conditionalFormatting sqref="L33:N33">
    <cfRule type="expression" dxfId="6720" priority="166">
      <formula>L$9&gt;=20/24</formula>
    </cfRule>
    <cfRule type="expression" dxfId="6719" priority="167">
      <formula>AND(L$9&gt;=14/24,L$9&lt;20/24)</formula>
    </cfRule>
    <cfRule type="expression" dxfId="6718" priority="168">
      <formula>AND(L$9&gt;=8/24,L$9&lt;14/24)</formula>
    </cfRule>
    <cfRule type="expression" dxfId="6717" priority="169">
      <formula>L$9&lt;8/24</formula>
    </cfRule>
  </conditionalFormatting>
  <conditionalFormatting sqref="L16:N29 L33:N33 L31:N31 O25:Q25">
    <cfRule type="expression" dxfId="6716" priority="165">
      <formula>L16&gt;$AG16</formula>
    </cfRule>
  </conditionalFormatting>
  <conditionalFormatting sqref="L32:N32">
    <cfRule type="expression" dxfId="6715" priority="161">
      <formula>L$9&gt;=20/24</formula>
    </cfRule>
    <cfRule type="expression" dxfId="6714" priority="162">
      <formula>AND(L$9&gt;=14/24,L$9&lt;20/24)</formula>
    </cfRule>
    <cfRule type="expression" dxfId="6713" priority="163">
      <formula>AND(L$9&gt;=8/24,L$9&lt;14/24)</formula>
    </cfRule>
    <cfRule type="expression" dxfId="6712" priority="164">
      <formula>L$9&lt;8/24</formula>
    </cfRule>
  </conditionalFormatting>
  <conditionalFormatting sqref="L32:N32">
    <cfRule type="expression" dxfId="6711" priority="160">
      <formula>L32&gt;$AG32</formula>
    </cfRule>
  </conditionalFormatting>
  <conditionalFormatting sqref="L37:N40 L43:N46">
    <cfRule type="expression" dxfId="6710" priority="156">
      <formula>L$9&gt;=20/24</formula>
    </cfRule>
    <cfRule type="expression" dxfId="6709" priority="157">
      <formula>AND(L$9&gt;=14/24,L$9&lt;20/24)</formula>
    </cfRule>
    <cfRule type="expression" dxfId="6708" priority="158">
      <formula>AND(L$9&gt;=8/24,L$9&lt;14/24)</formula>
    </cfRule>
    <cfRule type="expression" dxfId="6707" priority="159">
      <formula>L$9&lt;8/24</formula>
    </cfRule>
  </conditionalFormatting>
  <conditionalFormatting sqref="L41:N41">
    <cfRule type="expression" dxfId="6706" priority="152">
      <formula>L$9&gt;=20/24</formula>
    </cfRule>
    <cfRule type="expression" dxfId="6705" priority="153">
      <formula>AND(L$9&gt;=14/24,L$9&lt;20/24)</formula>
    </cfRule>
    <cfRule type="expression" dxfId="6704" priority="154">
      <formula>AND(L$9&gt;=8/24,L$9&lt;14/24)</formula>
    </cfRule>
    <cfRule type="expression" dxfId="6703" priority="155">
      <formula>L$9&lt;8/24</formula>
    </cfRule>
  </conditionalFormatting>
  <conditionalFormatting sqref="L47:N47">
    <cfRule type="expression" dxfId="6702" priority="148">
      <formula>L$9&gt;=20/24</formula>
    </cfRule>
    <cfRule type="expression" dxfId="6701" priority="149">
      <formula>AND(L$9&gt;=14/24,L$9&lt;20/24)</formula>
    </cfRule>
    <cfRule type="expression" dxfId="6700" priority="150">
      <formula>AND(L$9&gt;=8/24,L$9&lt;14/24)</formula>
    </cfRule>
    <cfRule type="expression" dxfId="6699" priority="151">
      <formula>L$9&lt;8/24</formula>
    </cfRule>
  </conditionalFormatting>
  <conditionalFormatting sqref="L48:N48">
    <cfRule type="expression" dxfId="6698" priority="144">
      <formula>L$9&gt;=20/24</formula>
    </cfRule>
    <cfRule type="expression" dxfId="6697" priority="145">
      <formula>AND(L$9&gt;=14/24,L$9&lt;20/24)</formula>
    </cfRule>
    <cfRule type="expression" dxfId="6696" priority="146">
      <formula>AND(L$9&gt;=8/24,L$9&lt;14/24)</formula>
    </cfRule>
    <cfRule type="expression" dxfId="6695" priority="147">
      <formula>L$9&lt;8/24</formula>
    </cfRule>
  </conditionalFormatting>
  <conditionalFormatting sqref="L43:N46">
    <cfRule type="expression" dxfId="6694" priority="140">
      <formula>L$9&gt;=20/24</formula>
    </cfRule>
    <cfRule type="expression" dxfId="6693" priority="141">
      <formula>AND(L$9&gt;=14/24,L$9&lt;20/24)</formula>
    </cfRule>
    <cfRule type="expression" dxfId="6692" priority="142">
      <formula>AND(L$9&gt;=8/24,L$9&lt;14/24)</formula>
    </cfRule>
    <cfRule type="expression" dxfId="6691" priority="143">
      <formula>L$9&lt;8/24</formula>
    </cfRule>
  </conditionalFormatting>
  <conditionalFormatting sqref="L43:N48 L37:N41">
    <cfRule type="expression" dxfId="6690" priority="139">
      <formula>L37&gt;$AG37</formula>
    </cfRule>
  </conditionalFormatting>
  <conditionalFormatting sqref="L42:N42">
    <cfRule type="expression" dxfId="6689" priority="135">
      <formula>L$9&gt;=20/24</formula>
    </cfRule>
    <cfRule type="expression" dxfId="6688" priority="136">
      <formula>AND(L$9&gt;=14/24,L$9&lt;20/24)</formula>
    </cfRule>
    <cfRule type="expression" dxfId="6687" priority="137">
      <formula>AND(L$9&gt;=8/24,L$9&lt;14/24)</formula>
    </cfRule>
    <cfRule type="expression" dxfId="6686" priority="138">
      <formula>L$9&lt;8/24</formula>
    </cfRule>
  </conditionalFormatting>
  <conditionalFormatting sqref="L42:N42">
    <cfRule type="expression" dxfId="6685" priority="134">
      <formula>L42&gt;$AG42</formula>
    </cfRule>
  </conditionalFormatting>
  <conditionalFormatting sqref="O30:Q30">
    <cfRule type="expression" dxfId="6684" priority="130">
      <formula>O$9&gt;=20/24</formula>
    </cfRule>
    <cfRule type="expression" dxfId="6683" priority="131">
      <formula>AND(O$9&gt;=14/24,O$9&lt;20/24)</formula>
    </cfRule>
    <cfRule type="expression" dxfId="6682" priority="132">
      <formula>AND(O$9&gt;=8/24,O$9&lt;14/24)</formula>
    </cfRule>
    <cfRule type="expression" dxfId="6681" priority="133">
      <formula>O$9&lt;8/24</formula>
    </cfRule>
  </conditionalFormatting>
  <conditionalFormatting sqref="O30:Q30">
    <cfRule type="expression" dxfId="6680" priority="129">
      <formula>O30&gt;$AG30</formula>
    </cfRule>
  </conditionalFormatting>
  <conditionalFormatting sqref="L30:N30">
    <cfRule type="expression" dxfId="6679" priority="125">
      <formula>L$9&gt;=20/24</formula>
    </cfRule>
    <cfRule type="expression" dxfId="6678" priority="126">
      <formula>AND(L$9&gt;=14/24,L$9&lt;20/24)</formula>
    </cfRule>
    <cfRule type="expression" dxfId="6677" priority="127">
      <formula>AND(L$9&gt;=8/24,L$9&lt;14/24)</formula>
    </cfRule>
    <cfRule type="expression" dxfId="6676" priority="128">
      <formula>L$9&lt;8/24</formula>
    </cfRule>
  </conditionalFormatting>
  <conditionalFormatting sqref="L30:N30">
    <cfRule type="expression" dxfId="6675" priority="124">
      <formula>L30&gt;$AG30</formula>
    </cfRule>
  </conditionalFormatting>
  <conditionalFormatting sqref="AK53">
    <cfRule type="expression" dxfId="6674" priority="120">
      <formula>AK$9&gt;=20/24</formula>
    </cfRule>
    <cfRule type="expression" dxfId="6673" priority="121">
      <formula>AND(AK$9&gt;=14/24,AK$9&lt;20/24)</formula>
    </cfRule>
    <cfRule type="expression" dxfId="6672" priority="122">
      <formula>AND(AK$9&gt;=8/24,AK$9&lt;14/24)</formula>
    </cfRule>
    <cfRule type="expression" dxfId="6671" priority="123">
      <formula>AK$9&lt;8/24</formula>
    </cfRule>
  </conditionalFormatting>
  <conditionalFormatting sqref="R37:S40 R43:V46 W44:AF44">
    <cfRule type="expression" dxfId="6670" priority="115">
      <formula>R$9&gt;=20/24</formula>
    </cfRule>
    <cfRule type="expression" dxfId="6669" priority="116">
      <formula>AND(R$9&gt;=14/24,R$9&lt;20/24)</formula>
    </cfRule>
    <cfRule type="expression" dxfId="6668" priority="117">
      <formula>AND(R$9&gt;=8/24,R$9&lt;14/24)</formula>
    </cfRule>
    <cfRule type="expression" dxfId="6667" priority="118">
      <formula>R$9&lt;8/24</formula>
    </cfRule>
  </conditionalFormatting>
  <conditionalFormatting sqref="R41:V41">
    <cfRule type="expression" dxfId="6666" priority="111">
      <formula>R$9&gt;=20/24</formula>
    </cfRule>
    <cfRule type="expression" dxfId="6665" priority="112">
      <formula>AND(R$9&gt;=14/24,R$9&lt;20/24)</formula>
    </cfRule>
    <cfRule type="expression" dxfId="6664" priority="113">
      <formula>AND(R$9&gt;=8/24,R$9&lt;14/24)</formula>
    </cfRule>
    <cfRule type="expression" dxfId="6663" priority="114">
      <formula>R$9&lt;8/24</formula>
    </cfRule>
  </conditionalFormatting>
  <conditionalFormatting sqref="R47:V47">
    <cfRule type="expression" dxfId="6662" priority="107">
      <formula>R$9&gt;=20/24</formula>
    </cfRule>
    <cfRule type="expression" dxfId="6661" priority="108">
      <formula>AND(R$9&gt;=14/24,R$9&lt;20/24)</formula>
    </cfRule>
    <cfRule type="expression" dxfId="6660" priority="109">
      <formula>AND(R$9&gt;=8/24,R$9&lt;14/24)</formula>
    </cfRule>
    <cfRule type="expression" dxfId="6659" priority="110">
      <formula>R$9&lt;8/24</formula>
    </cfRule>
  </conditionalFormatting>
  <conditionalFormatting sqref="R48:V48">
    <cfRule type="expression" dxfId="6658" priority="103">
      <formula>R$9&gt;=20/24</formula>
    </cfRule>
    <cfRule type="expression" dxfId="6657" priority="104">
      <formula>AND(R$9&gt;=14/24,R$9&lt;20/24)</formula>
    </cfRule>
    <cfRule type="expression" dxfId="6656" priority="105">
      <formula>AND(R$9&gt;=8/24,R$9&lt;14/24)</formula>
    </cfRule>
    <cfRule type="expression" dxfId="6655" priority="106">
      <formula>R$9&lt;8/24</formula>
    </cfRule>
  </conditionalFormatting>
  <conditionalFormatting sqref="R43:V46 W44:AF44">
    <cfRule type="expression" dxfId="6654" priority="99">
      <formula>R$9&gt;=20/24</formula>
    </cfRule>
    <cfRule type="expression" dxfId="6653" priority="100">
      <formula>AND(R$9&gt;=14/24,R$9&lt;20/24)</formula>
    </cfRule>
    <cfRule type="expression" dxfId="6652" priority="101">
      <formula>AND(R$9&gt;=8/24,R$9&lt;14/24)</formula>
    </cfRule>
    <cfRule type="expression" dxfId="6651" priority="102">
      <formula>R$9&lt;8/24</formula>
    </cfRule>
  </conditionalFormatting>
  <conditionalFormatting sqref="R37:S41 R43:V48 T41:V41 W44:AF44">
    <cfRule type="expression" dxfId="6650" priority="98">
      <formula>R37&gt;$AG37</formula>
    </cfRule>
  </conditionalFormatting>
  <conditionalFormatting sqref="R42:V42">
    <cfRule type="expression" dxfId="6649" priority="94">
      <formula>R$9&gt;=20/24</formula>
    </cfRule>
    <cfRule type="expression" dxfId="6648" priority="95">
      <formula>AND(R$9&gt;=14/24,R$9&lt;20/24)</formula>
    </cfRule>
    <cfRule type="expression" dxfId="6647" priority="96">
      <formula>AND(R$9&gt;=8/24,R$9&lt;14/24)</formula>
    </cfRule>
    <cfRule type="expression" dxfId="6646" priority="97">
      <formula>R$9&lt;8/24</formula>
    </cfRule>
  </conditionalFormatting>
  <conditionalFormatting sqref="R42:V42">
    <cfRule type="expression" dxfId="6645" priority="93">
      <formula>R42&gt;$AG42</formula>
    </cfRule>
  </conditionalFormatting>
  <conditionalFormatting sqref="AL1:AQ2">
    <cfRule type="expression" dxfId="6644" priority="89">
      <formula>AL$9&gt;=20/24</formula>
    </cfRule>
    <cfRule type="expression" dxfId="6643" priority="90">
      <formula>AND(AL$9&gt;=14/24,AL$9&lt;20/24)</formula>
    </cfRule>
    <cfRule type="expression" dxfId="6642" priority="91">
      <formula>AND(AL$9&gt;=8/24,AL$9&lt;14/24)</formula>
    </cfRule>
    <cfRule type="expression" dxfId="6641" priority="92">
      <formula>AL$9&lt;8/24</formula>
    </cfRule>
  </conditionalFormatting>
  <conditionalFormatting sqref="AL1:AQ2">
    <cfRule type="expression" dxfId="6640" priority="88">
      <formula>AL1&gt;$AG1</formula>
    </cfRule>
  </conditionalFormatting>
  <conditionalFormatting sqref="AM4">
    <cfRule type="expression" dxfId="6639" priority="87">
      <formula>AM4&gt;$AG4</formula>
    </cfRule>
  </conditionalFormatting>
  <conditionalFormatting sqref="W38:W40 W51:W54 W11:Y11 W17:Z29">
    <cfRule type="expression" dxfId="6638" priority="69">
      <formula>W$9&gt;=20/24</formula>
    </cfRule>
    <cfRule type="expression" dxfId="6637" priority="70">
      <formula>AND(W$9&gt;=14/24,W$9&lt;20/24)</formula>
    </cfRule>
    <cfRule type="expression" dxfId="6636" priority="71">
      <formula>AND(W$9&gt;=8/24,W$9&lt;14/24)</formula>
    </cfRule>
    <cfRule type="expression" dxfId="6635" priority="72">
      <formula>W$9&lt;8/24</formula>
    </cfRule>
  </conditionalFormatting>
  <conditionalFormatting sqref="W37">
    <cfRule type="expression" dxfId="6634" priority="65">
      <formula>W$9&gt;=20/24</formula>
    </cfRule>
    <cfRule type="expression" dxfId="6633" priority="66">
      <formula>AND(W$9&gt;=14/24,W$9&lt;20/24)</formula>
    </cfRule>
    <cfRule type="expression" dxfId="6632" priority="67">
      <formula>AND(W$9&gt;=8/24,W$9&lt;14/24)</formula>
    </cfRule>
    <cfRule type="expression" dxfId="6631" priority="68">
      <formula>W$9&lt;8/24</formula>
    </cfRule>
  </conditionalFormatting>
  <conditionalFormatting sqref="W55:Z55">
    <cfRule type="expression" dxfId="6630" priority="61">
      <formula>W$9&gt;=20/24</formula>
    </cfRule>
    <cfRule type="expression" dxfId="6629" priority="62">
      <formula>AND(W$9&gt;=14/24,W$9&lt;20/24)</formula>
    </cfRule>
    <cfRule type="expression" dxfId="6628" priority="63">
      <formula>AND(W$9&gt;=8/24,W$9&lt;14/24)</formula>
    </cfRule>
    <cfRule type="expression" dxfId="6627" priority="64">
      <formula>W$9&lt;8/24</formula>
    </cfRule>
  </conditionalFormatting>
  <conditionalFormatting sqref="W35:Y35">
    <cfRule type="expression" dxfId="6626" priority="57">
      <formula>W$9&gt;=20/24</formula>
    </cfRule>
    <cfRule type="expression" dxfId="6625" priority="58">
      <formula>AND(W$9&gt;=14/24,W$9&lt;20/24)</formula>
    </cfRule>
    <cfRule type="expression" dxfId="6624" priority="59">
      <formula>AND(W$9&gt;=8/24,W$9&lt;14/24)</formula>
    </cfRule>
    <cfRule type="expression" dxfId="6623" priority="60">
      <formula>W$9&lt;8/24</formula>
    </cfRule>
  </conditionalFormatting>
  <conditionalFormatting sqref="W33:Z33 W30:Z31">
    <cfRule type="expression" dxfId="6622" priority="53">
      <formula>W$9&gt;=20/24</formula>
    </cfRule>
    <cfRule type="expression" dxfId="6621" priority="54">
      <formula>AND(W$9&gt;=14/24,W$9&lt;20/24)</formula>
    </cfRule>
    <cfRule type="expression" dxfId="6620" priority="55">
      <formula>AND(W$9&gt;=8/24,W$9&lt;14/24)</formula>
    </cfRule>
    <cfRule type="expression" dxfId="6619" priority="56">
      <formula>W$9&lt;8/24</formula>
    </cfRule>
  </conditionalFormatting>
  <conditionalFormatting sqref="W41 W43:Z43 W45:Z46">
    <cfRule type="expression" dxfId="6618" priority="49">
      <formula>W$9&gt;=20/24</formula>
    </cfRule>
    <cfRule type="expression" dxfId="6617" priority="50">
      <formula>AND(W$9&gt;=14/24,W$9&lt;20/24)</formula>
    </cfRule>
    <cfRule type="expression" dxfId="6616" priority="51">
      <formula>AND(W$9&gt;=8/24,W$9&lt;14/24)</formula>
    </cfRule>
    <cfRule type="expression" dxfId="6615" priority="52">
      <formula>W$9&lt;8/24</formula>
    </cfRule>
  </conditionalFormatting>
  <conditionalFormatting sqref="W54 W61 W68 W47:Z47">
    <cfRule type="expression" dxfId="6614" priority="45">
      <formula>W$9&gt;=20/24</formula>
    </cfRule>
    <cfRule type="expression" dxfId="6613" priority="46">
      <formula>AND(W$9&gt;=14/24,W$9&lt;20/24)</formula>
    </cfRule>
    <cfRule type="expression" dxfId="6612" priority="47">
      <formula>AND(W$9&gt;=8/24,W$9&lt;14/24)</formula>
    </cfRule>
    <cfRule type="expression" dxfId="6611" priority="48">
      <formula>W$9&lt;8/24</formula>
    </cfRule>
  </conditionalFormatting>
  <conditionalFormatting sqref="W55 W62 W69 W48:Z48">
    <cfRule type="expression" dxfId="6610" priority="41">
      <formula>W$9&gt;=20/24</formula>
    </cfRule>
    <cfRule type="expression" dxfId="6609" priority="42">
      <formula>AND(W$9&gt;=14/24,W$9&lt;20/24)</formula>
    </cfRule>
    <cfRule type="expression" dxfId="6608" priority="43">
      <formula>AND(W$9&gt;=8/24,W$9&lt;14/24)</formula>
    </cfRule>
    <cfRule type="expression" dxfId="6607" priority="44">
      <formula>W$9&lt;8/24</formula>
    </cfRule>
  </conditionalFormatting>
  <conditionalFormatting sqref="W58:Z65">
    <cfRule type="expression" dxfId="6606" priority="37">
      <formula>W$9&gt;=20/24</formula>
    </cfRule>
    <cfRule type="expression" dxfId="6605" priority="38">
      <formula>AND(W$9&gt;=14/24,W$9&lt;20/24)</formula>
    </cfRule>
    <cfRule type="expression" dxfId="6604" priority="39">
      <formula>AND(W$9&gt;=8/24,W$9&lt;14/24)</formula>
    </cfRule>
    <cfRule type="expression" dxfId="6603" priority="40">
      <formula>W$9&lt;8/24</formula>
    </cfRule>
  </conditionalFormatting>
  <conditionalFormatting sqref="W33:W41 W43:Z43 W11:Y11 X33:Y35 W17:Z31 Z33:Z34 X45:Z48 W45:W54">
    <cfRule type="expression" dxfId="6602" priority="36">
      <formula>W11&gt;$AG11</formula>
    </cfRule>
  </conditionalFormatting>
  <conditionalFormatting sqref="W34:Z34">
    <cfRule type="expression" dxfId="6601" priority="32">
      <formula>W$9&gt;=20/24</formula>
    </cfRule>
    <cfRule type="expression" dxfId="6600" priority="33">
      <formula>AND(W$9&gt;=14/24,W$9&lt;20/24)</formula>
    </cfRule>
    <cfRule type="expression" dxfId="6599" priority="34">
      <formula>AND(W$9&gt;=8/24,W$9&lt;14/24)</formula>
    </cfRule>
    <cfRule type="expression" dxfId="6598" priority="35">
      <formula>W$9&lt;8/24</formula>
    </cfRule>
  </conditionalFormatting>
  <conditionalFormatting sqref="W34:Z34">
    <cfRule type="expression" dxfId="6597" priority="28">
      <formula>W$9&gt;=20/24</formula>
    </cfRule>
    <cfRule type="expression" dxfId="6596" priority="29">
      <formula>AND(W$9&gt;=14/24,W$9&lt;20/24)</formula>
    </cfRule>
    <cfRule type="expression" dxfId="6595" priority="30">
      <formula>AND(W$9&gt;=8/24,W$9&lt;14/24)</formula>
    </cfRule>
    <cfRule type="expression" dxfId="6594" priority="31">
      <formula>W$9&lt;8/24</formula>
    </cfRule>
  </conditionalFormatting>
  <conditionalFormatting sqref="W32:Z32">
    <cfRule type="expression" dxfId="6593" priority="24">
      <formula>W$9&gt;=20/24</formula>
    </cfRule>
    <cfRule type="expression" dxfId="6592" priority="25">
      <formula>AND(W$9&gt;=14/24,W$9&lt;20/24)</formula>
    </cfRule>
    <cfRule type="expression" dxfId="6591" priority="26">
      <formula>AND(W$9&gt;=8/24,W$9&lt;14/24)</formula>
    </cfRule>
    <cfRule type="expression" dxfId="6590" priority="27">
      <formula>W$9&lt;8/24</formula>
    </cfRule>
  </conditionalFormatting>
  <conditionalFormatting sqref="W32:Z32">
    <cfRule type="expression" dxfId="6589" priority="23">
      <formula>W32&gt;$AG32</formula>
    </cfRule>
  </conditionalFormatting>
  <conditionalFormatting sqref="W42:Z42">
    <cfRule type="expression" dxfId="6588" priority="19">
      <formula>W$9&gt;=20/24</formula>
    </cfRule>
    <cfRule type="expression" dxfId="6587" priority="20">
      <formula>AND(W$9&gt;=14/24,W$9&lt;20/24)</formula>
    </cfRule>
    <cfRule type="expression" dxfId="6586" priority="21">
      <formula>AND(W$9&gt;=8/24,W$9&lt;14/24)</formula>
    </cfRule>
    <cfRule type="expression" dxfId="6585" priority="22">
      <formula>W$9&lt;8/24</formula>
    </cfRule>
  </conditionalFormatting>
  <conditionalFormatting sqref="W42:Z42">
    <cfRule type="expression" dxfId="6584" priority="18">
      <formula>W42&gt;$AG42</formula>
    </cfRule>
  </conditionalFormatting>
  <conditionalFormatting sqref="W12:Z15">
    <cfRule type="expression" dxfId="6583" priority="14">
      <formula>W$9&gt;=20/24</formula>
    </cfRule>
    <cfRule type="expression" dxfId="6582" priority="15">
      <formula>AND(W$9&gt;=14/24,W$9&lt;20/24)</formula>
    </cfRule>
    <cfRule type="expression" dxfId="6581" priority="16">
      <formula>AND(W$9&gt;=8/24,W$9&lt;14/24)</formula>
    </cfRule>
    <cfRule type="expression" dxfId="6580" priority="17">
      <formula>W$9&lt;8/24</formula>
    </cfRule>
  </conditionalFormatting>
  <conditionalFormatting sqref="W16:Z16">
    <cfRule type="expression" dxfId="6579" priority="10">
      <formula>W$9&gt;=20/24</formula>
    </cfRule>
    <cfRule type="expression" dxfId="6578" priority="11">
      <formula>AND(W$9&gt;=14/24,W$9&lt;20/24)</formula>
    </cfRule>
    <cfRule type="expression" dxfId="6577" priority="12">
      <formula>AND(W$9&gt;=8/24,W$9&lt;14/24)</formula>
    </cfRule>
    <cfRule type="expression" dxfId="6576" priority="13">
      <formula>W$9&lt;8/24</formula>
    </cfRule>
  </conditionalFormatting>
  <conditionalFormatting sqref="W12:Z12">
    <cfRule type="expression" dxfId="6575" priority="6">
      <formula>W$9&gt;=20/24</formula>
    </cfRule>
    <cfRule type="expression" dxfId="6574" priority="7">
      <formula>AND(W$9&gt;=14/24,W$9&lt;20/24)</formula>
    </cfRule>
    <cfRule type="expression" dxfId="6573" priority="8">
      <formula>AND(W$9&gt;=8/24,W$9&lt;14/24)</formula>
    </cfRule>
    <cfRule type="expression" dxfId="6572" priority="9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H27" sqref="H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2078/07/13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-23</v>
      </c>
      <c r="C5" s="32">
        <f t="shared" ref="C5:AF5" si="0">C66</f>
        <v>-18</v>
      </c>
      <c r="D5" s="32">
        <f t="shared" si="0"/>
        <v>-32.9</v>
      </c>
      <c r="E5" s="32">
        <f t="shared" si="0"/>
        <v>-32.1</v>
      </c>
      <c r="F5" s="32">
        <f t="shared" si="0"/>
        <v>-5.2</v>
      </c>
      <c r="G5" s="32">
        <f t="shared" si="0"/>
        <v>-7.1</v>
      </c>
      <c r="H5" s="32">
        <f t="shared" si="0"/>
        <v>-3.4</v>
      </c>
      <c r="I5" s="32">
        <f t="shared" si="0"/>
        <v>-12.2</v>
      </c>
      <c r="J5" s="32">
        <f t="shared" si="0"/>
        <v>-22.8</v>
      </c>
      <c r="K5" s="32">
        <f t="shared" si="0"/>
        <v>-2.9</v>
      </c>
      <c r="L5" s="32">
        <f t="shared" si="0"/>
        <v>-21.3</v>
      </c>
      <c r="M5" s="32">
        <f t="shared" si="0"/>
        <v>-15</v>
      </c>
      <c r="N5" s="32">
        <f t="shared" si="0"/>
        <v>0</v>
      </c>
      <c r="O5" s="32">
        <f t="shared" si="0"/>
        <v>-5</v>
      </c>
      <c r="P5" s="32">
        <f t="shared" si="0"/>
        <v>-9</v>
      </c>
      <c r="Q5" s="32">
        <f t="shared" si="0"/>
        <v>-12.6</v>
      </c>
      <c r="R5" s="32">
        <f t="shared" si="0"/>
        <v>-12.5</v>
      </c>
      <c r="S5" s="32">
        <f t="shared" si="0"/>
        <v>-24</v>
      </c>
      <c r="T5" s="32">
        <f t="shared" si="0"/>
        <v>-6.8999999999999986</v>
      </c>
      <c r="U5" s="32">
        <f t="shared" si="0"/>
        <v>-21.9</v>
      </c>
      <c r="V5" s="32">
        <f t="shared" si="0"/>
        <v>-27.7</v>
      </c>
      <c r="W5" s="32">
        <f t="shared" si="0"/>
        <v>-12.1</v>
      </c>
      <c r="X5" s="32">
        <f t="shared" si="0"/>
        <v>-15.5</v>
      </c>
      <c r="Y5" s="32">
        <f t="shared" si="0"/>
        <v>-15.5</v>
      </c>
      <c r="Z5" s="32">
        <f t="shared" si="0"/>
        <v>-9.3000000000000007</v>
      </c>
      <c r="AA5" s="32">
        <f t="shared" si="0"/>
        <v>-24.5</v>
      </c>
      <c r="AB5" s="32">
        <f t="shared" si="0"/>
        <v>-72.099999999999994</v>
      </c>
      <c r="AC5" s="32">
        <f t="shared" si="0"/>
        <v>-61.4</v>
      </c>
      <c r="AD5" s="32">
        <f t="shared" si="0"/>
        <v>-67.900000000000006</v>
      </c>
      <c r="AE5" s="32">
        <f t="shared" si="0"/>
        <v>-38.299999999999997</v>
      </c>
      <c r="AF5" s="32">
        <f t="shared" si="0"/>
        <v>-34.200000000000003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1144MW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Load=802</v>
      </c>
      <c r="B7" s="37">
        <f t="shared" ref="B7:AF7" si="1">B73</f>
        <v>830.1400000000001</v>
      </c>
      <c r="C7" s="37">
        <f t="shared" si="1"/>
        <v>835.1400000000001</v>
      </c>
      <c r="D7" s="37">
        <f t="shared" si="1"/>
        <v>806.34</v>
      </c>
      <c r="E7" s="37">
        <f t="shared" si="1"/>
        <v>802.1400000000001</v>
      </c>
      <c r="F7" s="37">
        <f t="shared" si="1"/>
        <v>831.84</v>
      </c>
      <c r="G7" s="37">
        <f t="shared" si="1"/>
        <v>879.24</v>
      </c>
      <c r="H7" s="37">
        <f t="shared" si="1"/>
        <v>998.83999999999992</v>
      </c>
      <c r="I7" s="37">
        <f t="shared" si="1"/>
        <v>1021.6400000000001</v>
      </c>
      <c r="J7" s="37">
        <f t="shared" si="1"/>
        <v>1047.04</v>
      </c>
      <c r="K7" s="37">
        <f t="shared" si="1"/>
        <v>1088.24</v>
      </c>
      <c r="L7" s="37">
        <f>L73</f>
        <v>1143.8399999999999</v>
      </c>
      <c r="M7" s="37">
        <f t="shared" si="1"/>
        <v>1081.8400000000001</v>
      </c>
      <c r="N7" s="37">
        <f t="shared" si="1"/>
        <v>1053.24</v>
      </c>
      <c r="O7" s="37">
        <f t="shared" si="1"/>
        <v>1021.74</v>
      </c>
      <c r="P7" s="37">
        <f t="shared" si="1"/>
        <v>988.33999999999992</v>
      </c>
      <c r="Q7" s="37">
        <f t="shared" si="1"/>
        <v>985.04</v>
      </c>
      <c r="R7" s="37">
        <f t="shared" si="1"/>
        <v>980.44</v>
      </c>
      <c r="S7" s="37">
        <f t="shared" si="1"/>
        <v>958.24</v>
      </c>
      <c r="T7" s="37">
        <f t="shared" si="1"/>
        <v>978.34000000000015</v>
      </c>
      <c r="U7" s="37">
        <f t="shared" si="1"/>
        <v>1023.5400000000001</v>
      </c>
      <c r="V7" s="37">
        <f t="shared" si="1"/>
        <v>1173.04</v>
      </c>
      <c r="W7" s="37">
        <f t="shared" si="1"/>
        <v>1326.44</v>
      </c>
      <c r="X7" s="37">
        <f t="shared" si="1"/>
        <v>1279.74</v>
      </c>
      <c r="Y7" s="37">
        <f t="shared" si="1"/>
        <v>1205.74</v>
      </c>
      <c r="Z7" s="37">
        <f t="shared" si="1"/>
        <v>1176.54</v>
      </c>
      <c r="AA7" s="37">
        <f t="shared" si="1"/>
        <v>1090.2400000000002</v>
      </c>
      <c r="AB7" s="37">
        <f t="shared" si="1"/>
        <v>1022.6400000000002</v>
      </c>
      <c r="AC7" s="37">
        <f t="shared" si="1"/>
        <v>943.34000000000015</v>
      </c>
      <c r="AD7" s="37">
        <f t="shared" si="1"/>
        <v>841.1400000000001</v>
      </c>
      <c r="AE7" s="37">
        <f t="shared" si="1"/>
        <v>815.94</v>
      </c>
      <c r="AF7" s="37">
        <f t="shared" si="1"/>
        <v>813.1400000000001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50</v>
      </c>
      <c r="C11" s="49">
        <v>50</v>
      </c>
      <c r="D11" s="49">
        <v>50</v>
      </c>
      <c r="E11" s="49">
        <v>50</v>
      </c>
      <c r="F11" s="49">
        <v>50</v>
      </c>
      <c r="G11" s="49">
        <v>100</v>
      </c>
      <c r="H11" s="49">
        <v>150</v>
      </c>
      <c r="I11" s="49">
        <v>150</v>
      </c>
      <c r="J11" s="49">
        <v>150</v>
      </c>
      <c r="K11" s="49">
        <v>160</v>
      </c>
      <c r="L11" s="50">
        <v>220</v>
      </c>
      <c r="M11" s="50">
        <v>152</v>
      </c>
      <c r="N11" s="50">
        <v>130</v>
      </c>
      <c r="O11" s="50">
        <v>130</v>
      </c>
      <c r="P11" s="50">
        <v>100</v>
      </c>
      <c r="Q11" s="51">
        <v>100</v>
      </c>
      <c r="R11" s="52">
        <v>100</v>
      </c>
      <c r="S11" s="52">
        <v>113</v>
      </c>
      <c r="T11" s="52">
        <v>113.4</v>
      </c>
      <c r="U11" s="52">
        <v>160</v>
      </c>
      <c r="V11" s="52">
        <v>238</v>
      </c>
      <c r="W11" s="52">
        <v>313</v>
      </c>
      <c r="X11" s="52">
        <v>288</v>
      </c>
      <c r="Y11" s="53">
        <v>214</v>
      </c>
      <c r="Z11" s="54">
        <v>214</v>
      </c>
      <c r="AA11" s="54">
        <v>170</v>
      </c>
      <c r="AB11" s="54">
        <v>150</v>
      </c>
      <c r="AC11" s="54">
        <v>120</v>
      </c>
      <c r="AD11" s="54">
        <v>100</v>
      </c>
      <c r="AE11" s="49">
        <v>70</v>
      </c>
      <c r="AF11" s="49">
        <v>70</v>
      </c>
      <c r="AG11" s="55">
        <v>456</v>
      </c>
      <c r="AH11" s="56">
        <f>MAX(B11:AF11)</f>
        <v>313</v>
      </c>
      <c r="AI11" s="57">
        <f>MIN(B11:AF11)</f>
        <v>50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50</v>
      </c>
      <c r="K12" s="49">
        <v>50</v>
      </c>
      <c r="L12" s="49">
        <v>50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60">
        <v>50</v>
      </c>
      <c r="V12" s="60">
        <v>60</v>
      </c>
      <c r="W12" s="60">
        <v>60</v>
      </c>
      <c r="X12" s="60">
        <v>60</v>
      </c>
      <c r="Y12" s="60">
        <v>60</v>
      </c>
      <c r="Z12" s="50">
        <v>60</v>
      </c>
      <c r="AA12" s="50">
        <v>60</v>
      </c>
      <c r="AB12" s="50">
        <v>60</v>
      </c>
      <c r="AC12" s="50">
        <v>40</v>
      </c>
      <c r="AD12" s="50">
        <v>40</v>
      </c>
      <c r="AE12" s="50">
        <v>40</v>
      </c>
      <c r="AF12" s="50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25.4</v>
      </c>
      <c r="C13" s="49">
        <v>25.4</v>
      </c>
      <c r="D13" s="49">
        <v>25.4</v>
      </c>
      <c r="E13" s="49">
        <v>25.4</v>
      </c>
      <c r="F13" s="49">
        <v>25.4</v>
      </c>
      <c r="G13" s="49">
        <v>25.4</v>
      </c>
      <c r="H13" s="49">
        <v>25.4</v>
      </c>
      <c r="I13" s="49">
        <v>25.4</v>
      </c>
      <c r="J13" s="49">
        <v>25.4</v>
      </c>
      <c r="K13" s="49">
        <v>25.4</v>
      </c>
      <c r="L13" s="50">
        <v>25.4</v>
      </c>
      <c r="M13" s="50">
        <v>25.4</v>
      </c>
      <c r="N13" s="50">
        <v>25.4</v>
      </c>
      <c r="O13" s="50">
        <v>25.4</v>
      </c>
      <c r="P13" s="50">
        <v>25.4</v>
      </c>
      <c r="Q13" s="50">
        <v>25.4</v>
      </c>
      <c r="R13" s="50">
        <v>25.4</v>
      </c>
      <c r="S13" s="50">
        <v>25.4</v>
      </c>
      <c r="T13" s="50">
        <v>25.4</v>
      </c>
      <c r="U13" s="50">
        <v>25.4</v>
      </c>
      <c r="V13" s="50">
        <v>25.4</v>
      </c>
      <c r="W13" s="62">
        <v>25.4</v>
      </c>
      <c r="X13" s="62">
        <v>25.4</v>
      </c>
      <c r="Y13" s="62">
        <v>25.4</v>
      </c>
      <c r="Z13" s="62">
        <v>25.4</v>
      </c>
      <c r="AA13" s="62">
        <v>25.4</v>
      </c>
      <c r="AB13" s="62">
        <v>25.4</v>
      </c>
      <c r="AC13" s="62">
        <v>25.4</v>
      </c>
      <c r="AD13" s="50">
        <v>25.4</v>
      </c>
      <c r="AE13" s="50">
        <v>25.4</v>
      </c>
      <c r="AF13" s="50">
        <v>25.4</v>
      </c>
      <c r="AG13" s="61">
        <v>52.4</v>
      </c>
      <c r="AH13" s="56">
        <f t="shared" si="2"/>
        <v>25.4</v>
      </c>
      <c r="AI13" s="57">
        <f t="shared" si="3"/>
        <v>25.4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36</v>
      </c>
      <c r="C14" s="63">
        <v>36</v>
      </c>
      <c r="D14" s="63">
        <v>36</v>
      </c>
      <c r="E14" s="63">
        <v>36</v>
      </c>
      <c r="F14" s="63">
        <v>36.700000000000003</v>
      </c>
      <c r="G14" s="63">
        <v>36.700000000000003</v>
      </c>
      <c r="H14" s="63">
        <v>41.9</v>
      </c>
      <c r="I14" s="63">
        <v>41.9</v>
      </c>
      <c r="J14" s="63">
        <v>41.9</v>
      </c>
      <c r="K14" s="63">
        <v>41.9</v>
      </c>
      <c r="L14" s="50">
        <v>41.9</v>
      </c>
      <c r="M14" s="50">
        <v>41.9</v>
      </c>
      <c r="N14" s="50">
        <v>41.9</v>
      </c>
      <c r="O14" s="50">
        <v>41.9</v>
      </c>
      <c r="P14" s="50">
        <v>41.9</v>
      </c>
      <c r="Q14" s="50">
        <v>41.9</v>
      </c>
      <c r="R14" s="50">
        <v>41.9</v>
      </c>
      <c r="S14" s="50">
        <v>37</v>
      </c>
      <c r="T14" s="50">
        <v>37</v>
      </c>
      <c r="U14" s="50">
        <v>37</v>
      </c>
      <c r="V14" s="50">
        <v>37</v>
      </c>
      <c r="W14" s="62">
        <v>42.2</v>
      </c>
      <c r="X14" s="62">
        <v>42.2</v>
      </c>
      <c r="Y14" s="62">
        <v>42.2</v>
      </c>
      <c r="Z14" s="62">
        <v>42.2</v>
      </c>
      <c r="AA14" s="62">
        <v>42.2</v>
      </c>
      <c r="AB14" s="62">
        <v>42.2</v>
      </c>
      <c r="AC14" s="62">
        <v>42.2</v>
      </c>
      <c r="AD14" s="50">
        <v>37.799999999999997</v>
      </c>
      <c r="AE14" s="50">
        <v>37.799999999999997</v>
      </c>
      <c r="AF14" s="50">
        <v>37.799999999999997</v>
      </c>
      <c r="AG14" s="64">
        <v>45</v>
      </c>
      <c r="AH14" s="56">
        <f t="shared" si="2"/>
        <v>42.2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23</v>
      </c>
      <c r="C15" s="49">
        <v>23</v>
      </c>
      <c r="D15" s="49">
        <v>23</v>
      </c>
      <c r="E15" s="49">
        <v>23</v>
      </c>
      <c r="F15" s="49">
        <v>23</v>
      </c>
      <c r="G15" s="49">
        <v>23</v>
      </c>
      <c r="H15" s="49">
        <v>0</v>
      </c>
      <c r="I15" s="49">
        <v>0</v>
      </c>
      <c r="J15" s="49">
        <v>0</v>
      </c>
      <c r="K15" s="49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50">
        <v>1</v>
      </c>
      <c r="AE15" s="50">
        <v>4</v>
      </c>
      <c r="AF15" s="50">
        <v>5</v>
      </c>
      <c r="AG15" s="61">
        <v>45</v>
      </c>
      <c r="AH15" s="56">
        <f t="shared" si="2"/>
        <v>23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50">
        <v>25</v>
      </c>
      <c r="M16" s="50">
        <v>0</v>
      </c>
      <c r="N16" s="50">
        <v>0</v>
      </c>
      <c r="O16" s="50">
        <v>0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62">
        <v>25</v>
      </c>
      <c r="AD16" s="50">
        <v>20</v>
      </c>
      <c r="AE16" s="50">
        <v>20</v>
      </c>
      <c r="AF16" s="50">
        <v>20</v>
      </c>
      <c r="AG16" s="61">
        <v>42</v>
      </c>
      <c r="AH16" s="56">
        <f t="shared" si="2"/>
        <v>25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25</v>
      </c>
      <c r="C17" s="49">
        <v>25</v>
      </c>
      <c r="D17" s="49">
        <v>25</v>
      </c>
      <c r="E17" s="49">
        <v>20</v>
      </c>
      <c r="F17" s="49">
        <v>20</v>
      </c>
      <c r="G17" s="49">
        <v>20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20</v>
      </c>
      <c r="AE17" s="50">
        <v>20</v>
      </c>
      <c r="AF17" s="50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23</v>
      </c>
      <c r="C18" s="49">
        <v>23</v>
      </c>
      <c r="D18" s="49">
        <v>23</v>
      </c>
      <c r="E18" s="49">
        <v>23</v>
      </c>
      <c r="F18" s="49">
        <v>22.8</v>
      </c>
      <c r="G18" s="49">
        <v>22.8</v>
      </c>
      <c r="H18" s="49">
        <v>22.7</v>
      </c>
      <c r="I18" s="49">
        <v>22.7</v>
      </c>
      <c r="J18" s="49">
        <v>22.7</v>
      </c>
      <c r="K18" s="49">
        <v>22.7</v>
      </c>
      <c r="L18" s="50">
        <v>22.7</v>
      </c>
      <c r="M18" s="50">
        <v>22.7</v>
      </c>
      <c r="N18" s="50">
        <v>22.7</v>
      </c>
      <c r="O18" s="50">
        <v>22.7</v>
      </c>
      <c r="P18" s="50">
        <v>22.7</v>
      </c>
      <c r="Q18" s="50">
        <v>22.7</v>
      </c>
      <c r="R18" s="50">
        <v>22.7</v>
      </c>
      <c r="S18" s="50">
        <v>22.7</v>
      </c>
      <c r="T18" s="50">
        <v>22.7</v>
      </c>
      <c r="U18" s="50">
        <v>22.7</v>
      </c>
      <c r="V18" s="50">
        <v>22.7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22.7</v>
      </c>
      <c r="AE18" s="50">
        <v>22.7</v>
      </c>
      <c r="AF18" s="50">
        <v>22.7</v>
      </c>
      <c r="AG18" s="61">
        <v>30</v>
      </c>
      <c r="AH18" s="56">
        <f t="shared" si="2"/>
        <v>25</v>
      </c>
      <c r="AI18" s="57">
        <f t="shared" si="3"/>
        <v>22.7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22</v>
      </c>
      <c r="C21" s="49">
        <v>22</v>
      </c>
      <c r="D21" s="49">
        <v>18</v>
      </c>
      <c r="E21" s="49">
        <v>18</v>
      </c>
      <c r="F21" s="49">
        <v>18</v>
      </c>
      <c r="G21" s="49">
        <v>18</v>
      </c>
      <c r="H21" s="49">
        <v>18</v>
      </c>
      <c r="I21" s="49">
        <v>18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18</v>
      </c>
      <c r="AE21" s="50">
        <v>18</v>
      </c>
      <c r="AF21" s="50">
        <v>18</v>
      </c>
      <c r="AG21" s="61">
        <v>25</v>
      </c>
      <c r="AH21" s="56">
        <f t="shared" si="2"/>
        <v>22</v>
      </c>
      <c r="AI21" s="57">
        <f t="shared" si="3"/>
        <v>18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22.1</v>
      </c>
      <c r="C22" s="49">
        <v>22.1</v>
      </c>
      <c r="D22" s="49">
        <v>22.1</v>
      </c>
      <c r="E22" s="49">
        <v>22.1</v>
      </c>
      <c r="F22" s="49">
        <v>22.1</v>
      </c>
      <c r="G22" s="49">
        <v>22.1</v>
      </c>
      <c r="H22" s="49">
        <v>22.1</v>
      </c>
      <c r="I22" s="49">
        <v>22.1</v>
      </c>
      <c r="J22" s="49">
        <v>22.1</v>
      </c>
      <c r="K22" s="49">
        <v>22.1</v>
      </c>
      <c r="L22" s="50">
        <v>22.1</v>
      </c>
      <c r="M22" s="50">
        <v>0</v>
      </c>
      <c r="N22" s="50">
        <v>0</v>
      </c>
      <c r="O22" s="50">
        <v>22.1</v>
      </c>
      <c r="P22" s="50">
        <v>22.1</v>
      </c>
      <c r="Q22" s="50">
        <v>22.1</v>
      </c>
      <c r="R22" s="50">
        <v>22.1</v>
      </c>
      <c r="S22" s="50">
        <v>22.1</v>
      </c>
      <c r="T22" s="50">
        <v>22.1</v>
      </c>
      <c r="U22" s="50">
        <v>22.1</v>
      </c>
      <c r="V22" s="50">
        <v>22.1</v>
      </c>
      <c r="W22" s="50">
        <v>22.1</v>
      </c>
      <c r="X22" s="50">
        <v>22.1</v>
      </c>
      <c r="Y22" s="50">
        <v>22.1</v>
      </c>
      <c r="Z22" s="50">
        <v>22.1</v>
      </c>
      <c r="AA22" s="50">
        <v>22.1</v>
      </c>
      <c r="AB22" s="50">
        <v>22.1</v>
      </c>
      <c r="AC22" s="50">
        <v>23.6</v>
      </c>
      <c r="AD22" s="50">
        <v>23.6</v>
      </c>
      <c r="AE22" s="50">
        <v>23.6</v>
      </c>
      <c r="AF22" s="50">
        <v>23.6</v>
      </c>
      <c r="AG22" s="61">
        <v>25</v>
      </c>
      <c r="AH22" s="56">
        <f t="shared" si="2"/>
        <v>23.6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17</v>
      </c>
      <c r="C23" s="49">
        <v>17</v>
      </c>
      <c r="D23" s="49">
        <v>17</v>
      </c>
      <c r="E23" s="49">
        <v>17</v>
      </c>
      <c r="F23" s="49">
        <v>17</v>
      </c>
      <c r="G23" s="49">
        <v>17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18</v>
      </c>
      <c r="AE23" s="50">
        <v>18</v>
      </c>
      <c r="AF23" s="50">
        <v>18</v>
      </c>
      <c r="AG23" s="61">
        <v>25</v>
      </c>
      <c r="AH23" s="56">
        <f t="shared" si="2"/>
        <v>22</v>
      </c>
      <c r="AI23" s="57">
        <f t="shared" si="3"/>
        <v>17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20</v>
      </c>
      <c r="C24" s="49">
        <v>20</v>
      </c>
      <c r="D24" s="49">
        <v>20</v>
      </c>
      <c r="E24" s="49">
        <v>20</v>
      </c>
      <c r="F24" s="49">
        <v>20</v>
      </c>
      <c r="G24" s="49">
        <v>20</v>
      </c>
      <c r="H24" s="49">
        <v>20</v>
      </c>
      <c r="I24" s="49">
        <v>20</v>
      </c>
      <c r="J24" s="49">
        <v>20</v>
      </c>
      <c r="K24" s="49">
        <v>20</v>
      </c>
      <c r="L24" s="50">
        <v>20</v>
      </c>
      <c r="M24" s="50">
        <v>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18</v>
      </c>
      <c r="AE24" s="50">
        <v>18</v>
      </c>
      <c r="AF24" s="50">
        <v>18</v>
      </c>
      <c r="AG24" s="61">
        <v>24.2</v>
      </c>
      <c r="AH24" s="56">
        <f t="shared" si="2"/>
        <v>20</v>
      </c>
      <c r="AI24" s="57">
        <f t="shared" si="3"/>
        <v>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0</v>
      </c>
      <c r="I25" s="49">
        <v>0</v>
      </c>
      <c r="J25" s="49">
        <v>0</v>
      </c>
      <c r="K25" s="49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61">
        <v>20</v>
      </c>
      <c r="AH25" s="56">
        <f>MAX(B25:AF25)</f>
        <v>4</v>
      </c>
      <c r="AI25" s="57">
        <f>MIN(B25:AF25)</f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14</v>
      </c>
      <c r="C26" s="49">
        <v>14</v>
      </c>
      <c r="D26" s="49">
        <v>14</v>
      </c>
      <c r="E26" s="49">
        <v>14</v>
      </c>
      <c r="F26" s="49">
        <v>14</v>
      </c>
      <c r="G26" s="49">
        <v>14</v>
      </c>
      <c r="H26" s="49">
        <v>14</v>
      </c>
      <c r="I26" s="49">
        <v>14</v>
      </c>
      <c r="J26" s="49">
        <v>14</v>
      </c>
      <c r="K26" s="49">
        <v>14</v>
      </c>
      <c r="L26" s="50">
        <v>14</v>
      </c>
      <c r="M26" s="50">
        <v>14</v>
      </c>
      <c r="N26" s="50">
        <v>14</v>
      </c>
      <c r="O26" s="50">
        <v>14</v>
      </c>
      <c r="P26" s="50">
        <v>14</v>
      </c>
      <c r="Q26" s="50">
        <v>14</v>
      </c>
      <c r="R26" s="50">
        <v>14</v>
      </c>
      <c r="S26" s="50">
        <v>14</v>
      </c>
      <c r="T26" s="50">
        <v>14</v>
      </c>
      <c r="U26" s="50">
        <v>14</v>
      </c>
      <c r="V26" s="50">
        <v>14</v>
      </c>
      <c r="W26" s="50">
        <v>14</v>
      </c>
      <c r="X26" s="50">
        <v>14</v>
      </c>
      <c r="Y26" s="50">
        <v>14</v>
      </c>
      <c r="Z26" s="50">
        <v>14</v>
      </c>
      <c r="AA26" s="50">
        <v>14</v>
      </c>
      <c r="AB26" s="50">
        <v>14</v>
      </c>
      <c r="AC26" s="50">
        <v>14</v>
      </c>
      <c r="AD26" s="49">
        <v>11</v>
      </c>
      <c r="AE26" s="49">
        <v>11</v>
      </c>
      <c r="AF26" s="49">
        <v>11</v>
      </c>
      <c r="AG26" s="61">
        <v>23.5</v>
      </c>
      <c r="AH26" s="56">
        <f t="shared" si="2"/>
        <v>14</v>
      </c>
      <c r="AI26" s="57">
        <f t="shared" si="3"/>
        <v>11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6.8</v>
      </c>
      <c r="C27" s="49">
        <v>6.8</v>
      </c>
      <c r="D27" s="49">
        <v>6.8</v>
      </c>
      <c r="E27" s="49">
        <v>6.8</v>
      </c>
      <c r="F27" s="49">
        <v>6.8</v>
      </c>
      <c r="G27" s="49">
        <v>6.8</v>
      </c>
      <c r="H27" s="49">
        <v>0</v>
      </c>
      <c r="I27" s="49">
        <v>0</v>
      </c>
      <c r="J27" s="49">
        <v>0</v>
      </c>
      <c r="K27" s="49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1">
        <v>22.2</v>
      </c>
      <c r="AH27" s="56">
        <f t="shared" si="2"/>
        <v>6.8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8.3000000000000007</v>
      </c>
      <c r="C32" s="63">
        <v>8.3000000000000007</v>
      </c>
      <c r="D32" s="63">
        <v>8.3000000000000007</v>
      </c>
      <c r="E32" s="63">
        <v>8.3000000000000007</v>
      </c>
      <c r="F32" s="63">
        <v>8.3000000000000007</v>
      </c>
      <c r="G32" s="63">
        <v>8.3000000000000007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20</v>
      </c>
      <c r="AH32" s="56">
        <f t="shared" si="2"/>
        <v>8.3000000000000007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220</v>
      </c>
      <c r="C34" s="63">
        <v>220</v>
      </c>
      <c r="D34" s="63">
        <v>220</v>
      </c>
      <c r="E34" s="63">
        <v>220</v>
      </c>
      <c r="F34" s="63">
        <v>220</v>
      </c>
      <c r="G34" s="63">
        <v>220</v>
      </c>
      <c r="H34" s="63">
        <v>220</v>
      </c>
      <c r="I34" s="63">
        <v>220</v>
      </c>
      <c r="J34" s="63">
        <v>220</v>
      </c>
      <c r="K34" s="63">
        <v>220</v>
      </c>
      <c r="L34" s="63">
        <v>220</v>
      </c>
      <c r="M34" s="63">
        <v>220</v>
      </c>
      <c r="N34" s="63">
        <v>220</v>
      </c>
      <c r="O34" s="63">
        <v>220</v>
      </c>
      <c r="P34" s="63">
        <v>220</v>
      </c>
      <c r="Q34" s="63">
        <v>220</v>
      </c>
      <c r="R34" s="63">
        <v>220</v>
      </c>
      <c r="S34" s="63">
        <v>220</v>
      </c>
      <c r="T34" s="63">
        <v>220</v>
      </c>
      <c r="U34" s="63">
        <v>220</v>
      </c>
      <c r="V34" s="63">
        <v>220</v>
      </c>
      <c r="W34" s="63">
        <v>220</v>
      </c>
      <c r="X34" s="63">
        <v>220</v>
      </c>
      <c r="Y34" s="63">
        <v>220</v>
      </c>
      <c r="Z34" s="63">
        <v>220</v>
      </c>
      <c r="AA34" s="63">
        <v>220</v>
      </c>
      <c r="AB34" s="63">
        <v>220</v>
      </c>
      <c r="AC34" s="63">
        <v>220</v>
      </c>
      <c r="AD34" s="63">
        <v>220</v>
      </c>
      <c r="AE34" s="63">
        <v>220</v>
      </c>
      <c r="AF34" s="63">
        <v>220</v>
      </c>
      <c r="AG34" s="69">
        <v>85</v>
      </c>
      <c r="AH34" s="56">
        <f t="shared" si="2"/>
        <v>220</v>
      </c>
      <c r="AI34" s="57">
        <f t="shared" si="3"/>
        <v>220</v>
      </c>
      <c r="AK34" s="58"/>
    </row>
    <row r="35" spans="1:88" ht="15.75" thickBot="1" x14ac:dyDescent="0.3">
      <c r="A35" s="71" t="s">
        <v>43</v>
      </c>
      <c r="B35" s="63">
        <v>124</v>
      </c>
      <c r="C35" s="63">
        <v>124</v>
      </c>
      <c r="D35" s="63">
        <v>124</v>
      </c>
      <c r="E35" s="63">
        <v>124</v>
      </c>
      <c r="F35" s="63">
        <v>124</v>
      </c>
      <c r="G35" s="63">
        <v>124</v>
      </c>
      <c r="H35" s="63">
        <v>124</v>
      </c>
      <c r="I35" s="63">
        <v>124</v>
      </c>
      <c r="J35" s="63">
        <f>74.9+53</f>
        <v>127.9</v>
      </c>
      <c r="K35" s="63">
        <f>74.2+46.6</f>
        <v>120.80000000000001</v>
      </c>
      <c r="L35" s="72">
        <f>74.2+46.6</f>
        <v>120.80000000000001</v>
      </c>
      <c r="M35" s="72">
        <v>0</v>
      </c>
      <c r="N35" s="72">
        <v>0</v>
      </c>
      <c r="O35" s="72">
        <v>0</v>
      </c>
      <c r="P35" s="72">
        <f>74.2+34</f>
        <v>108.2</v>
      </c>
      <c r="Q35" s="72">
        <v>125</v>
      </c>
      <c r="R35" s="72">
        <v>125</v>
      </c>
      <c r="S35" s="72">
        <v>125</v>
      </c>
      <c r="T35" s="72">
        <f>45.8+49.5</f>
        <v>95.3</v>
      </c>
      <c r="U35" s="72">
        <f>74.7+48.8</f>
        <v>123.5</v>
      </c>
      <c r="V35" s="72">
        <f>46.6+73.9</f>
        <v>120.5</v>
      </c>
      <c r="W35" s="72">
        <v>119.2</v>
      </c>
      <c r="X35" s="72">
        <v>119.2</v>
      </c>
      <c r="Y35" s="72">
        <v>119.2</v>
      </c>
      <c r="Z35" s="72">
        <f>46.7+74.1</f>
        <v>120.8</v>
      </c>
      <c r="AA35" s="72">
        <f>46.7+74.1</f>
        <v>120.8</v>
      </c>
      <c r="AB35" s="72">
        <f>46.7+74.1</f>
        <v>120.8</v>
      </c>
      <c r="AC35" s="72">
        <f>46.7+74.1</f>
        <v>120.8</v>
      </c>
      <c r="AD35" s="72">
        <f>66.5+46.2</f>
        <v>112.7</v>
      </c>
      <c r="AE35" s="72">
        <f>66.8+46.2</f>
        <v>113</v>
      </c>
      <c r="AF35" s="63">
        <f>66.8+46.4</f>
        <v>113.19999999999999</v>
      </c>
      <c r="AG35" s="69">
        <v>240</v>
      </c>
      <c r="AH35" s="56">
        <f t="shared" si="2"/>
        <v>127.9</v>
      </c>
      <c r="AI35" s="57">
        <f t="shared" si="3"/>
        <v>0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605.80000000000007</v>
      </c>
      <c r="C36" s="74">
        <f t="shared" si="4"/>
        <v>605.80000000000007</v>
      </c>
      <c r="D36" s="74">
        <f t="shared" si="4"/>
        <v>601.80000000000007</v>
      </c>
      <c r="E36" s="74">
        <f t="shared" si="4"/>
        <v>596.80000000000007</v>
      </c>
      <c r="F36" s="74">
        <f t="shared" si="4"/>
        <v>597.30000000000007</v>
      </c>
      <c r="G36" s="74">
        <f t="shared" si="4"/>
        <v>647.30000000000007</v>
      </c>
      <c r="H36" s="74">
        <f t="shared" si="4"/>
        <v>670.3</v>
      </c>
      <c r="I36" s="74">
        <f t="shared" si="4"/>
        <v>675.3</v>
      </c>
      <c r="J36" s="74">
        <f t="shared" si="4"/>
        <v>689.3</v>
      </c>
      <c r="K36" s="74">
        <f t="shared" si="4"/>
        <v>699.3</v>
      </c>
      <c r="L36" s="74">
        <f t="shared" si="4"/>
        <v>759.3</v>
      </c>
      <c r="M36" s="74">
        <f t="shared" si="4"/>
        <v>634.20000000000005</v>
      </c>
      <c r="N36" s="74">
        <f t="shared" si="4"/>
        <v>632.20000000000005</v>
      </c>
      <c r="O36" s="74">
        <f t="shared" si="4"/>
        <v>654.29999999999995</v>
      </c>
      <c r="P36" s="74">
        <f t="shared" si="4"/>
        <v>649.29999999999995</v>
      </c>
      <c r="Q36" s="74">
        <f t="shared" si="4"/>
        <v>649.29999999999995</v>
      </c>
      <c r="R36" s="74">
        <f t="shared" si="4"/>
        <v>649.29999999999995</v>
      </c>
      <c r="S36" s="74">
        <f t="shared" si="4"/>
        <v>657.4</v>
      </c>
      <c r="T36" s="74">
        <f t="shared" si="4"/>
        <v>657.8</v>
      </c>
      <c r="U36" s="74">
        <f t="shared" si="4"/>
        <v>694.4</v>
      </c>
      <c r="V36" s="74">
        <f t="shared" si="4"/>
        <v>782.4</v>
      </c>
      <c r="W36" s="74">
        <f t="shared" si="4"/>
        <v>864.9</v>
      </c>
      <c r="X36" s="74">
        <f t="shared" si="4"/>
        <v>839.9</v>
      </c>
      <c r="Y36" s="74">
        <f t="shared" si="4"/>
        <v>765.9</v>
      </c>
      <c r="Z36" s="74">
        <f t="shared" si="4"/>
        <v>765.9</v>
      </c>
      <c r="AA36" s="74">
        <f t="shared" si="4"/>
        <v>721.90000000000009</v>
      </c>
      <c r="AB36" s="74">
        <f t="shared" si="4"/>
        <v>701.90000000000009</v>
      </c>
      <c r="AC36" s="74">
        <f t="shared" si="4"/>
        <v>653.40000000000009</v>
      </c>
      <c r="AD36" s="74">
        <f t="shared" si="4"/>
        <v>604.70000000000005</v>
      </c>
      <c r="AE36" s="74">
        <f t="shared" si="4"/>
        <v>577.70000000000005</v>
      </c>
      <c r="AF36" s="74">
        <f t="shared" si="4"/>
        <v>578.70000000000005</v>
      </c>
      <c r="AG36" s="69">
        <f>SUM(AG11:AG35)</f>
        <v>1431.83</v>
      </c>
      <c r="AH36" s="56">
        <f t="shared" si="2"/>
        <v>864.9</v>
      </c>
      <c r="AI36" s="57">
        <f t="shared" si="3"/>
        <v>577.70000000000005</v>
      </c>
      <c r="AK36" s="58"/>
    </row>
    <row r="37" spans="1:88" x14ac:dyDescent="0.25">
      <c r="A37" s="59" t="s">
        <v>45</v>
      </c>
      <c r="B37" s="63">
        <v>81</v>
      </c>
      <c r="C37" s="63">
        <v>81</v>
      </c>
      <c r="D37" s="63">
        <v>81</v>
      </c>
      <c r="E37" s="63">
        <v>81</v>
      </c>
      <c r="F37" s="63">
        <v>81.2</v>
      </c>
      <c r="G37" s="63">
        <v>80.900000000000006</v>
      </c>
      <c r="H37" s="63">
        <v>144.9</v>
      </c>
      <c r="I37" s="63">
        <v>144.9</v>
      </c>
      <c r="J37" s="63">
        <v>144.9</v>
      </c>
      <c r="K37" s="63">
        <v>144.9</v>
      </c>
      <c r="L37" s="50">
        <v>144.9</v>
      </c>
      <c r="M37" s="50">
        <v>145.19999999999999</v>
      </c>
      <c r="N37" s="50">
        <v>135</v>
      </c>
      <c r="O37" s="50">
        <v>102.2</v>
      </c>
      <c r="P37" s="50">
        <v>81.2</v>
      </c>
      <c r="Q37" s="50">
        <v>91</v>
      </c>
      <c r="R37" s="50">
        <v>91.3</v>
      </c>
      <c r="S37" s="50">
        <v>91</v>
      </c>
      <c r="T37" s="50">
        <v>91.2</v>
      </c>
      <c r="U37" s="50">
        <v>111.6</v>
      </c>
      <c r="V37" s="50">
        <v>145</v>
      </c>
      <c r="W37" s="50">
        <v>145</v>
      </c>
      <c r="X37" s="50">
        <v>145</v>
      </c>
      <c r="Y37" s="50">
        <v>145</v>
      </c>
      <c r="Z37" s="50">
        <v>145.19999999999999</v>
      </c>
      <c r="AA37" s="50">
        <v>145.19999999999999</v>
      </c>
      <c r="AB37" s="50">
        <v>145.19999999999999</v>
      </c>
      <c r="AC37" s="50">
        <v>121.5</v>
      </c>
      <c r="AD37" s="50">
        <v>121.4</v>
      </c>
      <c r="AE37" s="50">
        <v>103.7</v>
      </c>
      <c r="AF37" s="50">
        <v>103.5</v>
      </c>
      <c r="AG37" s="64">
        <v>144</v>
      </c>
      <c r="AH37" s="56">
        <f t="shared" si="2"/>
        <v>145.19999999999999</v>
      </c>
      <c r="AI37" s="57">
        <f t="shared" si="3"/>
        <v>80.900000000000006</v>
      </c>
      <c r="AK37" s="58"/>
    </row>
    <row r="38" spans="1:88" x14ac:dyDescent="0.25">
      <c r="A38" s="68" t="s">
        <v>46</v>
      </c>
      <c r="B38" s="63">
        <v>30</v>
      </c>
      <c r="C38" s="63">
        <v>30</v>
      </c>
      <c r="D38" s="63">
        <v>25.7</v>
      </c>
      <c r="E38" s="63">
        <v>25.7</v>
      </c>
      <c r="F38" s="63">
        <v>25.8</v>
      </c>
      <c r="G38" s="63">
        <v>25.7</v>
      </c>
      <c r="H38" s="63">
        <v>36</v>
      </c>
      <c r="I38" s="63">
        <v>36</v>
      </c>
      <c r="J38" s="63">
        <v>36</v>
      </c>
      <c r="K38" s="63">
        <v>35.9</v>
      </c>
      <c r="L38" s="52">
        <v>35.9</v>
      </c>
      <c r="M38" s="52">
        <v>36.200000000000003</v>
      </c>
      <c r="N38" s="52">
        <v>36.200000000000003</v>
      </c>
      <c r="O38" s="52">
        <v>45</v>
      </c>
      <c r="P38" s="52">
        <v>69</v>
      </c>
      <c r="Q38" s="52">
        <v>58</v>
      </c>
      <c r="R38" s="52">
        <v>49.6</v>
      </c>
      <c r="S38" s="52">
        <v>50.5</v>
      </c>
      <c r="T38" s="52">
        <v>51.4</v>
      </c>
      <c r="U38" s="52">
        <v>54.2</v>
      </c>
      <c r="V38" s="52">
        <v>69.8</v>
      </c>
      <c r="W38" s="52">
        <v>70.599999999999994</v>
      </c>
      <c r="X38" s="52">
        <v>70.599999999999994</v>
      </c>
      <c r="Y38" s="52">
        <v>70.599999999999994</v>
      </c>
      <c r="Z38" s="52">
        <v>71.2</v>
      </c>
      <c r="AA38" s="52">
        <v>70.400000000000006</v>
      </c>
      <c r="AB38" s="52">
        <v>70.400000000000006</v>
      </c>
      <c r="AC38" s="52">
        <v>60.9</v>
      </c>
      <c r="AD38" s="52">
        <v>51.2</v>
      </c>
      <c r="AE38" s="52">
        <v>47.3</v>
      </c>
      <c r="AF38" s="52">
        <v>48.5</v>
      </c>
      <c r="AG38" s="69">
        <v>70</v>
      </c>
      <c r="AH38" s="56">
        <f t="shared" si="2"/>
        <v>71.2</v>
      </c>
      <c r="AI38" s="57">
        <f t="shared" si="3"/>
        <v>25.7</v>
      </c>
      <c r="AK38" s="58"/>
    </row>
    <row r="39" spans="1:88" x14ac:dyDescent="0.25">
      <c r="A39" s="68" t="s">
        <v>47</v>
      </c>
      <c r="B39" s="63">
        <v>33</v>
      </c>
      <c r="C39" s="63">
        <v>33</v>
      </c>
      <c r="D39" s="63">
        <v>32.700000000000003</v>
      </c>
      <c r="E39" s="63">
        <v>32.700000000000003</v>
      </c>
      <c r="F39" s="63">
        <v>33.200000000000003</v>
      </c>
      <c r="G39" s="63">
        <v>32.9</v>
      </c>
      <c r="H39" s="63">
        <v>48.3</v>
      </c>
      <c r="I39" s="63">
        <v>59.9</v>
      </c>
      <c r="J39" s="63">
        <v>61.6</v>
      </c>
      <c r="K39" s="63">
        <v>70</v>
      </c>
      <c r="L39" s="52">
        <v>70</v>
      </c>
      <c r="M39" s="52">
        <v>70</v>
      </c>
      <c r="N39" s="52">
        <v>60</v>
      </c>
      <c r="O39" s="52">
        <v>63</v>
      </c>
      <c r="P39" s="52">
        <v>69.2</v>
      </c>
      <c r="Q39" s="52">
        <v>70.7</v>
      </c>
      <c r="R39" s="52">
        <v>68.8</v>
      </c>
      <c r="S39" s="52">
        <v>60.1</v>
      </c>
      <c r="T39" s="52">
        <v>60.2</v>
      </c>
      <c r="U39" s="52">
        <v>60.6</v>
      </c>
      <c r="V39" s="52">
        <v>69.400000000000006</v>
      </c>
      <c r="W39" s="52">
        <v>69.400000000000006</v>
      </c>
      <c r="X39" s="52">
        <v>69.400000000000006</v>
      </c>
      <c r="Y39" s="52">
        <v>69.400000000000006</v>
      </c>
      <c r="Z39" s="52">
        <v>69.400000000000006</v>
      </c>
      <c r="AA39" s="52">
        <v>52.7</v>
      </c>
      <c r="AB39" s="52">
        <v>52.7</v>
      </c>
      <c r="AC39" s="52">
        <v>53.4</v>
      </c>
      <c r="AD39" s="52">
        <v>38.9</v>
      </c>
      <c r="AE39" s="52">
        <v>32.700000000000003</v>
      </c>
      <c r="AF39" s="52">
        <v>32.799999999999997</v>
      </c>
      <c r="AG39" s="69">
        <v>69</v>
      </c>
      <c r="AH39" s="56">
        <f t="shared" si="2"/>
        <v>70.7</v>
      </c>
      <c r="AI39" s="57">
        <f t="shared" si="3"/>
        <v>32.700000000000003</v>
      </c>
      <c r="AK39" s="58"/>
    </row>
    <row r="40" spans="1:88" x14ac:dyDescent="0.25">
      <c r="A40" s="68" t="s">
        <v>48</v>
      </c>
      <c r="B40" s="63">
        <v>25</v>
      </c>
      <c r="C40" s="63">
        <v>25</v>
      </c>
      <c r="D40" s="63">
        <v>20.399999999999999</v>
      </c>
      <c r="E40" s="63">
        <v>20.399999999999999</v>
      </c>
      <c r="F40" s="63">
        <v>20.399999999999999</v>
      </c>
      <c r="G40" s="63">
        <v>20.399999999999999</v>
      </c>
      <c r="H40" s="63">
        <v>33.200000000000003</v>
      </c>
      <c r="I40" s="63">
        <v>40.6</v>
      </c>
      <c r="J40" s="63">
        <v>60.9</v>
      </c>
      <c r="K40" s="63">
        <v>60.9</v>
      </c>
      <c r="L40" s="52">
        <v>60.9</v>
      </c>
      <c r="M40" s="52">
        <v>60.9</v>
      </c>
      <c r="N40" s="52">
        <v>60.9</v>
      </c>
      <c r="O40" s="52">
        <v>61</v>
      </c>
      <c r="P40" s="52">
        <v>54.9</v>
      </c>
      <c r="Q40" s="52">
        <v>54.9</v>
      </c>
      <c r="R40" s="52">
        <v>60.7</v>
      </c>
      <c r="S40" s="52">
        <v>50</v>
      </c>
      <c r="T40" s="52">
        <v>51.4</v>
      </c>
      <c r="U40" s="52">
        <v>51.4</v>
      </c>
      <c r="V40" s="52">
        <v>60.9</v>
      </c>
      <c r="W40" s="52">
        <v>60.9</v>
      </c>
      <c r="X40" s="52">
        <v>60.9</v>
      </c>
      <c r="Y40" s="52">
        <v>60.9</v>
      </c>
      <c r="Z40" s="52">
        <v>60.9</v>
      </c>
      <c r="AA40" s="52">
        <v>51.1</v>
      </c>
      <c r="AB40" s="52">
        <v>51.1</v>
      </c>
      <c r="AC40" s="52">
        <v>42.1</v>
      </c>
      <c r="AD40" s="52">
        <v>25.7</v>
      </c>
      <c r="AE40" s="52">
        <v>25.7</v>
      </c>
      <c r="AF40" s="52">
        <v>21.2</v>
      </c>
      <c r="AG40" s="69">
        <v>60</v>
      </c>
      <c r="AH40" s="56">
        <f t="shared" si="2"/>
        <v>61</v>
      </c>
      <c r="AI40" s="57">
        <f t="shared" si="3"/>
        <v>20.399999999999999</v>
      </c>
      <c r="AK40" s="58"/>
    </row>
    <row r="41" spans="1:88" x14ac:dyDescent="0.25">
      <c r="A41" s="68" t="s">
        <v>49</v>
      </c>
      <c r="B41" s="63">
        <v>25</v>
      </c>
      <c r="C41" s="63">
        <v>25</v>
      </c>
      <c r="D41" s="63">
        <v>24.3</v>
      </c>
      <c r="E41" s="63">
        <v>24.3</v>
      </c>
      <c r="F41" s="63">
        <v>24.9</v>
      </c>
      <c r="G41" s="63">
        <v>24.9</v>
      </c>
      <c r="H41" s="63">
        <v>25</v>
      </c>
      <c r="I41" s="63">
        <v>30</v>
      </c>
      <c r="J41" s="63">
        <v>30</v>
      </c>
      <c r="K41" s="63">
        <v>30</v>
      </c>
      <c r="L41" s="50">
        <v>30</v>
      </c>
      <c r="M41" s="50">
        <v>30</v>
      </c>
      <c r="N41" s="50">
        <v>30</v>
      </c>
      <c r="O41" s="50">
        <v>30</v>
      </c>
      <c r="P41" s="50">
        <v>30</v>
      </c>
      <c r="Q41" s="50">
        <v>30</v>
      </c>
      <c r="R41" s="50">
        <v>29.5</v>
      </c>
      <c r="S41" s="50">
        <v>29.5</v>
      </c>
      <c r="T41" s="50">
        <v>29.5</v>
      </c>
      <c r="U41" s="50">
        <v>29.5</v>
      </c>
      <c r="V41" s="50">
        <v>29.5</v>
      </c>
      <c r="W41" s="50">
        <v>29.5</v>
      </c>
      <c r="X41" s="50">
        <v>29.5</v>
      </c>
      <c r="Y41" s="50">
        <v>29.5</v>
      </c>
      <c r="Z41" s="50">
        <v>29.5</v>
      </c>
      <c r="AA41" s="50">
        <v>29.5</v>
      </c>
      <c r="AB41" s="50">
        <v>29.5</v>
      </c>
      <c r="AC41" s="50">
        <v>29.5</v>
      </c>
      <c r="AD41" s="52">
        <v>29.6</v>
      </c>
      <c r="AE41" s="52">
        <v>29.6</v>
      </c>
      <c r="AF41" s="52">
        <v>24.9</v>
      </c>
      <c r="AG41" s="69">
        <v>30</v>
      </c>
      <c r="AH41" s="56">
        <f t="shared" si="2"/>
        <v>30</v>
      </c>
      <c r="AI41" s="57">
        <f t="shared" si="3"/>
        <v>24.3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10</v>
      </c>
      <c r="C43" s="75">
        <v>10</v>
      </c>
      <c r="D43" s="75">
        <v>10</v>
      </c>
      <c r="E43" s="75">
        <v>10</v>
      </c>
      <c r="F43" s="75">
        <v>10.9</v>
      </c>
      <c r="G43" s="75">
        <v>10.9</v>
      </c>
      <c r="H43" s="75">
        <v>15.2</v>
      </c>
      <c r="I43" s="75">
        <v>17.8</v>
      </c>
      <c r="J43" s="75">
        <v>17.8</v>
      </c>
      <c r="K43" s="75">
        <v>17.8</v>
      </c>
      <c r="L43" s="50">
        <v>17.8</v>
      </c>
      <c r="M43" s="50">
        <v>17.8</v>
      </c>
      <c r="N43" s="50">
        <v>17.8</v>
      </c>
      <c r="O43" s="50">
        <v>17.8</v>
      </c>
      <c r="P43" s="50">
        <v>17.600000000000001</v>
      </c>
      <c r="Q43" s="50">
        <v>17.600000000000001</v>
      </c>
      <c r="R43" s="50">
        <v>17.600000000000001</v>
      </c>
      <c r="S43" s="50">
        <v>17.600000000000001</v>
      </c>
      <c r="T43" s="50">
        <v>17.600000000000001</v>
      </c>
      <c r="U43" s="50">
        <v>17.600000000000001</v>
      </c>
      <c r="V43" s="50">
        <v>17.600000000000001</v>
      </c>
      <c r="W43" s="50">
        <v>17.600000000000001</v>
      </c>
      <c r="X43" s="50">
        <v>17.600000000000001</v>
      </c>
      <c r="Y43" s="50">
        <v>17.600000000000001</v>
      </c>
      <c r="Z43" s="50">
        <v>17.600000000000001</v>
      </c>
      <c r="AA43" s="50">
        <v>17.8</v>
      </c>
      <c r="AB43" s="50">
        <v>17.8</v>
      </c>
      <c r="AC43" s="50">
        <v>17.8</v>
      </c>
      <c r="AD43" s="50">
        <v>11.4</v>
      </c>
      <c r="AE43" s="50">
        <v>11.4</v>
      </c>
      <c r="AF43" s="50">
        <v>11.6</v>
      </c>
      <c r="AG43" s="69">
        <v>24</v>
      </c>
      <c r="AH43" s="56">
        <f t="shared" si="2"/>
        <v>17.8</v>
      </c>
      <c r="AI43" s="57">
        <f t="shared" si="3"/>
        <v>10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10</v>
      </c>
      <c r="C45" s="63">
        <v>10</v>
      </c>
      <c r="D45" s="63">
        <v>10</v>
      </c>
      <c r="E45" s="63">
        <v>10</v>
      </c>
      <c r="F45" s="63">
        <v>10</v>
      </c>
      <c r="G45" s="63">
        <v>10</v>
      </c>
      <c r="H45" s="63">
        <v>10</v>
      </c>
      <c r="I45" s="63">
        <v>10</v>
      </c>
      <c r="J45" s="63">
        <v>10</v>
      </c>
      <c r="K45" s="63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9">
        <v>14.1</v>
      </c>
      <c r="AH45" s="56">
        <f t="shared" si="2"/>
        <v>13</v>
      </c>
      <c r="AI45" s="57">
        <f t="shared" si="3"/>
        <v>10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14</v>
      </c>
      <c r="C46" s="75">
        <v>14</v>
      </c>
      <c r="D46" s="75">
        <v>14</v>
      </c>
      <c r="E46" s="75">
        <v>14</v>
      </c>
      <c r="F46" s="75">
        <v>14</v>
      </c>
      <c r="G46" s="75">
        <v>14</v>
      </c>
      <c r="H46" s="75">
        <v>0</v>
      </c>
      <c r="I46" s="75">
        <v>0</v>
      </c>
      <c r="J46" s="75">
        <v>0</v>
      </c>
      <c r="K46" s="75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9">
        <v>14</v>
      </c>
      <c r="AH46" s="56">
        <f t="shared" si="2"/>
        <v>14</v>
      </c>
      <c r="AI46" s="57">
        <f t="shared" si="3"/>
        <v>0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6.2</v>
      </c>
      <c r="C48" s="63">
        <v>6.2</v>
      </c>
      <c r="D48" s="63">
        <v>6.2</v>
      </c>
      <c r="E48" s="63">
        <v>6.2</v>
      </c>
      <c r="F48" s="63">
        <v>6.2</v>
      </c>
      <c r="G48" s="63">
        <v>6.2</v>
      </c>
      <c r="H48" s="63">
        <v>6.2</v>
      </c>
      <c r="I48" s="63">
        <v>6.2</v>
      </c>
      <c r="J48" s="63">
        <v>6.2</v>
      </c>
      <c r="K48" s="63">
        <v>6.2</v>
      </c>
      <c r="L48" s="50">
        <v>6.2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9">
        <v>6.2</v>
      </c>
      <c r="AH48" s="56">
        <f t="shared" si="2"/>
        <v>6.2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247.33999999999997</v>
      </c>
      <c r="C50" s="74">
        <f t="shared" si="6"/>
        <v>247.33999999999997</v>
      </c>
      <c r="D50" s="74">
        <f t="shared" si="6"/>
        <v>237.44</v>
      </c>
      <c r="E50" s="74">
        <f t="shared" si="6"/>
        <v>237.44</v>
      </c>
      <c r="F50" s="74">
        <f t="shared" si="6"/>
        <v>239.73999999999998</v>
      </c>
      <c r="G50" s="74">
        <f t="shared" si="6"/>
        <v>239.04</v>
      </c>
      <c r="H50" s="74">
        <f t="shared" si="6"/>
        <v>331.94</v>
      </c>
      <c r="I50" s="74">
        <f t="shared" si="6"/>
        <v>358.54000000000008</v>
      </c>
      <c r="J50" s="74">
        <f t="shared" si="6"/>
        <v>380.54</v>
      </c>
      <c r="K50" s="74">
        <f t="shared" si="6"/>
        <v>391.84000000000003</v>
      </c>
      <c r="L50" s="74">
        <f t="shared" si="6"/>
        <v>391.84000000000003</v>
      </c>
      <c r="M50" s="74">
        <f t="shared" si="6"/>
        <v>386.24</v>
      </c>
      <c r="N50" s="74">
        <f t="shared" si="6"/>
        <v>366.04</v>
      </c>
      <c r="O50" s="74">
        <f t="shared" si="6"/>
        <v>345.14000000000004</v>
      </c>
      <c r="P50" s="74">
        <f t="shared" si="6"/>
        <v>348.04</v>
      </c>
      <c r="Q50" s="74">
        <f t="shared" si="6"/>
        <v>348.34000000000003</v>
      </c>
      <c r="R50" s="74">
        <f t="shared" si="6"/>
        <v>343.64000000000004</v>
      </c>
      <c r="S50" s="74">
        <f t="shared" si="6"/>
        <v>324.84000000000009</v>
      </c>
      <c r="T50" s="74">
        <f t="shared" si="6"/>
        <v>327.44000000000011</v>
      </c>
      <c r="U50" s="74">
        <f t="shared" si="6"/>
        <v>351.04000000000008</v>
      </c>
      <c r="V50" s="74">
        <f t="shared" si="6"/>
        <v>418.34000000000009</v>
      </c>
      <c r="W50" s="74">
        <v>425.34000000000003</v>
      </c>
      <c r="X50" s="74">
        <f t="shared" si="6"/>
        <v>419.14000000000004</v>
      </c>
      <c r="Y50" s="74">
        <f t="shared" si="6"/>
        <v>419.14000000000004</v>
      </c>
      <c r="Z50" s="74">
        <f t="shared" si="6"/>
        <v>419.94</v>
      </c>
      <c r="AA50" s="74">
        <f t="shared" si="6"/>
        <v>392.84000000000009</v>
      </c>
      <c r="AB50" s="74">
        <f t="shared" si="6"/>
        <v>392.84000000000009</v>
      </c>
      <c r="AC50" s="74">
        <f t="shared" si="6"/>
        <v>351.34000000000009</v>
      </c>
      <c r="AD50" s="74">
        <f t="shared" si="6"/>
        <v>304.34000000000003</v>
      </c>
      <c r="AE50" s="74">
        <f t="shared" si="6"/>
        <v>276.54000000000002</v>
      </c>
      <c r="AF50" s="74">
        <f t="shared" si="6"/>
        <v>268.64000000000004</v>
      </c>
      <c r="AG50" s="79">
        <f>SUM(AG37:AG49)</f>
        <v>489.91</v>
      </c>
      <c r="AH50" s="56">
        <f t="shared" si="2"/>
        <v>425.34000000000003</v>
      </c>
      <c r="AI50" s="57">
        <f t="shared" si="3"/>
        <v>237.44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14</v>
      </c>
      <c r="M51" s="80">
        <v>45</v>
      </c>
      <c r="N51" s="80">
        <v>34</v>
      </c>
      <c r="O51" s="80">
        <v>10.8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33.700000000000003</v>
      </c>
      <c r="X51" s="50">
        <v>20.5</v>
      </c>
      <c r="Y51" s="50">
        <v>20.5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45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23</v>
      </c>
      <c r="N52" s="80">
        <v>15</v>
      </c>
      <c r="O52" s="80">
        <v>12.1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2">
        <v>10.7</v>
      </c>
      <c r="X52" s="52">
        <v>11.5</v>
      </c>
      <c r="Y52" s="52">
        <v>11.5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23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8.4</v>
      </c>
      <c r="N53" s="81">
        <v>6</v>
      </c>
      <c r="O53" s="81">
        <v>4.4000000000000004</v>
      </c>
      <c r="P53" s="82">
        <v>0</v>
      </c>
      <c r="Q53" s="82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82">
        <v>3.9</v>
      </c>
      <c r="X53" s="82">
        <v>4.2</v>
      </c>
      <c r="Y53" s="82">
        <v>4.2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8.4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14</v>
      </c>
      <c r="M54" s="74">
        <f t="shared" si="7"/>
        <v>76.400000000000006</v>
      </c>
      <c r="N54" s="74">
        <f t="shared" si="7"/>
        <v>55</v>
      </c>
      <c r="O54" s="74">
        <f t="shared" si="7"/>
        <v>27.299999999999997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v>48.300000000000004</v>
      </c>
      <c r="X54" s="74">
        <f t="shared" si="7"/>
        <v>36.200000000000003</v>
      </c>
      <c r="Y54" s="74">
        <f t="shared" si="7"/>
        <v>36.200000000000003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76.400000000000006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2.4</v>
      </c>
      <c r="R56" s="50">
        <v>1.5</v>
      </c>
      <c r="S56" s="50">
        <v>-0.8</v>
      </c>
      <c r="T56" s="50">
        <v>24.6</v>
      </c>
      <c r="U56" s="50">
        <v>5.8</v>
      </c>
      <c r="V56" s="50">
        <v>0</v>
      </c>
      <c r="W56" s="50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24.6</v>
      </c>
      <c r="AI56" s="57">
        <f t="shared" si="3"/>
        <v>-0.8</v>
      </c>
      <c r="AK56" s="58"/>
    </row>
    <row r="57" spans="1:37" x14ac:dyDescent="0.25">
      <c r="A57" s="68" t="s">
        <v>65</v>
      </c>
      <c r="B57" s="52">
        <v>-23</v>
      </c>
      <c r="C57" s="52">
        <v>-18</v>
      </c>
      <c r="D57" s="52">
        <v>-32.9</v>
      </c>
      <c r="E57" s="52">
        <v>-32.1</v>
      </c>
      <c r="F57" s="52">
        <v>-5.2</v>
      </c>
      <c r="G57" s="50">
        <v>-7.1</v>
      </c>
      <c r="H57" s="50">
        <v>-3.4</v>
      </c>
      <c r="I57" s="50">
        <v>-12.2</v>
      </c>
      <c r="J57" s="50">
        <v>-22.8</v>
      </c>
      <c r="K57" s="50">
        <v>-2.9</v>
      </c>
      <c r="L57" s="52">
        <v>-21.3</v>
      </c>
      <c r="M57" s="52">
        <v>-15</v>
      </c>
      <c r="N57" s="52">
        <v>0</v>
      </c>
      <c r="O57" s="52">
        <v>-5</v>
      </c>
      <c r="P57" s="52">
        <v>-9</v>
      </c>
      <c r="Q57" s="52">
        <v>-15</v>
      </c>
      <c r="R57" s="52">
        <v>-14</v>
      </c>
      <c r="S57" s="52">
        <v>-23.2</v>
      </c>
      <c r="T57" s="52">
        <v>-31.5</v>
      </c>
      <c r="U57" s="52">
        <v>-27.7</v>
      </c>
      <c r="V57" s="52">
        <v>-27.7</v>
      </c>
      <c r="W57" s="85">
        <v>-12.1</v>
      </c>
      <c r="X57" s="85">
        <v>-15.5</v>
      </c>
      <c r="Y57" s="85">
        <v>-15.5</v>
      </c>
      <c r="Z57" s="85">
        <v>-9.3000000000000007</v>
      </c>
      <c r="AA57" s="52">
        <v>-24.5</v>
      </c>
      <c r="AB57" s="52">
        <v>-72.099999999999994</v>
      </c>
      <c r="AC57" s="52">
        <v>-61.4</v>
      </c>
      <c r="AD57" s="52">
        <v>-67.900000000000006</v>
      </c>
      <c r="AE57" s="52">
        <v>-38.299999999999997</v>
      </c>
      <c r="AF57" s="52">
        <v>-34.200000000000003</v>
      </c>
      <c r="AG57" s="86"/>
      <c r="AH57" s="56">
        <f t="shared" si="2"/>
        <v>0</v>
      </c>
      <c r="AI57" s="57">
        <f t="shared" si="3"/>
        <v>-72.099999999999994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-23</v>
      </c>
      <c r="C66" s="74">
        <f t="shared" ref="C66:AF66" si="8">SUM(C55:C65)</f>
        <v>-18</v>
      </c>
      <c r="D66" s="74">
        <f t="shared" si="8"/>
        <v>-32.9</v>
      </c>
      <c r="E66" s="74">
        <f t="shared" si="8"/>
        <v>-32.1</v>
      </c>
      <c r="F66" s="74">
        <f t="shared" si="8"/>
        <v>-5.2</v>
      </c>
      <c r="G66" s="74">
        <f t="shared" si="8"/>
        <v>-7.1</v>
      </c>
      <c r="H66" s="74">
        <f t="shared" si="8"/>
        <v>-3.4</v>
      </c>
      <c r="I66" s="74">
        <f t="shared" si="8"/>
        <v>-12.2</v>
      </c>
      <c r="J66" s="74">
        <f t="shared" si="8"/>
        <v>-22.8</v>
      </c>
      <c r="K66" s="74">
        <f t="shared" si="8"/>
        <v>-2.9</v>
      </c>
      <c r="L66" s="74">
        <f t="shared" si="8"/>
        <v>-21.3</v>
      </c>
      <c r="M66" s="74">
        <f t="shared" si="8"/>
        <v>-15</v>
      </c>
      <c r="N66" s="74">
        <f t="shared" si="8"/>
        <v>0</v>
      </c>
      <c r="O66" s="74">
        <f t="shared" si="8"/>
        <v>-5</v>
      </c>
      <c r="P66" s="74">
        <f t="shared" si="8"/>
        <v>-9</v>
      </c>
      <c r="Q66" s="74">
        <f t="shared" si="8"/>
        <v>-12.6</v>
      </c>
      <c r="R66" s="74">
        <f t="shared" si="8"/>
        <v>-12.5</v>
      </c>
      <c r="S66" s="74">
        <f t="shared" si="8"/>
        <v>-24</v>
      </c>
      <c r="T66" s="74">
        <f t="shared" si="8"/>
        <v>-6.8999999999999986</v>
      </c>
      <c r="U66" s="74">
        <f t="shared" si="8"/>
        <v>-21.9</v>
      </c>
      <c r="V66" s="74">
        <f t="shared" si="8"/>
        <v>-27.7</v>
      </c>
      <c r="W66" s="74">
        <f t="shared" si="8"/>
        <v>-12.1</v>
      </c>
      <c r="X66" s="74">
        <f t="shared" si="8"/>
        <v>-15.5</v>
      </c>
      <c r="Y66" s="74">
        <f t="shared" si="8"/>
        <v>-15.5</v>
      </c>
      <c r="Z66" s="74">
        <f t="shared" si="8"/>
        <v>-9.3000000000000007</v>
      </c>
      <c r="AA66" s="74">
        <f t="shared" si="8"/>
        <v>-24.5</v>
      </c>
      <c r="AB66" s="74">
        <f t="shared" si="8"/>
        <v>-72.099999999999994</v>
      </c>
      <c r="AC66" s="74">
        <f t="shared" si="8"/>
        <v>-61.4</v>
      </c>
      <c r="AD66" s="74">
        <f t="shared" si="8"/>
        <v>-67.900000000000006</v>
      </c>
      <c r="AE66" s="74">
        <f t="shared" si="8"/>
        <v>-38.299999999999997</v>
      </c>
      <c r="AF66" s="74">
        <f t="shared" si="8"/>
        <v>-34.200000000000003</v>
      </c>
      <c r="AG66" s="79">
        <f>SUM(AG55:AG65)</f>
        <v>0</v>
      </c>
      <c r="AH66" s="56">
        <f t="shared" si="2"/>
        <v>0</v>
      </c>
      <c r="AI66" s="57">
        <f t="shared" si="3"/>
        <v>-72.099999999999994</v>
      </c>
      <c r="AK66" s="58"/>
    </row>
    <row r="67" spans="1:88" x14ac:dyDescent="0.25">
      <c r="A67" s="59" t="s">
        <v>242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243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244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830.1400000000001</v>
      </c>
      <c r="C71" s="90">
        <f t="shared" ref="C71:AG71" si="10">C66+C54+C50+C36+C70</f>
        <v>835.1400000000001</v>
      </c>
      <c r="D71" s="90">
        <f t="shared" si="10"/>
        <v>806.34</v>
      </c>
      <c r="E71" s="90">
        <f t="shared" si="10"/>
        <v>802.1400000000001</v>
      </c>
      <c r="F71" s="90">
        <f t="shared" si="10"/>
        <v>831.84</v>
      </c>
      <c r="G71" s="90">
        <f t="shared" si="10"/>
        <v>879.24</v>
      </c>
      <c r="H71" s="90">
        <f t="shared" si="10"/>
        <v>998.83999999999992</v>
      </c>
      <c r="I71" s="90">
        <f t="shared" si="10"/>
        <v>1021.6400000000001</v>
      </c>
      <c r="J71" s="90">
        <f t="shared" si="10"/>
        <v>1047.04</v>
      </c>
      <c r="K71" s="90">
        <f t="shared" si="10"/>
        <v>1088.24</v>
      </c>
      <c r="L71" s="90">
        <f t="shared" si="10"/>
        <v>1143.8399999999999</v>
      </c>
      <c r="M71" s="90">
        <f t="shared" si="10"/>
        <v>1081.8400000000001</v>
      </c>
      <c r="N71" s="90">
        <f t="shared" si="10"/>
        <v>1053.24</v>
      </c>
      <c r="O71" s="90">
        <f t="shared" si="10"/>
        <v>1021.74</v>
      </c>
      <c r="P71" s="90">
        <f t="shared" si="10"/>
        <v>988.33999999999992</v>
      </c>
      <c r="Q71" s="90">
        <f t="shared" si="10"/>
        <v>985.04</v>
      </c>
      <c r="R71" s="90">
        <f t="shared" si="10"/>
        <v>980.44</v>
      </c>
      <c r="S71" s="90">
        <f t="shared" si="10"/>
        <v>958.24</v>
      </c>
      <c r="T71" s="90">
        <f t="shared" si="10"/>
        <v>978.34000000000015</v>
      </c>
      <c r="U71" s="90">
        <f t="shared" si="10"/>
        <v>1023.5400000000001</v>
      </c>
      <c r="V71" s="90">
        <f t="shared" si="10"/>
        <v>1173.04</v>
      </c>
      <c r="W71" s="90">
        <f t="shared" si="10"/>
        <v>1326.44</v>
      </c>
      <c r="X71" s="90">
        <f t="shared" si="10"/>
        <v>1279.74</v>
      </c>
      <c r="Y71" s="90">
        <f t="shared" si="10"/>
        <v>1205.74</v>
      </c>
      <c r="Z71" s="90">
        <f t="shared" si="10"/>
        <v>1176.54</v>
      </c>
      <c r="AA71" s="90">
        <f t="shared" si="10"/>
        <v>1090.2400000000002</v>
      </c>
      <c r="AB71" s="90">
        <f t="shared" si="10"/>
        <v>1022.6400000000002</v>
      </c>
      <c r="AC71" s="90">
        <f t="shared" si="10"/>
        <v>943.34000000000015</v>
      </c>
      <c r="AD71" s="90">
        <f t="shared" si="10"/>
        <v>841.1400000000001</v>
      </c>
      <c r="AE71" s="90">
        <f t="shared" si="10"/>
        <v>815.94</v>
      </c>
      <c r="AF71" s="90">
        <f t="shared" si="10"/>
        <v>813.1400000000001</v>
      </c>
      <c r="AG71" s="90">
        <f t="shared" si="10"/>
        <v>2083.14</v>
      </c>
      <c r="AH71" s="56">
        <f t="shared" si="2"/>
        <v>1326.44</v>
      </c>
      <c r="AI71" s="57">
        <f t="shared" si="3"/>
        <v>802.1400000000001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830.1400000000001</v>
      </c>
      <c r="C73" s="90">
        <f t="shared" ref="C73:AF73" si="11">C70+C66+C54+C50+C36+C72</f>
        <v>835.1400000000001</v>
      </c>
      <c r="D73" s="90">
        <f t="shared" si="11"/>
        <v>806.34</v>
      </c>
      <c r="E73" s="90">
        <f t="shared" si="11"/>
        <v>802.1400000000001</v>
      </c>
      <c r="F73" s="90">
        <f t="shared" si="11"/>
        <v>831.84</v>
      </c>
      <c r="G73" s="90">
        <f t="shared" si="11"/>
        <v>879.24</v>
      </c>
      <c r="H73" s="90">
        <f t="shared" si="11"/>
        <v>998.83999999999992</v>
      </c>
      <c r="I73" s="90">
        <f t="shared" si="11"/>
        <v>1021.6400000000001</v>
      </c>
      <c r="J73" s="90">
        <f t="shared" si="11"/>
        <v>1047.04</v>
      </c>
      <c r="K73" s="90">
        <f t="shared" si="11"/>
        <v>1088.24</v>
      </c>
      <c r="L73" s="90">
        <f t="shared" si="11"/>
        <v>1143.8399999999999</v>
      </c>
      <c r="M73" s="90">
        <f t="shared" si="11"/>
        <v>1081.8400000000001</v>
      </c>
      <c r="N73" s="90">
        <f t="shared" si="11"/>
        <v>1053.24</v>
      </c>
      <c r="O73" s="90">
        <f t="shared" si="11"/>
        <v>1021.74</v>
      </c>
      <c r="P73" s="90">
        <f t="shared" si="11"/>
        <v>988.33999999999992</v>
      </c>
      <c r="Q73" s="90">
        <f t="shared" si="11"/>
        <v>985.04</v>
      </c>
      <c r="R73" s="90">
        <f t="shared" si="11"/>
        <v>980.44</v>
      </c>
      <c r="S73" s="90">
        <f t="shared" si="11"/>
        <v>958.24</v>
      </c>
      <c r="T73" s="90">
        <f t="shared" si="11"/>
        <v>978.34000000000015</v>
      </c>
      <c r="U73" s="90">
        <f t="shared" si="11"/>
        <v>1023.5400000000001</v>
      </c>
      <c r="V73" s="90">
        <f t="shared" si="11"/>
        <v>1173.04</v>
      </c>
      <c r="W73" s="90">
        <f t="shared" si="11"/>
        <v>1326.44</v>
      </c>
      <c r="X73" s="90">
        <f t="shared" si="11"/>
        <v>1279.74</v>
      </c>
      <c r="Y73" s="90">
        <f t="shared" si="11"/>
        <v>1205.74</v>
      </c>
      <c r="Z73" s="90">
        <f t="shared" si="11"/>
        <v>1176.54</v>
      </c>
      <c r="AA73" s="90">
        <f t="shared" si="11"/>
        <v>1090.2400000000002</v>
      </c>
      <c r="AB73" s="90">
        <f t="shared" si="11"/>
        <v>1022.6400000000002</v>
      </c>
      <c r="AC73" s="90">
        <f t="shared" si="11"/>
        <v>943.34000000000015</v>
      </c>
      <c r="AD73" s="90">
        <f t="shared" si="11"/>
        <v>841.1400000000001</v>
      </c>
      <c r="AE73" s="90">
        <f t="shared" si="11"/>
        <v>815.94</v>
      </c>
      <c r="AF73" s="90">
        <f t="shared" si="11"/>
        <v>813.1400000000001</v>
      </c>
      <c r="AG73" s="79">
        <f>AG70+AG66+AG54+AG50+AG36+AG72</f>
        <v>2083.14</v>
      </c>
      <c r="AH73" s="56">
        <f t="shared" si="2"/>
        <v>1326.44</v>
      </c>
      <c r="AI73" s="57">
        <f t="shared" si="3"/>
        <v>802.1400000000001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0.8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0.8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23</v>
      </c>
      <c r="C77" s="60">
        <f t="shared" ref="C77:AF77" si="15">IF(C57&lt;0,C57*-1,0)</f>
        <v>18</v>
      </c>
      <c r="D77" s="60">
        <f t="shared" si="15"/>
        <v>32.9</v>
      </c>
      <c r="E77" s="60">
        <f t="shared" si="15"/>
        <v>32.1</v>
      </c>
      <c r="F77" s="60">
        <f t="shared" si="15"/>
        <v>5.2</v>
      </c>
      <c r="G77" s="60">
        <f t="shared" si="15"/>
        <v>7.1</v>
      </c>
      <c r="H77" s="60">
        <f t="shared" si="15"/>
        <v>3.4</v>
      </c>
      <c r="I77" s="60">
        <f t="shared" si="15"/>
        <v>12.2</v>
      </c>
      <c r="J77" s="60">
        <f t="shared" si="15"/>
        <v>22.8</v>
      </c>
      <c r="K77" s="60">
        <f t="shared" si="15"/>
        <v>2.9</v>
      </c>
      <c r="L77" s="60">
        <f t="shared" si="15"/>
        <v>21.3</v>
      </c>
      <c r="M77" s="60">
        <f t="shared" si="15"/>
        <v>15</v>
      </c>
      <c r="N77" s="60">
        <f t="shared" si="15"/>
        <v>0</v>
      </c>
      <c r="O77" s="60">
        <f t="shared" si="15"/>
        <v>5</v>
      </c>
      <c r="P77" s="60">
        <f t="shared" si="15"/>
        <v>9</v>
      </c>
      <c r="Q77" s="60">
        <f t="shared" si="15"/>
        <v>15</v>
      </c>
      <c r="R77" s="60">
        <f t="shared" si="15"/>
        <v>14</v>
      </c>
      <c r="S77" s="60">
        <f t="shared" si="15"/>
        <v>23.2</v>
      </c>
      <c r="T77" s="60">
        <f t="shared" si="15"/>
        <v>31.5</v>
      </c>
      <c r="U77" s="60">
        <f t="shared" si="15"/>
        <v>27.7</v>
      </c>
      <c r="V77" s="60">
        <f t="shared" si="15"/>
        <v>27.7</v>
      </c>
      <c r="W77" s="60">
        <f t="shared" si="15"/>
        <v>12.1</v>
      </c>
      <c r="X77" s="60">
        <f t="shared" si="15"/>
        <v>15.5</v>
      </c>
      <c r="Y77" s="60">
        <f t="shared" si="15"/>
        <v>15.5</v>
      </c>
      <c r="Z77" s="60">
        <f t="shared" si="15"/>
        <v>9.3000000000000007</v>
      </c>
      <c r="AA77" s="60">
        <f t="shared" si="15"/>
        <v>24.5</v>
      </c>
      <c r="AB77" s="60">
        <f t="shared" si="15"/>
        <v>72.099999999999994</v>
      </c>
      <c r="AC77" s="60">
        <f t="shared" si="15"/>
        <v>61.4</v>
      </c>
      <c r="AD77" s="60">
        <f t="shared" si="15"/>
        <v>67.900000000000006</v>
      </c>
      <c r="AE77" s="60">
        <f t="shared" si="15"/>
        <v>38.299999999999997</v>
      </c>
      <c r="AF77" s="60">
        <f t="shared" si="15"/>
        <v>34.200000000000003</v>
      </c>
      <c r="AG77" s="93"/>
      <c r="AH77" s="56">
        <f t="shared" ref="AH77:AH89" si="16">MAX(B77:AF77)</f>
        <v>72.099999999999994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23</v>
      </c>
      <c r="C80" s="74">
        <f t="shared" si="19"/>
        <v>18</v>
      </c>
      <c r="D80" s="74">
        <f t="shared" si="19"/>
        <v>32.9</v>
      </c>
      <c r="E80" s="74">
        <f t="shared" si="19"/>
        <v>32.1</v>
      </c>
      <c r="F80" s="74">
        <f t="shared" si="19"/>
        <v>5.2</v>
      </c>
      <c r="G80" s="74">
        <f t="shared" si="19"/>
        <v>7.1</v>
      </c>
      <c r="H80" s="74">
        <f t="shared" si="19"/>
        <v>3.4</v>
      </c>
      <c r="I80" s="74">
        <f t="shared" si="19"/>
        <v>12.2</v>
      </c>
      <c r="J80" s="74">
        <f t="shared" si="19"/>
        <v>22.8</v>
      </c>
      <c r="K80" s="74">
        <f t="shared" si="19"/>
        <v>2.9</v>
      </c>
      <c r="L80" s="74">
        <f t="shared" si="19"/>
        <v>21.3</v>
      </c>
      <c r="M80" s="74">
        <f t="shared" si="19"/>
        <v>15</v>
      </c>
      <c r="N80" s="74">
        <f t="shared" si="19"/>
        <v>0</v>
      </c>
      <c r="O80" s="74">
        <f t="shared" si="19"/>
        <v>5</v>
      </c>
      <c r="P80" s="74">
        <f t="shared" si="19"/>
        <v>9</v>
      </c>
      <c r="Q80" s="74">
        <f t="shared" si="19"/>
        <v>15</v>
      </c>
      <c r="R80" s="74">
        <f t="shared" si="19"/>
        <v>14</v>
      </c>
      <c r="S80" s="74">
        <f t="shared" si="19"/>
        <v>24</v>
      </c>
      <c r="T80" s="74">
        <f t="shared" si="19"/>
        <v>31.5</v>
      </c>
      <c r="U80" s="74">
        <f t="shared" si="19"/>
        <v>27.7</v>
      </c>
      <c r="V80" s="74">
        <f t="shared" si="19"/>
        <v>27.7</v>
      </c>
      <c r="W80" s="74">
        <f t="shared" si="19"/>
        <v>12.1</v>
      </c>
      <c r="X80" s="74">
        <f t="shared" si="19"/>
        <v>15.5</v>
      </c>
      <c r="Y80" s="74">
        <f t="shared" si="19"/>
        <v>15.5</v>
      </c>
      <c r="Z80" s="74">
        <f t="shared" si="19"/>
        <v>9.3000000000000007</v>
      </c>
      <c r="AA80" s="74">
        <f t="shared" si="19"/>
        <v>24.5</v>
      </c>
      <c r="AB80" s="74">
        <f t="shared" si="19"/>
        <v>72.099999999999994</v>
      </c>
      <c r="AC80" s="74">
        <f t="shared" si="19"/>
        <v>61.4</v>
      </c>
      <c r="AD80" s="74">
        <f t="shared" si="19"/>
        <v>67.900000000000006</v>
      </c>
      <c r="AE80" s="74">
        <f t="shared" si="19"/>
        <v>38.299999999999997</v>
      </c>
      <c r="AF80" s="74">
        <f t="shared" si="19"/>
        <v>34.200000000000003</v>
      </c>
      <c r="AG80" s="79">
        <f t="shared" si="19"/>
        <v>0</v>
      </c>
      <c r="AH80" s="56">
        <f t="shared" si="16"/>
        <v>72.099999999999994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1706.2800000000002</v>
      </c>
      <c r="C81" s="74">
        <f t="shared" si="20"/>
        <v>1706.2800000000002</v>
      </c>
      <c r="D81" s="74">
        <f t="shared" si="20"/>
        <v>1678.4800000000002</v>
      </c>
      <c r="E81" s="74">
        <f t="shared" si="20"/>
        <v>1668.48</v>
      </c>
      <c r="F81" s="74">
        <f t="shared" si="20"/>
        <v>1674.0800000000002</v>
      </c>
      <c r="G81" s="74">
        <f t="shared" si="20"/>
        <v>1772.6799999999998</v>
      </c>
      <c r="H81" s="74">
        <f t="shared" si="20"/>
        <v>2004.48</v>
      </c>
      <c r="I81" s="74">
        <f t="shared" si="20"/>
        <v>2067.6799999999998</v>
      </c>
      <c r="J81" s="74">
        <f t="shared" si="20"/>
        <v>2139.6800000000003</v>
      </c>
      <c r="K81" s="74">
        <f t="shared" si="20"/>
        <v>2182.2800000000002</v>
      </c>
      <c r="L81" s="74">
        <f t="shared" si="20"/>
        <v>2330.2800000000002</v>
      </c>
      <c r="M81" s="74">
        <f t="shared" si="20"/>
        <v>2193.6800000000003</v>
      </c>
      <c r="N81" s="74">
        <f t="shared" si="20"/>
        <v>2106.48</v>
      </c>
      <c r="O81" s="74">
        <f t="shared" si="20"/>
        <v>2053.48</v>
      </c>
      <c r="P81" s="74">
        <f t="shared" si="20"/>
        <v>1994.6799999999998</v>
      </c>
      <c r="Q81" s="74">
        <f t="shared" si="20"/>
        <v>2000.08</v>
      </c>
      <c r="R81" s="74">
        <f t="shared" si="20"/>
        <v>1988.88</v>
      </c>
      <c r="S81" s="74">
        <f t="shared" si="20"/>
        <v>1964.48</v>
      </c>
      <c r="T81" s="74">
        <f t="shared" si="20"/>
        <v>2019.6800000000003</v>
      </c>
      <c r="U81" s="74">
        <f t="shared" si="20"/>
        <v>2102.48</v>
      </c>
      <c r="V81" s="74">
        <f t="shared" si="20"/>
        <v>2401.4799999999996</v>
      </c>
      <c r="W81" s="74">
        <f t="shared" si="20"/>
        <v>2677.08</v>
      </c>
      <c r="X81" s="74">
        <f t="shared" si="20"/>
        <v>2590.48</v>
      </c>
      <c r="Y81" s="74">
        <f t="shared" si="20"/>
        <v>2442.48</v>
      </c>
      <c r="Z81" s="74">
        <f t="shared" si="20"/>
        <v>2371.6800000000003</v>
      </c>
      <c r="AA81" s="74">
        <f t="shared" si="20"/>
        <v>2229.4800000000005</v>
      </c>
      <c r="AB81" s="74">
        <f t="shared" si="20"/>
        <v>2189.4800000000005</v>
      </c>
      <c r="AC81" s="74">
        <f t="shared" si="20"/>
        <v>2009.4800000000005</v>
      </c>
      <c r="AD81" s="74">
        <f t="shared" si="20"/>
        <v>1818.0800000000004</v>
      </c>
      <c r="AE81" s="74">
        <f t="shared" si="20"/>
        <v>1708.48</v>
      </c>
      <c r="AF81" s="74">
        <f t="shared" si="20"/>
        <v>1694.6800000000003</v>
      </c>
      <c r="AG81" s="79">
        <f t="shared" si="20"/>
        <v>4238.08</v>
      </c>
      <c r="AH81" s="56">
        <f t="shared" si="16"/>
        <v>2677.08</v>
      </c>
      <c r="AI81" s="57">
        <f t="shared" si="17"/>
        <v>1668.48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</v>
      </c>
      <c r="C82" s="96">
        <v>50.037999999999997</v>
      </c>
      <c r="D82" s="96">
        <v>50.014000000000003</v>
      </c>
      <c r="E82" s="96">
        <v>49.99</v>
      </c>
      <c r="F82" s="96">
        <v>50.018000000000001</v>
      </c>
      <c r="G82" s="96">
        <v>50.002000000000002</v>
      </c>
      <c r="H82" s="96">
        <v>50.067999999999998</v>
      </c>
      <c r="I82" s="96">
        <v>50.042999999999999</v>
      </c>
      <c r="J82" s="96">
        <v>50.006</v>
      </c>
      <c r="K82" s="96">
        <v>50.030999999999999</v>
      </c>
      <c r="L82" s="96">
        <v>50.097999999999999</v>
      </c>
      <c r="M82" s="96">
        <v>50.017000000000003</v>
      </c>
      <c r="N82" s="96">
        <v>50.05</v>
      </c>
      <c r="O82" s="96">
        <v>50.05</v>
      </c>
      <c r="P82" s="96">
        <v>50.05</v>
      </c>
      <c r="Q82" s="96">
        <v>50.081000000000003</v>
      </c>
      <c r="R82" s="96">
        <v>50.045999999999999</v>
      </c>
      <c r="S82" s="96">
        <v>49.966999999999999</v>
      </c>
      <c r="T82" s="96">
        <v>49.933999999999997</v>
      </c>
      <c r="U82" s="96">
        <v>49.741999999999997</v>
      </c>
      <c r="V82" s="96">
        <v>50.006999999999998</v>
      </c>
      <c r="W82" s="96">
        <v>49.91</v>
      </c>
      <c r="X82" s="96">
        <v>49.970999999999997</v>
      </c>
      <c r="Y82" s="96">
        <v>49.970999999999997</v>
      </c>
      <c r="Z82" s="96">
        <v>50.003999999999998</v>
      </c>
      <c r="AA82" s="96">
        <v>49.938000000000002</v>
      </c>
      <c r="AB82" s="96">
        <v>49.960999999999999</v>
      </c>
      <c r="AC82" s="96">
        <v>50.042000000000002</v>
      </c>
      <c r="AD82" s="96">
        <v>50</v>
      </c>
      <c r="AE82" s="96">
        <v>49.997999999999998</v>
      </c>
      <c r="AF82" s="96">
        <v>49.924999999999997</v>
      </c>
      <c r="AG82" s="98"/>
      <c r="AH82" s="56">
        <f t="shared" si="16"/>
        <v>50.097999999999999</v>
      </c>
      <c r="AI82" s="57">
        <f t="shared" si="17"/>
        <v>49.741999999999997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127</v>
      </c>
      <c r="C83" s="52">
        <v>126</v>
      </c>
      <c r="D83" s="52">
        <v>126.6</v>
      </c>
      <c r="E83" s="52">
        <v>126.9</v>
      </c>
      <c r="F83" s="52">
        <v>126.6</v>
      </c>
      <c r="G83" s="52">
        <v>125.3</v>
      </c>
      <c r="H83" s="52">
        <v>124.6</v>
      </c>
      <c r="I83" s="52">
        <v>125.2</v>
      </c>
      <c r="J83" s="52">
        <v>124.2</v>
      </c>
      <c r="K83" s="52">
        <v>124.5</v>
      </c>
      <c r="L83" s="52">
        <v>125.1</v>
      </c>
      <c r="M83" s="52">
        <v>125.7</v>
      </c>
      <c r="N83" s="52">
        <v>125.7</v>
      </c>
      <c r="O83" s="52">
        <v>127</v>
      </c>
      <c r="P83" s="52">
        <v>125.6</v>
      </c>
      <c r="Q83" s="52">
        <v>126.7</v>
      </c>
      <c r="R83" s="52">
        <v>126.1</v>
      </c>
      <c r="S83" s="52">
        <v>125.9</v>
      </c>
      <c r="T83" s="100">
        <v>125.8</v>
      </c>
      <c r="U83" s="100">
        <v>125.2</v>
      </c>
      <c r="V83" s="100">
        <v>123.9</v>
      </c>
      <c r="W83" s="100">
        <v>125.4</v>
      </c>
      <c r="X83" s="100">
        <v>125.5</v>
      </c>
      <c r="Y83" s="100">
        <v>125.5</v>
      </c>
      <c r="Z83" s="100">
        <v>126.5</v>
      </c>
      <c r="AA83" s="52">
        <v>126.3</v>
      </c>
      <c r="AB83" s="52">
        <v>126.3</v>
      </c>
      <c r="AC83" s="52">
        <v>127.2</v>
      </c>
      <c r="AD83" s="52">
        <v>127.9</v>
      </c>
      <c r="AE83" s="52">
        <v>127.7</v>
      </c>
      <c r="AF83" s="52">
        <v>128</v>
      </c>
      <c r="AG83" s="102"/>
      <c r="AH83" s="56">
        <f t="shared" si="16"/>
        <v>128</v>
      </c>
      <c r="AI83" s="57">
        <f t="shared" si="17"/>
        <v>123.9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</v>
      </c>
      <c r="C84" s="52">
        <v>130</v>
      </c>
      <c r="D84" s="52">
        <v>130.4</v>
      </c>
      <c r="E84" s="52">
        <v>130.6</v>
      </c>
      <c r="F84" s="52">
        <v>130.19999999999999</v>
      </c>
      <c r="G84" s="52">
        <v>129</v>
      </c>
      <c r="H84" s="52">
        <v>128.4</v>
      </c>
      <c r="I84" s="52">
        <v>128.9</v>
      </c>
      <c r="J84" s="52">
        <v>127.5</v>
      </c>
      <c r="K84" s="52">
        <v>127.3</v>
      </c>
      <c r="L84" s="52">
        <v>128.19999999999999</v>
      </c>
      <c r="M84" s="52">
        <v>128.30000000000001</v>
      </c>
      <c r="N84" s="52">
        <v>128.30000000000001</v>
      </c>
      <c r="O84" s="52">
        <v>129.5</v>
      </c>
      <c r="P84" s="52">
        <v>128.80000000000001</v>
      </c>
      <c r="Q84" s="52">
        <v>130</v>
      </c>
      <c r="R84" s="52">
        <v>129.4</v>
      </c>
      <c r="S84" s="52">
        <v>129.19999999999999</v>
      </c>
      <c r="T84" s="100">
        <v>66.099999999999994</v>
      </c>
      <c r="U84" s="100">
        <v>128.69999999999999</v>
      </c>
      <c r="V84" s="100">
        <v>127.2</v>
      </c>
      <c r="W84" s="100">
        <v>128.1</v>
      </c>
      <c r="X84" s="100">
        <v>128.6</v>
      </c>
      <c r="Y84" s="100">
        <v>128.6</v>
      </c>
      <c r="Z84" s="100">
        <v>129.19999999999999</v>
      </c>
      <c r="AA84" s="52">
        <v>129.6</v>
      </c>
      <c r="AB84" s="52">
        <v>129.4</v>
      </c>
      <c r="AC84" s="52">
        <v>130.69999999999999</v>
      </c>
      <c r="AD84" s="52">
        <v>131.30000000000001</v>
      </c>
      <c r="AE84" s="52">
        <v>131.19999999999999</v>
      </c>
      <c r="AF84" s="52">
        <v>131.69999999999999</v>
      </c>
      <c r="AG84" s="102"/>
      <c r="AH84" s="56">
        <f t="shared" si="16"/>
        <v>131.69999999999999</v>
      </c>
      <c r="AI84" s="57">
        <f t="shared" si="17"/>
        <v>66.099999999999994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>
        <v>129</v>
      </c>
      <c r="C85" s="52">
        <v>129</v>
      </c>
      <c r="D85" s="52">
        <v>129.69999999999999</v>
      </c>
      <c r="E85" s="52">
        <v>129.6</v>
      </c>
      <c r="F85" s="52">
        <v>129.19999999999999</v>
      </c>
      <c r="G85" s="52">
        <v>128.5</v>
      </c>
      <c r="H85" s="52">
        <v>125.8</v>
      </c>
      <c r="I85" s="52">
        <v>125.6</v>
      </c>
      <c r="J85" s="52">
        <v>127.7</v>
      </c>
      <c r="K85" s="52">
        <v>126.8</v>
      </c>
      <c r="L85" s="52">
        <v>128.1</v>
      </c>
      <c r="M85" s="52">
        <v>124</v>
      </c>
      <c r="N85" s="52">
        <v>124</v>
      </c>
      <c r="O85" s="52">
        <v>126.9</v>
      </c>
      <c r="P85" s="52">
        <v>128.5</v>
      </c>
      <c r="Q85" s="52">
        <v>127.7</v>
      </c>
      <c r="R85" s="52">
        <v>126.9</v>
      </c>
      <c r="S85" s="52">
        <v>129.80000000000001</v>
      </c>
      <c r="T85" s="52">
        <v>129.4</v>
      </c>
      <c r="U85" s="52">
        <v>128.4</v>
      </c>
      <c r="V85" s="52">
        <v>125.3</v>
      </c>
      <c r="W85" s="100">
        <v>128</v>
      </c>
      <c r="X85" s="100">
        <v>129.4</v>
      </c>
      <c r="Y85" s="100">
        <v>129.4</v>
      </c>
      <c r="Z85" s="100">
        <v>129</v>
      </c>
      <c r="AA85" s="52">
        <v>127.4</v>
      </c>
      <c r="AB85" s="52">
        <v>127.4</v>
      </c>
      <c r="AC85" s="52">
        <v>126.9</v>
      </c>
      <c r="AD85" s="52">
        <v>128.69999999999999</v>
      </c>
      <c r="AE85" s="52">
        <v>128.6</v>
      </c>
      <c r="AF85" s="52">
        <v>128.5</v>
      </c>
      <c r="AG85" s="102"/>
      <c r="AH85" s="56">
        <f t="shared" si="16"/>
        <v>129.80000000000001</v>
      </c>
      <c r="AI85" s="57">
        <f t="shared" si="17"/>
        <v>124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>
        <v>132</v>
      </c>
      <c r="C86" s="52">
        <v>132</v>
      </c>
      <c r="D86" s="52">
        <v>133.19999999999999</v>
      </c>
      <c r="E86" s="52">
        <v>133.19999999999999</v>
      </c>
      <c r="F86" s="52">
        <v>133</v>
      </c>
      <c r="G86" s="52">
        <v>132</v>
      </c>
      <c r="H86" s="52">
        <v>129</v>
      </c>
      <c r="I86" s="52">
        <v>128.69999999999999</v>
      </c>
      <c r="J86" s="52">
        <v>131.69999999999999</v>
      </c>
      <c r="K86" s="52">
        <v>130.19999999999999</v>
      </c>
      <c r="L86" s="52">
        <v>131.5</v>
      </c>
      <c r="M86" s="52" t="s">
        <v>240</v>
      </c>
      <c r="N86" s="52" t="s">
        <v>240</v>
      </c>
      <c r="O86" s="52">
        <v>130.30000000000001</v>
      </c>
      <c r="P86" s="52">
        <v>130.69999999999999</v>
      </c>
      <c r="Q86" s="52">
        <v>129.69999999999999</v>
      </c>
      <c r="R86" s="52">
        <v>130</v>
      </c>
      <c r="S86" s="52">
        <v>132</v>
      </c>
      <c r="T86" s="52">
        <v>131.80000000000001</v>
      </c>
      <c r="U86" s="52">
        <v>131</v>
      </c>
      <c r="V86" s="52">
        <v>128.5</v>
      </c>
      <c r="W86" s="100">
        <v>131.30000000000001</v>
      </c>
      <c r="X86" s="100">
        <v>133.5</v>
      </c>
      <c r="Y86" s="100">
        <v>133.5</v>
      </c>
      <c r="Z86" s="100">
        <v>133.5</v>
      </c>
      <c r="AA86" s="52">
        <v>132.9</v>
      </c>
      <c r="AB86" s="52">
        <v>132.4</v>
      </c>
      <c r="AC86" s="52">
        <v>130.80000000000001</v>
      </c>
      <c r="AD86" s="52">
        <v>132.69999999999999</v>
      </c>
      <c r="AE86" s="52">
        <v>132.4</v>
      </c>
      <c r="AF86" s="52">
        <v>132.4</v>
      </c>
      <c r="AG86" s="102"/>
      <c r="AH86" s="56">
        <f t="shared" si="16"/>
        <v>133.5</v>
      </c>
      <c r="AI86" s="57">
        <f t="shared" si="17"/>
        <v>128.5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134</v>
      </c>
      <c r="C87" s="104">
        <v>134</v>
      </c>
      <c r="D87" s="104">
        <v>134.9</v>
      </c>
      <c r="E87" s="104">
        <v>134</v>
      </c>
      <c r="F87" s="104">
        <v>134.30000000000001</v>
      </c>
      <c r="G87" s="104">
        <v>130.80000000000001</v>
      </c>
      <c r="H87" s="104">
        <v>134.19999999999999</v>
      </c>
      <c r="I87" s="104">
        <v>134.80000000000001</v>
      </c>
      <c r="J87" s="104">
        <v>136.1</v>
      </c>
      <c r="K87" s="104">
        <v>132.69999999999999</v>
      </c>
      <c r="L87" s="104">
        <v>134.4</v>
      </c>
      <c r="M87" s="104">
        <v>136.19999999999999</v>
      </c>
      <c r="N87" s="104">
        <v>136.19999999999999</v>
      </c>
      <c r="O87" s="104">
        <v>134.19999999999999</v>
      </c>
      <c r="P87" s="104">
        <v>133.5</v>
      </c>
      <c r="Q87" s="104">
        <v>133.30000000000001</v>
      </c>
      <c r="R87" s="104">
        <v>132.30000000000001</v>
      </c>
      <c r="S87" s="104">
        <v>132.69999999999999</v>
      </c>
      <c r="T87" s="104">
        <v>134.6</v>
      </c>
      <c r="U87" s="104">
        <v>135.69999999999999</v>
      </c>
      <c r="V87" s="104">
        <v>133.30000000000001</v>
      </c>
      <c r="W87" s="100">
        <v>134.1</v>
      </c>
      <c r="X87" s="100">
        <v>133.80000000000001</v>
      </c>
      <c r="Y87" s="100">
        <v>133.80000000000001</v>
      </c>
      <c r="Z87" s="100">
        <v>134.30000000000001</v>
      </c>
      <c r="AA87" s="104">
        <v>134.30000000000001</v>
      </c>
      <c r="AB87" s="104">
        <v>135.30000000000001</v>
      </c>
      <c r="AC87" s="104">
        <v>134.30000000000001</v>
      </c>
      <c r="AD87" s="104">
        <v>134.30000000000001</v>
      </c>
      <c r="AE87" s="104">
        <v>133.19999999999999</v>
      </c>
      <c r="AF87" s="104">
        <v>133.9</v>
      </c>
      <c r="AG87" s="106"/>
      <c r="AH87" s="56">
        <f t="shared" si="16"/>
        <v>136.19999999999999</v>
      </c>
      <c r="AI87" s="57">
        <f t="shared" si="17"/>
        <v>130.80000000000001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134</v>
      </c>
      <c r="C88" s="52">
        <v>134</v>
      </c>
      <c r="D88" s="52">
        <v>135.69999999999999</v>
      </c>
      <c r="E88" s="52">
        <v>134.5</v>
      </c>
      <c r="F88" s="52">
        <v>134.9</v>
      </c>
      <c r="G88" s="52">
        <v>130.69999999999999</v>
      </c>
      <c r="H88" s="52">
        <v>130.6</v>
      </c>
      <c r="I88" s="52">
        <v>130.80000000000001</v>
      </c>
      <c r="J88" s="52">
        <v>131.80000000000001</v>
      </c>
      <c r="K88" s="52">
        <v>127.5</v>
      </c>
      <c r="L88" s="52">
        <v>130.1</v>
      </c>
      <c r="M88" s="52">
        <v>133.69999999999999</v>
      </c>
      <c r="N88" s="52">
        <v>133.69999999999999</v>
      </c>
      <c r="O88" s="52">
        <v>133.69999999999999</v>
      </c>
      <c r="P88" s="52">
        <v>133.30000000000001</v>
      </c>
      <c r="Q88" s="52">
        <v>131.5</v>
      </c>
      <c r="R88" s="52">
        <v>129.5</v>
      </c>
      <c r="S88" s="52">
        <v>129.80000000000001</v>
      </c>
      <c r="T88" s="52">
        <v>131.4</v>
      </c>
      <c r="U88" s="52">
        <v>131.4</v>
      </c>
      <c r="V88" s="52">
        <v>127.4</v>
      </c>
      <c r="W88" s="100">
        <v>131.30000000000001</v>
      </c>
      <c r="X88" s="100">
        <v>130.6</v>
      </c>
      <c r="Y88" s="100">
        <v>130.6</v>
      </c>
      <c r="Z88" s="100">
        <v>133.9</v>
      </c>
      <c r="AA88" s="52">
        <v>134.5</v>
      </c>
      <c r="AB88" s="52">
        <v>134.6</v>
      </c>
      <c r="AC88" s="52">
        <v>134.6</v>
      </c>
      <c r="AD88" s="52">
        <v>134.69999999999999</v>
      </c>
      <c r="AE88" s="52">
        <v>133.6</v>
      </c>
      <c r="AF88" s="52">
        <v>134</v>
      </c>
      <c r="AG88" s="102"/>
      <c r="AH88" s="56">
        <f t="shared" si="16"/>
        <v>135.69999999999999</v>
      </c>
      <c r="AI88" s="57">
        <f t="shared" si="17"/>
        <v>127.4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66.599999999999994</v>
      </c>
      <c r="C89" s="107">
        <v>66.599999999999994</v>
      </c>
      <c r="D89" s="107">
        <v>66.8</v>
      </c>
      <c r="E89" s="107">
        <v>66.8</v>
      </c>
      <c r="F89" s="107">
        <v>66.5</v>
      </c>
      <c r="G89" s="107">
        <v>65.8</v>
      </c>
      <c r="H89" s="107">
        <v>65.400000000000006</v>
      </c>
      <c r="I89" s="107">
        <v>65.8</v>
      </c>
      <c r="J89" s="107">
        <v>65</v>
      </c>
      <c r="K89" s="107">
        <v>65.099999999999994</v>
      </c>
      <c r="L89" s="107">
        <v>65.400000000000006</v>
      </c>
      <c r="M89" s="107">
        <v>65.400000000000006</v>
      </c>
      <c r="N89" s="107">
        <v>65.400000000000006</v>
      </c>
      <c r="O89" s="107">
        <v>66</v>
      </c>
      <c r="P89" s="107">
        <v>65.900000000000006</v>
      </c>
      <c r="Q89" s="107">
        <v>66.400000000000006</v>
      </c>
      <c r="R89" s="107">
        <v>66</v>
      </c>
      <c r="S89" s="107">
        <v>66</v>
      </c>
      <c r="T89" s="107">
        <v>66</v>
      </c>
      <c r="U89" s="107">
        <v>65.8</v>
      </c>
      <c r="V89" s="107">
        <v>65.3</v>
      </c>
      <c r="W89" s="107">
        <v>65.5</v>
      </c>
      <c r="X89" s="107">
        <v>65.900000000000006</v>
      </c>
      <c r="Y89" s="107">
        <v>65.900000000000006</v>
      </c>
      <c r="Z89" s="107">
        <v>66.2</v>
      </c>
      <c r="AA89" s="107">
        <v>66</v>
      </c>
      <c r="AB89" s="107">
        <v>66.3</v>
      </c>
      <c r="AC89" s="107">
        <v>66.7</v>
      </c>
      <c r="AD89" s="107">
        <v>67.2</v>
      </c>
      <c r="AE89" s="107">
        <v>67.2</v>
      </c>
      <c r="AF89" s="107">
        <v>67.3</v>
      </c>
      <c r="AG89" s="109"/>
      <c r="AH89" s="56">
        <f t="shared" si="16"/>
        <v>67.3</v>
      </c>
      <c r="AI89" s="57">
        <f t="shared" si="17"/>
        <v>65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116.24</v>
      </c>
      <c r="C91" s="114">
        <f t="shared" ref="C91:AF91" si="21">SUM(C14,C17,C20:C21,C40,C42:C43,C45,C47,C92:C95,C100,C106,C112,C121,C123,C135,C142,C145:C146,C153,C155,C157,C161:C163,C165:C167,C172,C178:C179,C181:C183,C191,C196)</f>
        <v>114.83999999999999</v>
      </c>
      <c r="D91" s="114">
        <f t="shared" si="21"/>
        <v>112.74</v>
      </c>
      <c r="E91" s="114">
        <f t="shared" si="21"/>
        <v>116.53999999999998</v>
      </c>
      <c r="F91" s="115">
        <f t="shared" si="21"/>
        <v>138.83999999999997</v>
      </c>
      <c r="G91" s="115">
        <f t="shared" si="21"/>
        <v>154.43999999999997</v>
      </c>
      <c r="H91" s="115">
        <f t="shared" si="21"/>
        <v>179.33999999999997</v>
      </c>
      <c r="I91" s="115">
        <f t="shared" si="21"/>
        <v>204.83999999999997</v>
      </c>
      <c r="J91" s="115">
        <f t="shared" si="21"/>
        <v>226.74</v>
      </c>
      <c r="K91" s="115">
        <f t="shared" si="21"/>
        <v>240.84000000000003</v>
      </c>
      <c r="L91" s="115">
        <f t="shared" si="21"/>
        <v>260.24000000000012</v>
      </c>
      <c r="M91" s="115">
        <f t="shared" si="21"/>
        <v>266.34000000000003</v>
      </c>
      <c r="N91" s="115">
        <f t="shared" si="21"/>
        <v>256.04000000000002</v>
      </c>
      <c r="O91" s="115">
        <f t="shared" si="21"/>
        <v>249.33999999999997</v>
      </c>
      <c r="P91" s="115">
        <f t="shared" si="21"/>
        <v>220.43999999999997</v>
      </c>
      <c r="Q91" s="115">
        <f t="shared" si="21"/>
        <v>217.13999999999996</v>
      </c>
      <c r="R91" s="115">
        <f t="shared" si="21"/>
        <v>216.43999999999997</v>
      </c>
      <c r="S91" s="115">
        <f t="shared" si="21"/>
        <v>201.53999999999996</v>
      </c>
      <c r="T91" s="115">
        <f t="shared" si="21"/>
        <v>205.43999999999997</v>
      </c>
      <c r="U91" s="115">
        <f t="shared" si="21"/>
        <v>234.53999999999996</v>
      </c>
      <c r="V91" s="115">
        <f t="shared" si="21"/>
        <v>276.04000000000002</v>
      </c>
      <c r="W91" s="115">
        <f t="shared" si="21"/>
        <v>321.24</v>
      </c>
      <c r="X91" s="115">
        <f t="shared" si="21"/>
        <v>305.14</v>
      </c>
      <c r="Y91" s="115">
        <f t="shared" si="21"/>
        <v>305.14</v>
      </c>
      <c r="Z91" s="115">
        <f t="shared" si="21"/>
        <v>284.24</v>
      </c>
      <c r="AA91" s="115">
        <f t="shared" si="21"/>
        <v>256.34000000000003</v>
      </c>
      <c r="AB91" s="115">
        <f t="shared" si="21"/>
        <v>238.34</v>
      </c>
      <c r="AC91" s="115">
        <f t="shared" si="21"/>
        <v>215.23999999999998</v>
      </c>
      <c r="AD91" s="115">
        <f t="shared" si="21"/>
        <v>157.33999999999997</v>
      </c>
      <c r="AE91" s="115">
        <f t="shared" si="21"/>
        <v>134.54</v>
      </c>
      <c r="AF91" s="115">
        <f t="shared" si="21"/>
        <v>128.63999999999996</v>
      </c>
      <c r="AG91" s="116"/>
      <c r="AH91" s="56">
        <f>MAX(B91:AF91)</f>
        <v>321.24</v>
      </c>
      <c r="AI91" s="57">
        <f>MIN(B91:AF91)</f>
        <v>112.74</v>
      </c>
    </row>
    <row r="92" spans="1:88" x14ac:dyDescent="0.25">
      <c r="A92" s="117" t="s">
        <v>96</v>
      </c>
      <c r="B92" s="60">
        <v>35</v>
      </c>
      <c r="C92" s="60">
        <v>34.9</v>
      </c>
      <c r="D92" s="60">
        <v>40</v>
      </c>
      <c r="E92" s="60">
        <v>38.700000000000003</v>
      </c>
      <c r="F92" s="118">
        <v>35.799999999999997</v>
      </c>
      <c r="G92" s="118">
        <v>25</v>
      </c>
      <c r="H92" s="118">
        <v>27.3</v>
      </c>
      <c r="I92" s="118">
        <v>26.1</v>
      </c>
      <c r="J92" s="118">
        <v>27.4</v>
      </c>
      <c r="K92" s="118">
        <v>25.3</v>
      </c>
      <c r="L92" s="54">
        <v>26.3</v>
      </c>
      <c r="M92" s="118">
        <v>36</v>
      </c>
      <c r="N92" s="118">
        <v>41</v>
      </c>
      <c r="O92" s="118">
        <v>47.9</v>
      </c>
      <c r="P92" s="118">
        <v>30.4</v>
      </c>
      <c r="Q92" s="118">
        <v>32</v>
      </c>
      <c r="R92" s="118">
        <v>26.6</v>
      </c>
      <c r="S92" s="118">
        <v>21.3</v>
      </c>
      <c r="T92" s="54">
        <v>26.9</v>
      </c>
      <c r="U92" s="54">
        <v>31.6</v>
      </c>
      <c r="V92" s="54">
        <v>40.299999999999997</v>
      </c>
      <c r="W92" s="118">
        <v>19.399999999999999</v>
      </c>
      <c r="X92" s="118">
        <v>17.7</v>
      </c>
      <c r="Y92" s="118">
        <v>17.7</v>
      </c>
      <c r="Z92" s="118">
        <v>38.700000000000003</v>
      </c>
      <c r="AA92" s="54">
        <v>40.5</v>
      </c>
      <c r="AB92" s="54">
        <v>55.6</v>
      </c>
      <c r="AC92" s="54">
        <v>55.6</v>
      </c>
      <c r="AD92" s="54">
        <v>47.1</v>
      </c>
      <c r="AE92" s="54">
        <v>36.4</v>
      </c>
      <c r="AF92" s="119">
        <v>35.4</v>
      </c>
      <c r="AG92" s="120">
        <v>75</v>
      </c>
      <c r="AH92" s="56">
        <f t="shared" ref="AH92:AH97" si="22">IF(ABS(MAX(B92:AF92))&gt;ABS(MIN(B92:AF92)),MAX(B92:AF92),MIN(B92:AF92))</f>
        <v>55.6</v>
      </c>
      <c r="AI92" s="121">
        <f t="shared" ref="AI92:AI97" si="23">INDEX($B$9:$AF$9,1,MATCH(AH92,B92:AF92,0))</f>
        <v>0.85416666666666663</v>
      </c>
    </row>
    <row r="93" spans="1:88" x14ac:dyDescent="0.25">
      <c r="A93" s="122" t="s">
        <v>97</v>
      </c>
      <c r="B93" s="62">
        <v>-78</v>
      </c>
      <c r="C93" s="62">
        <v>-79</v>
      </c>
      <c r="D93" s="62">
        <v>-77.900000000000006</v>
      </c>
      <c r="E93" s="62">
        <v>-73</v>
      </c>
      <c r="F93" s="62">
        <v>-64.8</v>
      </c>
      <c r="G93" s="62">
        <v>-57.6</v>
      </c>
      <c r="H93" s="62">
        <v>-64.900000000000006</v>
      </c>
      <c r="I93" s="62">
        <v>-56.7</v>
      </c>
      <c r="J93" s="62">
        <v>-62</v>
      </c>
      <c r="K93" s="62">
        <v>-60.8</v>
      </c>
      <c r="L93" s="62">
        <v>-55.7</v>
      </c>
      <c r="M93" s="62">
        <v>-52</v>
      </c>
      <c r="N93" s="62">
        <v>-54</v>
      </c>
      <c r="O93" s="62">
        <f>-24-32.5</f>
        <v>-56.5</v>
      </c>
      <c r="P93" s="62">
        <f>-29.8-35.8</f>
        <v>-65.599999999999994</v>
      </c>
      <c r="Q93" s="62">
        <v>-66</v>
      </c>
      <c r="R93" s="62">
        <v>-68</v>
      </c>
      <c r="S93" s="62">
        <v>-66</v>
      </c>
      <c r="T93" s="62">
        <v>-67</v>
      </c>
      <c r="U93" s="62">
        <v>-55</v>
      </c>
      <c r="V93" s="62">
        <v>-49</v>
      </c>
      <c r="W93" s="62">
        <v>-33.799999999999997</v>
      </c>
      <c r="X93" s="62">
        <v>-37</v>
      </c>
      <c r="Y93" s="62">
        <v>-37</v>
      </c>
      <c r="Z93" s="62">
        <v>-46.1</v>
      </c>
      <c r="AA93" s="52">
        <v>-51</v>
      </c>
      <c r="AB93" s="52">
        <v>-60.6</v>
      </c>
      <c r="AC93" s="52">
        <v>-62.3</v>
      </c>
      <c r="AD93" s="52">
        <v>-63.5</v>
      </c>
      <c r="AE93" s="52">
        <v>-71</v>
      </c>
      <c r="AF93" s="123">
        <v>-71.900000000000006</v>
      </c>
      <c r="AG93" s="120">
        <v>240</v>
      </c>
      <c r="AH93" s="56">
        <f t="shared" si="22"/>
        <v>-79</v>
      </c>
      <c r="AI93" s="121">
        <f t="shared" si="23"/>
        <v>8.3333333333333301E-2</v>
      </c>
    </row>
    <row r="94" spans="1:88" x14ac:dyDescent="0.25">
      <c r="A94" s="122" t="s">
        <v>98</v>
      </c>
      <c r="B94" s="62">
        <v>-7.8</v>
      </c>
      <c r="C94" s="62">
        <v>-10.7</v>
      </c>
      <c r="D94" s="62">
        <v>-10.199999999999999</v>
      </c>
      <c r="E94" s="62">
        <v>-6</v>
      </c>
      <c r="F94" s="62">
        <v>-5.0999999999999996</v>
      </c>
      <c r="G94" s="62">
        <v>-0.8</v>
      </c>
      <c r="H94" s="62">
        <v>0</v>
      </c>
      <c r="I94" s="62">
        <v>0</v>
      </c>
      <c r="J94" s="62">
        <v>0</v>
      </c>
      <c r="K94" s="62">
        <v>1.3</v>
      </c>
      <c r="L94" s="62">
        <v>9.9</v>
      </c>
      <c r="M94" s="62">
        <v>24.8</v>
      </c>
      <c r="N94" s="62">
        <v>16</v>
      </c>
      <c r="O94" s="62">
        <v>8.1</v>
      </c>
      <c r="P94" s="62">
        <v>-0.3</v>
      </c>
      <c r="Q94" s="62">
        <v>2.2000000000000002</v>
      </c>
      <c r="R94" s="62">
        <v>1.1000000000000001</v>
      </c>
      <c r="S94" s="62">
        <v>1.2</v>
      </c>
      <c r="T94" s="62">
        <v>3.5</v>
      </c>
      <c r="U94" s="62">
        <v>6.2</v>
      </c>
      <c r="V94" s="62">
        <v>6.3</v>
      </c>
      <c r="W94" s="62">
        <v>26</v>
      </c>
      <c r="X94" s="62">
        <v>18.5</v>
      </c>
      <c r="Y94" s="62">
        <v>18.5</v>
      </c>
      <c r="Z94" s="62">
        <v>7.7</v>
      </c>
      <c r="AA94" s="52">
        <v>6.9</v>
      </c>
      <c r="AB94" s="52">
        <v>4.9000000000000004</v>
      </c>
      <c r="AC94" s="52">
        <v>4.4000000000000004</v>
      </c>
      <c r="AD94" s="52">
        <v>2</v>
      </c>
      <c r="AE94" s="52">
        <v>-4.0999999999999996</v>
      </c>
      <c r="AF94" s="123">
        <v>-3.7</v>
      </c>
      <c r="AG94" s="120">
        <v>60</v>
      </c>
      <c r="AH94" s="56">
        <f t="shared" si="22"/>
        <v>26</v>
      </c>
      <c r="AI94" s="121">
        <f t="shared" si="23"/>
        <v>0.75</v>
      </c>
    </row>
    <row r="95" spans="1:88" x14ac:dyDescent="0.25">
      <c r="A95" s="124" t="s">
        <v>99</v>
      </c>
      <c r="B95" s="65">
        <v>-16.399999999999999</v>
      </c>
      <c r="C95" s="65">
        <v>-13.8</v>
      </c>
      <c r="D95" s="65">
        <v>-14</v>
      </c>
      <c r="E95" s="65">
        <v>-13</v>
      </c>
      <c r="F95" s="65">
        <v>1.5</v>
      </c>
      <c r="G95" s="65">
        <v>16.399999999999999</v>
      </c>
      <c r="H95" s="65">
        <v>18.2</v>
      </c>
      <c r="I95" s="65">
        <v>26.7</v>
      </c>
      <c r="J95" s="65">
        <v>28.3</v>
      </c>
      <c r="K95" s="65">
        <v>39</v>
      </c>
      <c r="L95" s="65">
        <v>43.7</v>
      </c>
      <c r="M95" s="65">
        <v>21.5</v>
      </c>
      <c r="N95" s="65">
        <v>17</v>
      </c>
      <c r="O95" s="65">
        <v>13.7</v>
      </c>
      <c r="P95" s="65">
        <v>26.1</v>
      </c>
      <c r="Q95" s="65">
        <v>19.100000000000001</v>
      </c>
      <c r="R95" s="65">
        <v>21.1</v>
      </c>
      <c r="S95" s="65">
        <v>25</v>
      </c>
      <c r="T95" s="65">
        <v>20.6</v>
      </c>
      <c r="U95" s="65">
        <v>30.3</v>
      </c>
      <c r="V95" s="65">
        <v>47.5</v>
      </c>
      <c r="W95" s="65">
        <v>73.5</v>
      </c>
      <c r="X95" s="65">
        <v>69.8</v>
      </c>
      <c r="Y95" s="65">
        <v>69.8</v>
      </c>
      <c r="Z95" s="65">
        <v>47.8</v>
      </c>
      <c r="AA95" s="125">
        <v>33.4</v>
      </c>
      <c r="AB95" s="125">
        <v>11.9</v>
      </c>
      <c r="AC95" s="125">
        <v>0</v>
      </c>
      <c r="AD95" s="125">
        <v>-9.6</v>
      </c>
      <c r="AE95" s="125">
        <v>-8.1</v>
      </c>
      <c r="AF95" s="126">
        <v>-8.1999999999999993</v>
      </c>
      <c r="AG95" s="127">
        <v>120</v>
      </c>
      <c r="AH95" s="56">
        <f t="shared" si="22"/>
        <v>73.5</v>
      </c>
      <c r="AI95" s="121">
        <f t="shared" si="23"/>
        <v>0.75</v>
      </c>
    </row>
    <row r="96" spans="1:88" x14ac:dyDescent="0.25">
      <c r="A96" s="124" t="s">
        <v>100</v>
      </c>
      <c r="B96" s="65">
        <v>19</v>
      </c>
      <c r="C96" s="65">
        <v>22.3</v>
      </c>
      <c r="D96" s="65">
        <v>21.4</v>
      </c>
      <c r="E96" s="65">
        <v>17.600000000000001</v>
      </c>
      <c r="F96" s="65">
        <v>29.7</v>
      </c>
      <c r="G96" s="65">
        <v>40</v>
      </c>
      <c r="H96" s="65">
        <v>41.1</v>
      </c>
      <c r="I96" s="65">
        <v>46.2</v>
      </c>
      <c r="J96" s="65">
        <v>44.5</v>
      </c>
      <c r="K96" s="65">
        <v>49.9</v>
      </c>
      <c r="L96" s="65">
        <v>44.2</v>
      </c>
      <c r="M96" s="65">
        <v>27</v>
      </c>
      <c r="N96" s="65">
        <v>25</v>
      </c>
      <c r="O96" s="65">
        <v>23</v>
      </c>
      <c r="P96" s="65">
        <v>40.799999999999997</v>
      </c>
      <c r="Q96" s="65">
        <v>30</v>
      </c>
      <c r="R96" s="65">
        <v>33.9</v>
      </c>
      <c r="S96" s="65">
        <v>39.299999999999997</v>
      </c>
      <c r="T96" s="65">
        <v>35.4</v>
      </c>
      <c r="U96" s="65">
        <v>40.200000000000003</v>
      </c>
      <c r="V96" s="65">
        <v>45.5</v>
      </c>
      <c r="W96" s="65">
        <v>67.5</v>
      </c>
      <c r="X96" s="65">
        <v>65.8</v>
      </c>
      <c r="Y96" s="65">
        <v>65.8</v>
      </c>
      <c r="Z96" s="65">
        <v>52.3</v>
      </c>
      <c r="AA96" s="125">
        <v>44.3</v>
      </c>
      <c r="AB96" s="125">
        <v>25.6</v>
      </c>
      <c r="AC96" s="125">
        <v>23.4</v>
      </c>
      <c r="AD96" s="125">
        <v>16.5</v>
      </c>
      <c r="AE96" s="125">
        <v>23</v>
      </c>
      <c r="AF96" s="126">
        <v>22.8</v>
      </c>
      <c r="AG96" s="127"/>
      <c r="AH96" s="56">
        <f t="shared" si="22"/>
        <v>67.5</v>
      </c>
      <c r="AI96" s="121">
        <f t="shared" si="23"/>
        <v>0.75</v>
      </c>
    </row>
    <row r="97" spans="1:37" ht="15.75" thickBot="1" x14ac:dyDescent="0.3">
      <c r="A97" s="124" t="s">
        <v>101</v>
      </c>
      <c r="B97" s="65">
        <v>35.9</v>
      </c>
      <c r="C97" s="65">
        <v>39</v>
      </c>
      <c r="D97" s="65">
        <v>32</v>
      </c>
      <c r="E97" s="65">
        <v>37.1</v>
      </c>
      <c r="F97" s="65">
        <v>38.1</v>
      </c>
      <c r="G97" s="65">
        <v>46.8</v>
      </c>
      <c r="H97" s="65">
        <v>47.6</v>
      </c>
      <c r="I97" s="65">
        <v>41.6</v>
      </c>
      <c r="J97" s="65">
        <v>35.9</v>
      </c>
      <c r="K97" s="65">
        <v>42.7</v>
      </c>
      <c r="L97" s="65">
        <v>40.9</v>
      </c>
      <c r="M97" s="65">
        <v>30</v>
      </c>
      <c r="N97" s="65">
        <v>31</v>
      </c>
      <c r="O97" s="65">
        <v>31.4</v>
      </c>
      <c r="P97" s="65">
        <v>56</v>
      </c>
      <c r="Q97" s="65">
        <v>56</v>
      </c>
      <c r="R97" s="65">
        <v>54.1</v>
      </c>
      <c r="S97" s="65">
        <v>56.1</v>
      </c>
      <c r="T97" s="65">
        <v>47.5</v>
      </c>
      <c r="U97" s="65">
        <v>42.1</v>
      </c>
      <c r="V97" s="65">
        <v>48.9</v>
      </c>
      <c r="W97" s="65">
        <v>67.900000000000006</v>
      </c>
      <c r="X97" s="65">
        <v>67</v>
      </c>
      <c r="Y97" s="65">
        <v>67</v>
      </c>
      <c r="Z97" s="65">
        <v>51</v>
      </c>
      <c r="AA97" s="125">
        <v>37.4</v>
      </c>
      <c r="AB97" s="125">
        <v>22</v>
      </c>
      <c r="AC97" s="125">
        <v>25.8</v>
      </c>
      <c r="AD97" s="125">
        <v>17.7</v>
      </c>
      <c r="AE97" s="125">
        <v>27.9</v>
      </c>
      <c r="AF97" s="126">
        <v>31</v>
      </c>
      <c r="AG97" s="128"/>
      <c r="AH97" s="56">
        <f t="shared" si="22"/>
        <v>67.900000000000006</v>
      </c>
      <c r="AI97" s="121">
        <f t="shared" si="23"/>
        <v>0.75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1143.8399999999999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13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2078/07/13)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2078/07/13)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830.1400000000001</v>
      </c>
      <c r="U211" s="173">
        <f t="shared" si="52"/>
        <v>835.1400000000001</v>
      </c>
      <c r="V211" s="173">
        <f t="shared" si="52"/>
        <v>806.34</v>
      </c>
      <c r="W211" s="173">
        <f t="shared" si="52"/>
        <v>802.1400000000001</v>
      </c>
      <c r="X211" s="173">
        <f t="shared" si="52"/>
        <v>831.84</v>
      </c>
      <c r="Y211" s="173">
        <f t="shared" si="52"/>
        <v>879.24</v>
      </c>
      <c r="Z211" s="173">
        <f t="shared" si="52"/>
        <v>998.83999999999992</v>
      </c>
      <c r="AA211" s="173">
        <f t="shared" si="52"/>
        <v>1021.6400000000001</v>
      </c>
      <c r="AB211" s="173">
        <f t="shared" si="52"/>
        <v>1047.04</v>
      </c>
      <c r="AC211" s="173">
        <f t="shared" si="52"/>
        <v>1088.24</v>
      </c>
      <c r="AD211" s="173">
        <f t="shared" si="52"/>
        <v>1143.8399999999999</v>
      </c>
      <c r="AE211" s="173">
        <f t="shared" si="52"/>
        <v>1081.8400000000001</v>
      </c>
      <c r="AF211" s="173">
        <f t="shared" si="52"/>
        <v>1053.24</v>
      </c>
      <c r="AG211" s="173">
        <f t="shared" si="52"/>
        <v>1021.74</v>
      </c>
      <c r="AH211" s="173">
        <f t="shared" si="52"/>
        <v>988.33999999999992</v>
      </c>
      <c r="AI211" s="173">
        <f t="shared" si="52"/>
        <v>985.04</v>
      </c>
      <c r="AJ211" s="173">
        <f t="shared" si="52"/>
        <v>980.44</v>
      </c>
      <c r="AK211" s="173">
        <f t="shared" si="52"/>
        <v>958.24</v>
      </c>
      <c r="AL211" s="173">
        <f t="shared" si="52"/>
        <v>978.34000000000015</v>
      </c>
      <c r="AM211" s="173">
        <f t="shared" si="52"/>
        <v>1023.5400000000001</v>
      </c>
      <c r="AN211" s="173">
        <f t="shared" si="52"/>
        <v>1173.04</v>
      </c>
      <c r="AO211" s="173">
        <f t="shared" si="52"/>
        <v>1326.44</v>
      </c>
      <c r="AP211" s="173">
        <f t="shared" si="52"/>
        <v>1279.74</v>
      </c>
      <c r="AQ211" s="173">
        <f t="shared" si="52"/>
        <v>1205.74</v>
      </c>
      <c r="AR211" s="173">
        <f t="shared" si="52"/>
        <v>1176.54</v>
      </c>
      <c r="AS211" s="173">
        <f t="shared" si="52"/>
        <v>1090.2400000000002</v>
      </c>
      <c r="AT211" s="173">
        <f t="shared" si="52"/>
        <v>1022.6400000000002</v>
      </c>
      <c r="AU211" s="173">
        <f t="shared" si="52"/>
        <v>943.34000000000015</v>
      </c>
      <c r="AV211" s="173">
        <f t="shared" si="52"/>
        <v>841.1400000000001</v>
      </c>
      <c r="AW211" s="173">
        <f t="shared" si="52"/>
        <v>815.94</v>
      </c>
      <c r="AX211" s="173">
        <f t="shared" si="52"/>
        <v>813.1400000000001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571" priority="319">
      <formula>S$9&gt;=20/24</formula>
    </cfRule>
    <cfRule type="expression" dxfId="6570" priority="320">
      <formula>AND(S$9&gt;=14/24,S$9&lt;20/24)</formula>
    </cfRule>
    <cfRule type="expression" dxfId="6569" priority="321">
      <formula>AND(S$9&gt;=8/24,S$9&lt;14/24)</formula>
    </cfRule>
    <cfRule type="expression" dxfId="6568" priority="322">
      <formula>S$9&lt;8/24</formula>
    </cfRule>
  </conditionalFormatting>
  <conditionalFormatting sqref="B8:AF10 AA79:AF79 B79:Q79 B54:AF54 B80:AF80 C191:AF197 AE55:AF58 B66:AF70 T210:AX210 M37:Q37 L56:L57 Q38:W39 Z11:AD12 B72:AF76 B78:AF78 B61:C65 F55:K57 F58:L59 B55:E59 O38:P40 Q11:Y11 L11:P12 Q40 M56:N59 Q12:T12 T40:W40 O43:V46 O56:V65 W56 L51:AF53 W83:Z89 AD13 W58:Z65 W17:AC29 X38:AC40 AD27:AF30 AE12:AF13 AD38:AF41 AA82:AF89 AD15:AF25">
    <cfRule type="expression" dxfId="6567" priority="315">
      <formula>B$9&gt;=20/24</formula>
    </cfRule>
    <cfRule type="expression" dxfId="6566" priority="316">
      <formula>AND(B$9&gt;=14/24,B$9&lt;20/24)</formula>
    </cfRule>
    <cfRule type="expression" dxfId="6565" priority="317">
      <formula>AND(B$9&gt;=8/24,B$9&lt;14/24)</formula>
    </cfRule>
    <cfRule type="expression" dxfId="6564" priority="318">
      <formula>B$9&lt;8/24</formula>
    </cfRule>
  </conditionalFormatting>
  <conditionalFormatting sqref="B189:AF189">
    <cfRule type="expression" dxfId="6563" priority="311">
      <formula>B$9&gt;=20/24</formula>
    </cfRule>
    <cfRule type="expression" dxfId="6562" priority="312">
      <formula>AND(B$9&gt;=14/24,B$9&lt;20/24)</formula>
    </cfRule>
    <cfRule type="expression" dxfId="6561" priority="313">
      <formula>AND(B$9&gt;=8/24,B$9&lt;14/24)</formula>
    </cfRule>
    <cfRule type="expression" dxfId="6560" priority="314">
      <formula>B$9&lt;8/24</formula>
    </cfRule>
  </conditionalFormatting>
  <conditionalFormatting sqref="AL4:AL6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6559" priority="306">
      <formula>L$9&gt;=20/24</formula>
    </cfRule>
    <cfRule type="expression" dxfId="6558" priority="307">
      <formula>AND(L$9&gt;=14/24,L$9&lt;20/24)</formula>
    </cfRule>
    <cfRule type="expression" dxfId="6557" priority="308">
      <formula>AND(L$9&gt;=8/24,L$9&lt;14/24)</formula>
    </cfRule>
    <cfRule type="expression" dxfId="6556" priority="309">
      <formula>L$9&lt;8/24</formula>
    </cfRule>
  </conditionalFormatting>
  <conditionalFormatting sqref="O41:Q41">
    <cfRule type="expression" dxfId="6555" priority="302">
      <formula>O$9&gt;=20/24</formula>
    </cfRule>
    <cfRule type="expression" dxfId="6554" priority="303">
      <formula>AND(O$9&gt;=14/24,O$9&lt;20/24)</formula>
    </cfRule>
    <cfRule type="expression" dxfId="6553" priority="304">
      <formula>AND(O$9&gt;=8/24,O$9&lt;14/24)</formula>
    </cfRule>
    <cfRule type="expression" dxfId="6552" priority="305">
      <formula>O$9&lt;8/24</formula>
    </cfRule>
  </conditionalFormatting>
  <conditionalFormatting sqref="AD31:AF31">
    <cfRule type="expression" dxfId="6551" priority="298">
      <formula>AD$9&gt;=20/24</formula>
    </cfRule>
    <cfRule type="expression" dxfId="6550" priority="299">
      <formula>AND(AD$9&gt;=14/24,AD$9&lt;20/24)</formula>
    </cfRule>
    <cfRule type="expression" dxfId="6549" priority="300">
      <formula>AND(AD$9&gt;=8/24,AD$9&lt;14/24)</formula>
    </cfRule>
    <cfRule type="expression" dxfId="6548" priority="301">
      <formula>AD$9&lt;8/24</formula>
    </cfRule>
  </conditionalFormatting>
  <conditionalFormatting sqref="R37:AF37">
    <cfRule type="expression" dxfId="6547" priority="294">
      <formula>R$9&gt;=20/24</formula>
    </cfRule>
    <cfRule type="expression" dxfId="6546" priority="295">
      <formula>AND(R$9&gt;=14/24,R$9&lt;20/24)</formula>
    </cfRule>
    <cfRule type="expression" dxfId="6545" priority="296">
      <formula>AND(R$9&gt;=8/24,R$9&lt;14/24)</formula>
    </cfRule>
    <cfRule type="expression" dxfId="6544" priority="297">
      <formula>R$9&lt;8/24</formula>
    </cfRule>
  </conditionalFormatting>
  <conditionalFormatting sqref="R55:AD55">
    <cfRule type="expression" dxfId="6543" priority="290">
      <formula>R$9&gt;=20/24</formula>
    </cfRule>
    <cfRule type="expression" dxfId="6542" priority="291">
      <formula>AND(R$9&gt;=14/24,R$9&lt;20/24)</formula>
    </cfRule>
    <cfRule type="expression" dxfId="6541" priority="292">
      <formula>AND(R$9&gt;=8/24,R$9&lt;14/24)</formula>
    </cfRule>
    <cfRule type="expression" dxfId="6540" priority="293">
      <formula>R$9&lt;8/24</formula>
    </cfRule>
  </conditionalFormatting>
  <conditionalFormatting sqref="R79:Z79">
    <cfRule type="expression" dxfId="6539" priority="286">
      <formula>R$9&gt;=20/24</formula>
    </cfRule>
    <cfRule type="expression" dxfId="6538" priority="287">
      <formula>AND(R$9&gt;=14/24,R$9&lt;20/24)</formula>
    </cfRule>
    <cfRule type="expression" dxfId="6537" priority="288">
      <formula>AND(R$9&gt;=8/24,R$9&lt;14/24)</formula>
    </cfRule>
    <cfRule type="expression" dxfId="6536" priority="289">
      <formula>R$9&lt;8/24</formula>
    </cfRule>
  </conditionalFormatting>
  <conditionalFormatting sqref="T82:Z82">
    <cfRule type="expression" dxfId="6535" priority="282">
      <formula>T$9&gt;=20/24</formula>
    </cfRule>
    <cfRule type="expression" dxfId="6534" priority="283">
      <formula>AND(T$9&gt;=14/24,T$9&lt;20/24)</formula>
    </cfRule>
    <cfRule type="expression" dxfId="6533" priority="284">
      <formula>AND(T$9&gt;=8/24,T$9&lt;14/24)</formula>
    </cfRule>
    <cfRule type="expression" dxfId="6532" priority="285">
      <formula>T$9&lt;8/24</formula>
    </cfRule>
  </conditionalFormatting>
  <conditionalFormatting sqref="O47:V47">
    <cfRule type="expression" dxfId="6531" priority="274">
      <formula>O$9&gt;=20/24</formula>
    </cfRule>
    <cfRule type="expression" dxfId="6530" priority="275">
      <formula>AND(O$9&gt;=14/24,O$9&lt;20/24)</formula>
    </cfRule>
    <cfRule type="expression" dxfId="6529" priority="276">
      <formula>AND(O$9&gt;=8/24,O$9&lt;14/24)</formula>
    </cfRule>
    <cfRule type="expression" dxfId="6528" priority="277">
      <formula>O$9&lt;8/24</formula>
    </cfRule>
  </conditionalFormatting>
  <conditionalFormatting sqref="O43:V46">
    <cfRule type="expression" dxfId="6527" priority="266">
      <formula>O$9&gt;=20/24</formula>
    </cfRule>
    <cfRule type="expression" dxfId="6526" priority="267">
      <formula>AND(O$9&gt;=14/24,O$9&lt;20/24)</formula>
    </cfRule>
    <cfRule type="expression" dxfId="6525" priority="268">
      <formula>AND(O$9&gt;=8/24,O$9&lt;14/24)</formula>
    </cfRule>
    <cfRule type="expression" dxfId="6524" priority="269">
      <formula>O$9&lt;8/24</formula>
    </cfRule>
  </conditionalFormatting>
  <conditionalFormatting sqref="R35:AE35">
    <cfRule type="expression" dxfId="6523" priority="262">
      <formula>R$9&gt;=20/24</formula>
    </cfRule>
    <cfRule type="expression" dxfId="6522" priority="263">
      <formula>AND(R$9&gt;=14/24,R$9&lt;20/24)</formula>
    </cfRule>
    <cfRule type="expression" dxfId="6521" priority="264">
      <formula>AND(R$9&gt;=8/24,R$9&lt;14/24)</formula>
    </cfRule>
    <cfRule type="expression" dxfId="6520" priority="265">
      <formula>R$9&lt;8/24</formula>
    </cfRule>
  </conditionalFormatting>
  <conditionalFormatting sqref="W30:AC31 W33:AF33">
    <cfRule type="expression" dxfId="6519" priority="258">
      <formula>W$9&gt;=20/24</formula>
    </cfRule>
    <cfRule type="expression" dxfId="6518" priority="259">
      <formula>AND(W$9&gt;=14/24,W$9&lt;20/24)</formula>
    </cfRule>
    <cfRule type="expression" dxfId="6517" priority="260">
      <formula>AND(W$9&gt;=8/24,W$9&lt;14/24)</formula>
    </cfRule>
    <cfRule type="expression" dxfId="6516" priority="261">
      <formula>W$9&lt;8/24</formula>
    </cfRule>
  </conditionalFormatting>
  <conditionalFormatting sqref="R40:S41 T41:AC41 W43:AF46">
    <cfRule type="expression" dxfId="6515" priority="254">
      <formula>R$9&gt;=20/24</formula>
    </cfRule>
    <cfRule type="expression" dxfId="6514" priority="255">
      <formula>AND(R$9&gt;=14/24,R$9&lt;20/24)</formula>
    </cfRule>
    <cfRule type="expression" dxfId="6513" priority="256">
      <formula>AND(R$9&gt;=8/24,R$9&lt;14/24)</formula>
    </cfRule>
    <cfRule type="expression" dxfId="6512" priority="257">
      <formula>R$9&lt;8/24</formula>
    </cfRule>
  </conditionalFormatting>
  <conditionalFormatting sqref="W47:AF47">
    <cfRule type="expression" dxfId="6511" priority="250">
      <formula>W$9&gt;=20/24</formula>
    </cfRule>
    <cfRule type="expression" dxfId="6510" priority="251">
      <formula>AND(W$9&gt;=14/24,W$9&lt;20/24)</formula>
    </cfRule>
    <cfRule type="expression" dxfId="6509" priority="252">
      <formula>AND(W$9&gt;=8/24,W$9&lt;14/24)</formula>
    </cfRule>
    <cfRule type="expression" dxfId="6508" priority="253">
      <formula>W$9&lt;8/24</formula>
    </cfRule>
  </conditionalFormatting>
  <conditionalFormatting sqref="AE59:AF65 AA58:AD65">
    <cfRule type="expression" dxfId="6507" priority="242">
      <formula>AA$9&gt;=20/24</formula>
    </cfRule>
    <cfRule type="expression" dxfId="6506" priority="243">
      <formula>AND(AA$9&gt;=14/24,AA$9&lt;20/24)</formula>
    </cfRule>
    <cfRule type="expression" dxfId="6505" priority="244">
      <formula>AND(AA$9&gt;=8/24,AA$9&lt;14/24)</formula>
    </cfRule>
    <cfRule type="expression" dxfId="6504" priority="245">
      <formula>AA$9&lt;8/24</formula>
    </cfRule>
  </conditionalFormatting>
  <conditionalFormatting sqref="AA92:AF95">
    <cfRule type="expression" dxfId="6503" priority="238">
      <formula>AA$9&gt;=20/24</formula>
    </cfRule>
    <cfRule type="expression" dxfId="6502" priority="239">
      <formula>AND(AA$9&gt;=14/24,AA$9&lt;20/24)</formula>
    </cfRule>
    <cfRule type="expression" dxfId="6501" priority="240">
      <formula>AND(AA$9&gt;=8/24,AA$9&lt;14/24)</formula>
    </cfRule>
    <cfRule type="expression" dxfId="6500" priority="241">
      <formula>AA$9&lt;8/24</formula>
    </cfRule>
  </conditionalFormatting>
  <conditionalFormatting sqref="H61:H65 I60:K65 B60:H60">
    <cfRule type="expression" dxfId="6499" priority="234">
      <formula>B$9&gt;=20/24</formula>
    </cfRule>
    <cfRule type="expression" dxfId="6498" priority="235">
      <formula>AND(B$9&gt;=14/24,B$9&lt;20/24)</formula>
    </cfRule>
    <cfRule type="expression" dxfId="6497" priority="236">
      <formula>AND(B$9&gt;=8/24,B$9&lt;14/24)</formula>
    </cfRule>
    <cfRule type="expression" dxfId="6496" priority="237">
      <formula>B$9&lt;8/24</formula>
    </cfRule>
  </conditionalFormatting>
  <conditionalFormatting sqref="T92:Z95">
    <cfRule type="expression" dxfId="6495" priority="230">
      <formula>T$9&gt;=20/24</formula>
    </cfRule>
    <cfRule type="expression" dxfId="6494" priority="231">
      <formula>AND(T$9&gt;=14/24,T$9&lt;20/24)</formula>
    </cfRule>
    <cfRule type="expression" dxfId="6493" priority="232">
      <formula>AND(T$9&gt;=8/24,T$9&lt;14/24)</formula>
    </cfRule>
    <cfRule type="expression" dxfId="6492" priority="233">
      <formula>T$9&lt;8/24</formula>
    </cfRule>
  </conditionalFormatting>
  <conditionalFormatting sqref="AG49 Z12:AD12 B11:I13 B15:K31 J13:K13 B33:K35 B43:K48 B37:K41 M37:W37 Q11:AF11 J11:P12 Q12:T12 O38:W41 B36:AF36 B49:AF54 AD13 W17:AC31 R35:AF35 AE12:AF13 W33:AF34 O43:AF47 X37:AF41 AD15:AF31">
    <cfRule type="expression" dxfId="6491" priority="229">
      <formula>B11&gt;$AG11</formula>
    </cfRule>
  </conditionalFormatting>
  <conditionalFormatting sqref="A98:A154 A82:A95 A11:A13 A15:A31 A43:A70 A78:A80 A72:A76 A33:A41 A167:A198">
    <cfRule type="expression" dxfId="6490" priority="228">
      <formula>$AH11=0</formula>
    </cfRule>
  </conditionalFormatting>
  <conditionalFormatting sqref="AA96:AF96">
    <cfRule type="expression" dxfId="6489" priority="224">
      <formula>AA$9&gt;=20/24</formula>
    </cfRule>
    <cfRule type="expression" dxfId="6488" priority="225">
      <formula>AND(AA$9&gt;=14/24,AA$9&lt;20/24)</formula>
    </cfRule>
    <cfRule type="expression" dxfId="6487" priority="226">
      <formula>AND(AA$9&gt;=8/24,AA$9&lt;14/24)</formula>
    </cfRule>
    <cfRule type="expression" dxfId="6486" priority="227">
      <formula>AA$9&lt;8/24</formula>
    </cfRule>
  </conditionalFormatting>
  <conditionalFormatting sqref="T96:Z96">
    <cfRule type="expression" dxfId="6485" priority="220">
      <formula>T$9&gt;=20/24</formula>
    </cfRule>
    <cfRule type="expression" dxfId="6484" priority="221">
      <formula>AND(T$9&gt;=14/24,T$9&lt;20/24)</formula>
    </cfRule>
    <cfRule type="expression" dxfId="6483" priority="222">
      <formula>AND(T$9&gt;=8/24,T$9&lt;14/24)</formula>
    </cfRule>
    <cfRule type="expression" dxfId="6482" priority="223">
      <formula>T$9&lt;8/24</formula>
    </cfRule>
  </conditionalFormatting>
  <conditionalFormatting sqref="A96">
    <cfRule type="expression" dxfId="6481" priority="219">
      <formula>$AH96=0</formula>
    </cfRule>
  </conditionalFormatting>
  <conditionalFormatting sqref="W34:AF34">
    <cfRule type="expression" dxfId="6480" priority="215">
      <formula>W$9&gt;=20/24</formula>
    </cfRule>
    <cfRule type="expression" dxfId="6479" priority="216">
      <formula>AND(W$9&gt;=14/24,W$9&lt;20/24)</formula>
    </cfRule>
    <cfRule type="expression" dxfId="6478" priority="217">
      <formula>AND(W$9&gt;=8/24,W$9&lt;14/24)</formula>
    </cfRule>
    <cfRule type="expression" dxfId="6477" priority="218">
      <formula>W$9&lt;8/24</formula>
    </cfRule>
  </conditionalFormatting>
  <conditionalFormatting sqref="W34:AF34">
    <cfRule type="expression" dxfId="6476" priority="211">
      <formula>W$9&gt;=20/24</formula>
    </cfRule>
    <cfRule type="expression" dxfId="6475" priority="212">
      <formula>AND(W$9&gt;=14/24,W$9&lt;20/24)</formula>
    </cfRule>
    <cfRule type="expression" dxfId="6474" priority="213">
      <formula>AND(W$9&gt;=8/24,W$9&lt;14/24)</formula>
    </cfRule>
    <cfRule type="expression" dxfId="6473" priority="214">
      <formula>W$9&lt;8/24</formula>
    </cfRule>
  </conditionalFormatting>
  <conditionalFormatting sqref="B34:K34">
    <cfRule type="expression" dxfId="6472" priority="207">
      <formula>B$9&gt;=20/24</formula>
    </cfRule>
    <cfRule type="expression" dxfId="6471" priority="208">
      <formula>AND(B$9&gt;=14/24,B$9&lt;20/24)</formula>
    </cfRule>
    <cfRule type="expression" dxfId="6470" priority="209">
      <formula>AND(B$9&gt;=8/24,B$9&lt;14/24)</formula>
    </cfRule>
    <cfRule type="expression" dxfId="6469" priority="210">
      <formula>B$9&lt;8/24</formula>
    </cfRule>
  </conditionalFormatting>
  <conditionalFormatting sqref="D61:G65">
    <cfRule type="expression" dxfId="6468" priority="203">
      <formula>D$9&gt;=20/24</formula>
    </cfRule>
    <cfRule type="expression" dxfId="6467" priority="204">
      <formula>AND(D$9&gt;=14/24,D$9&lt;20/24)</formula>
    </cfRule>
    <cfRule type="expression" dxfId="6466" priority="205">
      <formula>AND(D$9&gt;=8/24,D$9&lt;14/24)</formula>
    </cfRule>
    <cfRule type="expression" dxfId="6465" priority="206">
      <formula>D$9&lt;8/24</formula>
    </cfRule>
  </conditionalFormatting>
  <conditionalFormatting sqref="L60:N65">
    <cfRule type="expression" dxfId="6464" priority="199">
      <formula>L$9&gt;=20/24</formula>
    </cfRule>
    <cfRule type="expression" dxfId="6463" priority="200">
      <formula>AND(L$9&gt;=14/24,L$9&lt;20/24)</formula>
    </cfRule>
    <cfRule type="expression" dxfId="6462" priority="201">
      <formula>AND(L$9&gt;=8/24,L$9&lt;14/24)</formula>
    </cfRule>
    <cfRule type="expression" dxfId="6461" priority="202">
      <formula>L$9&lt;8/24</formula>
    </cfRule>
  </conditionalFormatting>
  <conditionalFormatting sqref="AL31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D32:AF32">
    <cfRule type="expression" dxfId="6460" priority="194">
      <formula>AD$9&gt;=20/24</formula>
    </cfRule>
    <cfRule type="expression" dxfId="6459" priority="195">
      <formula>AND(AD$9&gt;=14/24,AD$9&lt;20/24)</formula>
    </cfRule>
    <cfRule type="expression" dxfId="6458" priority="196">
      <formula>AND(AD$9&gt;=8/24,AD$9&lt;14/24)</formula>
    </cfRule>
    <cfRule type="expression" dxfId="6457" priority="197">
      <formula>AD$9&lt;8/24</formula>
    </cfRule>
  </conditionalFormatting>
  <conditionalFormatting sqref="W32:AC32">
    <cfRule type="expression" dxfId="6456" priority="186">
      <formula>W$9&gt;=20/24</formula>
    </cfRule>
    <cfRule type="expression" dxfId="6455" priority="187">
      <formula>AND(W$9&gt;=14/24,W$9&lt;20/24)</formula>
    </cfRule>
    <cfRule type="expression" dxfId="6454" priority="188">
      <formula>AND(W$9&gt;=8/24,W$9&lt;14/24)</formula>
    </cfRule>
    <cfRule type="expression" dxfId="6453" priority="189">
      <formula>W$9&lt;8/24</formula>
    </cfRule>
  </conditionalFormatting>
  <conditionalFormatting sqref="B32:K32 W32:AF32">
    <cfRule type="expression" dxfId="6452" priority="185">
      <formula>B32&gt;$AG32</formula>
    </cfRule>
  </conditionalFormatting>
  <conditionalFormatting sqref="A32">
    <cfRule type="expression" dxfId="6451" priority="184">
      <formula>$AH32=0</formula>
    </cfRule>
  </conditionalFormatting>
  <conditionalFormatting sqref="B81:AF81">
    <cfRule type="expression" dxfId="6450" priority="180">
      <formula>B$9&gt;=20/24</formula>
    </cfRule>
    <cfRule type="expression" dxfId="6449" priority="181">
      <formula>AND(B$9&gt;=14/24,B$9&lt;20/24)</formula>
    </cfRule>
    <cfRule type="expression" dxfId="6448" priority="182">
      <formula>AND(B$9&gt;=8/24,B$9&lt;14/24)</formula>
    </cfRule>
    <cfRule type="expression" dxfId="6447" priority="183">
      <formula>B$9&lt;8/24</formula>
    </cfRule>
  </conditionalFormatting>
  <conditionalFormatting sqref="A81">
    <cfRule type="expression" dxfId="6446" priority="179">
      <formula>$AH81=0</formula>
    </cfRule>
  </conditionalFormatting>
  <conditionalFormatting sqref="AD14:AF14">
    <cfRule type="expression" dxfId="6445" priority="175">
      <formula>AD$9&gt;=20/24</formula>
    </cfRule>
    <cfRule type="expression" dxfId="6444" priority="176">
      <formula>AND(AD$9&gt;=14/24,AD$9&lt;20/24)</formula>
    </cfRule>
    <cfRule type="expression" dxfId="6443" priority="177">
      <formula>AND(AD$9&gt;=8/24,AD$9&lt;14/24)</formula>
    </cfRule>
    <cfRule type="expression" dxfId="6442" priority="178">
      <formula>AD$9&lt;8/24</formula>
    </cfRule>
  </conditionalFormatting>
  <conditionalFormatting sqref="B14:K14 AD14:AF14">
    <cfRule type="expression" dxfId="6441" priority="170">
      <formula>B14&gt;$AG14</formula>
    </cfRule>
  </conditionalFormatting>
  <conditionalFormatting sqref="A14">
    <cfRule type="expression" dxfId="6440" priority="169">
      <formula>$AH14=0</formula>
    </cfRule>
  </conditionalFormatting>
  <conditionalFormatting sqref="A161:A166">
    <cfRule type="expression" dxfId="6439" priority="168">
      <formula>$AH161=0</formula>
    </cfRule>
  </conditionalFormatting>
  <conditionalFormatting sqref="A155:A160">
    <cfRule type="expression" dxfId="6438" priority="167">
      <formula>$AH155=0</formula>
    </cfRule>
  </conditionalFormatting>
  <conditionalFormatting sqref="AD42:AF42">
    <cfRule type="expression" dxfId="6437" priority="163">
      <formula>AD$9&gt;=20/24</formula>
    </cfRule>
    <cfRule type="expression" dxfId="6436" priority="164">
      <formula>AND(AD$9&gt;=14/24,AD$9&lt;20/24)</formula>
    </cfRule>
    <cfRule type="expression" dxfId="6435" priority="165">
      <formula>AND(AD$9&gt;=8/24,AD$9&lt;14/24)</formula>
    </cfRule>
    <cfRule type="expression" dxfId="6434" priority="166">
      <formula>AD$9&lt;8/24</formula>
    </cfRule>
  </conditionalFormatting>
  <conditionalFormatting sqref="O42:V42">
    <cfRule type="expression" dxfId="6433" priority="159">
      <formula>O$9&gt;=20/24</formula>
    </cfRule>
    <cfRule type="expression" dxfId="6432" priority="160">
      <formula>AND(O$9&gt;=14/24,O$9&lt;20/24)</formula>
    </cfRule>
    <cfRule type="expression" dxfId="6431" priority="161">
      <formula>AND(O$9&gt;=8/24,O$9&lt;14/24)</formula>
    </cfRule>
    <cfRule type="expression" dxfId="6430" priority="162">
      <formula>O$9&lt;8/24</formula>
    </cfRule>
  </conditionalFormatting>
  <conditionalFormatting sqref="W42:AC42">
    <cfRule type="expression" dxfId="6429" priority="155">
      <formula>W$9&gt;=20/24</formula>
    </cfRule>
    <cfRule type="expression" dxfId="6428" priority="156">
      <formula>AND(W$9&gt;=14/24,W$9&lt;20/24)</formula>
    </cfRule>
    <cfRule type="expression" dxfId="6427" priority="157">
      <formula>AND(W$9&gt;=8/24,W$9&lt;14/24)</formula>
    </cfRule>
    <cfRule type="expression" dxfId="6426" priority="158">
      <formula>W$9&lt;8/24</formula>
    </cfRule>
  </conditionalFormatting>
  <conditionalFormatting sqref="B42:K42 O42:AF42">
    <cfRule type="expression" dxfId="6425" priority="154">
      <formula>B42&gt;$AG42</formula>
    </cfRule>
  </conditionalFormatting>
  <conditionalFormatting sqref="A42">
    <cfRule type="expression" dxfId="6424" priority="153">
      <formula>$AH42=0</formula>
    </cfRule>
  </conditionalFormatting>
  <conditionalFormatting sqref="B77:AF77">
    <cfRule type="expression" dxfId="6423" priority="149">
      <formula>B$9&gt;=20/24</formula>
    </cfRule>
    <cfRule type="expression" dxfId="6422" priority="150">
      <formula>AND(B$9&gt;=14/24,B$9&lt;20/24)</formula>
    </cfRule>
    <cfRule type="expression" dxfId="6421" priority="151">
      <formula>AND(B$9&gt;=8/24,B$9&lt;14/24)</formula>
    </cfRule>
    <cfRule type="expression" dxfId="6420" priority="152">
      <formula>B$9&lt;8/24</formula>
    </cfRule>
  </conditionalFormatting>
  <conditionalFormatting sqref="A77">
    <cfRule type="expression" dxfId="6419" priority="148">
      <formula>$AH77=0</formula>
    </cfRule>
  </conditionalFormatting>
  <conditionalFormatting sqref="B71:AG71">
    <cfRule type="expression" dxfId="6418" priority="144">
      <formula>B$9&gt;=20/24</formula>
    </cfRule>
    <cfRule type="expression" dxfId="6417" priority="145">
      <formula>AND(B$9&gt;=14/24,B$9&lt;20/24)</formula>
    </cfRule>
    <cfRule type="expression" dxfId="6416" priority="146">
      <formula>AND(B$9&gt;=8/24,B$9&lt;14/24)</formula>
    </cfRule>
    <cfRule type="expression" dxfId="6415" priority="147">
      <formula>B$9&lt;8/24</formula>
    </cfRule>
  </conditionalFormatting>
  <conditionalFormatting sqref="A71">
    <cfRule type="expression" dxfId="6414" priority="143">
      <formula>$AH71=0</formula>
    </cfRule>
  </conditionalFormatting>
  <conditionalFormatting sqref="AL32:AL33 AL7:AL30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T83:V89">
    <cfRule type="expression" dxfId="6413" priority="135">
      <formula>T$9&gt;=20/24</formula>
    </cfRule>
    <cfRule type="expression" dxfId="6412" priority="136">
      <formula>AND(T$9&gt;=14/24,T$9&lt;20/24)</formula>
    </cfRule>
    <cfRule type="expression" dxfId="6411" priority="137">
      <formula>AND(T$9&gt;=8/24,T$9&lt;14/24)</formula>
    </cfRule>
    <cfRule type="expression" dxfId="6410" priority="138">
      <formula>T$9&lt;8/24</formula>
    </cfRule>
  </conditionalFormatting>
  <conditionalFormatting sqref="R83:S89 B82:Q89">
    <cfRule type="expression" dxfId="6409" priority="131">
      <formula>B$9&gt;=20/24</formula>
    </cfRule>
    <cfRule type="expression" dxfId="6408" priority="132">
      <formula>AND(B$9&gt;=14/24,B$9&lt;20/24)</formula>
    </cfRule>
    <cfRule type="expression" dxfId="6407" priority="133">
      <formula>AND(B$9&gt;=8/24,B$9&lt;14/24)</formula>
    </cfRule>
    <cfRule type="expression" dxfId="6406" priority="134">
      <formula>B$9&lt;8/24</formula>
    </cfRule>
  </conditionalFormatting>
  <conditionalFormatting sqref="R82:S82">
    <cfRule type="expression" dxfId="6405" priority="127">
      <formula>R$9&gt;=20/24</formula>
    </cfRule>
    <cfRule type="expression" dxfId="6404" priority="128">
      <formula>AND(R$9&gt;=14/24,R$9&lt;20/24)</formula>
    </cfRule>
    <cfRule type="expression" dxfId="6403" priority="129">
      <formula>AND(R$9&gt;=8/24,R$9&lt;14/24)</formula>
    </cfRule>
    <cfRule type="expression" dxfId="6402" priority="130">
      <formula>R$9&lt;8/24</formula>
    </cfRule>
  </conditionalFormatting>
  <conditionalFormatting sqref="F93:L95 B92:E95">
    <cfRule type="expression" dxfId="6401" priority="123">
      <formula>B$9&gt;=20/24</formula>
    </cfRule>
    <cfRule type="expression" dxfId="6400" priority="124">
      <formula>AND(B$9&gt;=14/24,B$9&lt;20/24)</formula>
    </cfRule>
    <cfRule type="expression" dxfId="6399" priority="125">
      <formula>AND(B$9&gt;=8/24,B$9&lt;14/24)</formula>
    </cfRule>
    <cfRule type="expression" dxfId="6398" priority="126">
      <formula>B$9&lt;8/24</formula>
    </cfRule>
  </conditionalFormatting>
  <conditionalFormatting sqref="M93:Q95 N92:Q92">
    <cfRule type="expression" dxfId="6397" priority="119">
      <formula>M$9&gt;=20/24</formula>
    </cfRule>
    <cfRule type="expression" dxfId="6396" priority="120">
      <formula>AND(M$9&gt;=14/24,M$9&lt;20/24)</formula>
    </cfRule>
    <cfRule type="expression" dxfId="6395" priority="121">
      <formula>AND(M$9&gt;=8/24,M$9&lt;14/24)</formula>
    </cfRule>
    <cfRule type="expression" dxfId="6394" priority="122">
      <formula>M$9&lt;8/24</formula>
    </cfRule>
  </conditionalFormatting>
  <conditionalFormatting sqref="R92:S95">
    <cfRule type="expression" dxfId="6393" priority="115">
      <formula>R$9&gt;=20/24</formula>
    </cfRule>
    <cfRule type="expression" dxfId="6392" priority="116">
      <formula>AND(R$9&gt;=14/24,R$9&lt;20/24)</formula>
    </cfRule>
    <cfRule type="expression" dxfId="6391" priority="117">
      <formula>AND(R$9&gt;=8/24,R$9&lt;14/24)</formula>
    </cfRule>
    <cfRule type="expression" dxfId="6390" priority="118">
      <formula>R$9&lt;8/24</formula>
    </cfRule>
  </conditionalFormatting>
  <conditionalFormatting sqref="B96:L96">
    <cfRule type="expression" dxfId="6389" priority="111">
      <formula>B$9&gt;=20/24</formula>
    </cfRule>
    <cfRule type="expression" dxfId="6388" priority="112">
      <formula>AND(B$9&gt;=14/24,B$9&lt;20/24)</formula>
    </cfRule>
    <cfRule type="expression" dxfId="6387" priority="113">
      <formula>AND(B$9&gt;=8/24,B$9&lt;14/24)</formula>
    </cfRule>
    <cfRule type="expression" dxfId="6386" priority="114">
      <formula>B$9&lt;8/24</formula>
    </cfRule>
  </conditionalFormatting>
  <conditionalFormatting sqref="M96:Q96">
    <cfRule type="expression" dxfId="6385" priority="107">
      <formula>M$9&gt;=20/24</formula>
    </cfRule>
    <cfRule type="expression" dxfId="6384" priority="108">
      <formula>AND(M$9&gt;=14/24,M$9&lt;20/24)</formula>
    </cfRule>
    <cfRule type="expression" dxfId="6383" priority="109">
      <formula>AND(M$9&gt;=8/24,M$9&lt;14/24)</formula>
    </cfRule>
    <cfRule type="expression" dxfId="6382" priority="110">
      <formula>M$9&lt;8/24</formula>
    </cfRule>
  </conditionalFormatting>
  <conditionalFormatting sqref="R96:S96">
    <cfRule type="expression" dxfId="6381" priority="103">
      <formula>R$9&gt;=20/24</formula>
    </cfRule>
    <cfRule type="expression" dxfId="6380" priority="104">
      <formula>AND(R$9&gt;=14/24,R$9&lt;20/24)</formula>
    </cfRule>
    <cfRule type="expression" dxfId="6379" priority="105">
      <formula>AND(R$9&gt;=8/24,R$9&lt;14/24)</formula>
    </cfRule>
    <cfRule type="expression" dxfId="6378" priority="106">
      <formula>R$9&lt;8/24</formula>
    </cfRule>
  </conditionalFormatting>
  <conditionalFormatting sqref="L92:M92">
    <cfRule type="expression" dxfId="6377" priority="99">
      <formula>L$9&gt;=20/24</formula>
    </cfRule>
    <cfRule type="expression" dxfId="6376" priority="100">
      <formula>AND(L$9&gt;=14/24,L$9&lt;20/24)</formula>
    </cfRule>
    <cfRule type="expression" dxfId="6375" priority="101">
      <formula>AND(L$9&gt;=8/24,L$9&lt;14/24)</formula>
    </cfRule>
    <cfRule type="expression" dxfId="6374" priority="102">
      <formula>L$9&lt;8/24</formula>
    </cfRule>
  </conditionalFormatting>
  <conditionalFormatting sqref="F92:K92">
    <cfRule type="expression" dxfId="6373" priority="95">
      <formula>F$9&gt;=20/24</formula>
    </cfRule>
    <cfRule type="expression" dxfId="6372" priority="96">
      <formula>AND(F$9&gt;=14/24,F$9&lt;20/24)</formula>
    </cfRule>
    <cfRule type="expression" dxfId="6371" priority="97">
      <formula>AND(F$9&gt;=8/24,F$9&lt;14/24)</formula>
    </cfRule>
    <cfRule type="expression" dxfId="6370" priority="98">
      <formula>F$9&lt;8/24</formula>
    </cfRule>
  </conditionalFormatting>
  <conditionalFormatting sqref="T92:V92">
    <cfRule type="expression" dxfId="6369" priority="91">
      <formula>T$9&gt;=20/24</formula>
    </cfRule>
    <cfRule type="expression" dxfId="6368" priority="92">
      <formula>AND(T$9&gt;=14/24,T$9&lt;20/24)</formula>
    </cfRule>
    <cfRule type="expression" dxfId="6367" priority="93">
      <formula>AND(T$9&gt;=8/24,T$9&lt;14/24)</formula>
    </cfRule>
    <cfRule type="expression" dxfId="6366" priority="94">
      <formula>T$9&lt;8/24</formula>
    </cfRule>
  </conditionalFormatting>
  <conditionalFormatting sqref="M92:S92">
    <cfRule type="expression" dxfId="6365" priority="87">
      <formula>M$9&gt;=20/24</formula>
    </cfRule>
    <cfRule type="expression" dxfId="6364" priority="88">
      <formula>AND(M$9&gt;=14/24,M$9&lt;20/24)</formula>
    </cfRule>
    <cfRule type="expression" dxfId="6363" priority="89">
      <formula>AND(M$9&gt;=8/24,M$9&lt;14/24)</formula>
    </cfRule>
    <cfRule type="expression" dxfId="6362" priority="90">
      <formula>M$9&lt;8/24</formula>
    </cfRule>
  </conditionalFormatting>
  <conditionalFormatting sqref="AA97:AF97">
    <cfRule type="expression" dxfId="6361" priority="83">
      <formula>AA$9&gt;=20/24</formula>
    </cfRule>
    <cfRule type="expression" dxfId="6360" priority="84">
      <formula>AND(AA$9&gt;=14/24,AA$9&lt;20/24)</formula>
    </cfRule>
    <cfRule type="expression" dxfId="6359" priority="85">
      <formula>AND(AA$9&gt;=8/24,AA$9&lt;14/24)</formula>
    </cfRule>
    <cfRule type="expression" dxfId="6358" priority="86">
      <formula>AA$9&lt;8/24</formula>
    </cfRule>
  </conditionalFormatting>
  <conditionalFormatting sqref="T97:Z97">
    <cfRule type="expression" dxfId="6357" priority="79">
      <formula>T$9&gt;=20/24</formula>
    </cfRule>
    <cfRule type="expression" dxfId="6356" priority="80">
      <formula>AND(T$9&gt;=14/24,T$9&lt;20/24)</formula>
    </cfRule>
    <cfRule type="expression" dxfId="6355" priority="81">
      <formula>AND(T$9&gt;=8/24,T$9&lt;14/24)</formula>
    </cfRule>
    <cfRule type="expression" dxfId="6354" priority="82">
      <formula>T$9&lt;8/24</formula>
    </cfRule>
  </conditionalFormatting>
  <conditionalFormatting sqref="A97">
    <cfRule type="expression" dxfId="6353" priority="78">
      <formula>$AH97=0</formula>
    </cfRule>
  </conditionalFormatting>
  <conditionalFormatting sqref="B97:L97">
    <cfRule type="expression" dxfId="6352" priority="74">
      <formula>B$9&gt;=20/24</formula>
    </cfRule>
    <cfRule type="expression" dxfId="6351" priority="75">
      <formula>AND(B$9&gt;=14/24,B$9&lt;20/24)</formula>
    </cfRule>
    <cfRule type="expression" dxfId="6350" priority="76">
      <formula>AND(B$9&gt;=8/24,B$9&lt;14/24)</formula>
    </cfRule>
    <cfRule type="expression" dxfId="6349" priority="77">
      <formula>B$9&lt;8/24</formula>
    </cfRule>
  </conditionalFormatting>
  <conditionalFormatting sqref="M97:Q97">
    <cfRule type="expression" dxfId="6348" priority="70">
      <formula>M$9&gt;=20/24</formula>
    </cfRule>
    <cfRule type="expression" dxfId="6347" priority="71">
      <formula>AND(M$9&gt;=14/24,M$9&lt;20/24)</formula>
    </cfRule>
    <cfRule type="expression" dxfId="6346" priority="72">
      <formula>AND(M$9&gt;=8/24,M$9&lt;14/24)</formula>
    </cfRule>
    <cfRule type="expression" dxfId="6345" priority="73">
      <formula>M$9&lt;8/24</formula>
    </cfRule>
  </conditionalFormatting>
  <conditionalFormatting sqref="R97:S97">
    <cfRule type="expression" dxfId="6344" priority="66">
      <formula>R$9&gt;=20/24</formula>
    </cfRule>
    <cfRule type="expression" dxfId="6343" priority="67">
      <formula>AND(R$9&gt;=14/24,R$9&lt;20/24)</formula>
    </cfRule>
    <cfRule type="expression" dxfId="6342" priority="68">
      <formula>AND(R$9&gt;=8/24,R$9&lt;14/24)</formula>
    </cfRule>
    <cfRule type="expression" dxfId="6341" priority="69">
      <formula>R$9&lt;8/24</formula>
    </cfRule>
  </conditionalFormatting>
  <conditionalFormatting sqref="U12:W12 W13:W15 X12:Y15 Z13:AC15">
    <cfRule type="expression" dxfId="6340" priority="62">
      <formula>U$9&gt;=20/24</formula>
    </cfRule>
    <cfRule type="expression" dxfId="6339" priority="63">
      <formula>AND(U$9&gt;=14/24,U$9&lt;20/24)</formula>
    </cfRule>
    <cfRule type="expression" dxfId="6338" priority="64">
      <formula>AND(U$9&gt;=8/24,U$9&lt;14/24)</formula>
    </cfRule>
    <cfRule type="expression" dxfId="6337" priority="65">
      <formula>U$9&lt;8/24</formula>
    </cfRule>
  </conditionalFormatting>
  <conditionalFormatting sqref="W16:AC16">
    <cfRule type="expression" dxfId="6336" priority="58">
      <formula>W$9&gt;=20/24</formula>
    </cfRule>
    <cfRule type="expression" dxfId="6335" priority="59">
      <formula>AND(W$9&gt;=14/24,W$9&lt;20/24)</formula>
    </cfRule>
    <cfRule type="expression" dxfId="6334" priority="60">
      <formula>AND(W$9&gt;=8/24,W$9&lt;14/24)</formula>
    </cfRule>
    <cfRule type="expression" dxfId="6333" priority="61">
      <formula>W$9&lt;8/24</formula>
    </cfRule>
  </conditionalFormatting>
  <conditionalFormatting sqref="U12:Y12">
    <cfRule type="expression" dxfId="6332" priority="54">
      <formula>U$9&gt;=20/24</formula>
    </cfRule>
    <cfRule type="expression" dxfId="6331" priority="55">
      <formula>AND(U$9&gt;=14/24,U$9&lt;20/24)</formula>
    </cfRule>
    <cfRule type="expression" dxfId="6330" priority="56">
      <formula>AND(U$9&gt;=8/24,U$9&lt;14/24)</formula>
    </cfRule>
    <cfRule type="expression" dxfId="6329" priority="57">
      <formula>U$9&lt;8/24</formula>
    </cfRule>
  </conditionalFormatting>
  <conditionalFormatting sqref="AA56:AD57">
    <cfRule type="expression" dxfId="6328" priority="50">
      <formula>AA$9&gt;=20/24</formula>
    </cfRule>
    <cfRule type="expression" dxfId="6327" priority="51">
      <formula>AND(AA$9&gt;=14/24,AA$9&lt;20/24)</formula>
    </cfRule>
    <cfRule type="expression" dxfId="6326" priority="52">
      <formula>AND(AA$9&gt;=8/24,AA$9&lt;14/24)</formula>
    </cfRule>
    <cfRule type="expression" dxfId="6325" priority="53">
      <formula>AA$9&lt;8/24</formula>
    </cfRule>
  </conditionalFormatting>
  <conditionalFormatting sqref="L35:Q35 L15:V31 L13:V13">
    <cfRule type="expression" dxfId="6324" priority="46">
      <formula>L$9&gt;=20/24</formula>
    </cfRule>
    <cfRule type="expression" dxfId="6323" priority="47">
      <formula>AND(L$9&gt;=14/24,L$9&lt;20/24)</formula>
    </cfRule>
    <cfRule type="expression" dxfId="6322" priority="48">
      <formula>AND(L$9&gt;=8/24,L$9&lt;14/24)</formula>
    </cfRule>
    <cfRule type="expression" dxfId="6321" priority="49">
      <formula>L$9&lt;8/24</formula>
    </cfRule>
  </conditionalFormatting>
  <conditionalFormatting sqref="L33:V33">
    <cfRule type="expression" dxfId="6320" priority="42">
      <formula>L$9&gt;=20/24</formula>
    </cfRule>
    <cfRule type="expression" dxfId="6319" priority="43">
      <formula>AND(L$9&gt;=14/24,L$9&lt;20/24)</formula>
    </cfRule>
    <cfRule type="expression" dxfId="6318" priority="44">
      <formula>AND(L$9&gt;=8/24,L$9&lt;14/24)</formula>
    </cfRule>
    <cfRule type="expression" dxfId="6317" priority="45">
      <formula>L$9&lt;8/24</formula>
    </cfRule>
  </conditionalFormatting>
  <conditionalFormatting sqref="L33:Q35 L15:V31 L13:V13 R33:V34">
    <cfRule type="expression" dxfId="6316" priority="41">
      <formula>L13&gt;$AG13</formula>
    </cfRule>
  </conditionalFormatting>
  <conditionalFormatting sqref="L34:V34">
    <cfRule type="expression" dxfId="6315" priority="37">
      <formula>L$9&gt;=20/24</formula>
    </cfRule>
    <cfRule type="expression" dxfId="6314" priority="38">
      <formula>AND(L$9&gt;=14/24,L$9&lt;20/24)</formula>
    </cfRule>
    <cfRule type="expression" dxfId="6313" priority="39">
      <formula>AND(L$9&gt;=8/24,L$9&lt;14/24)</formula>
    </cfRule>
    <cfRule type="expression" dxfId="6312" priority="40">
      <formula>L$9&lt;8/24</formula>
    </cfRule>
  </conditionalFormatting>
  <conditionalFormatting sqref="L32:V32">
    <cfRule type="expression" dxfId="6311" priority="33">
      <formula>L$9&gt;=20/24</formula>
    </cfRule>
    <cfRule type="expression" dxfId="6310" priority="34">
      <formula>AND(L$9&gt;=14/24,L$9&lt;20/24)</formula>
    </cfRule>
    <cfRule type="expression" dxfId="6309" priority="35">
      <formula>AND(L$9&gt;=8/24,L$9&lt;14/24)</formula>
    </cfRule>
    <cfRule type="expression" dxfId="6308" priority="36">
      <formula>L$9&lt;8/24</formula>
    </cfRule>
  </conditionalFormatting>
  <conditionalFormatting sqref="L32:V32">
    <cfRule type="expression" dxfId="6307" priority="32">
      <formula>L32&gt;$AG32</formula>
    </cfRule>
  </conditionalFormatting>
  <conditionalFormatting sqref="L14:V14">
    <cfRule type="expression" dxfId="6306" priority="28">
      <formula>L$9&gt;=20/24</formula>
    </cfRule>
    <cfRule type="expression" dxfId="6305" priority="29">
      <formula>AND(L$9&gt;=14/24,L$9&lt;20/24)</formula>
    </cfRule>
    <cfRule type="expression" dxfId="6304" priority="30">
      <formula>AND(L$9&gt;=8/24,L$9&lt;14/24)</formula>
    </cfRule>
    <cfRule type="expression" dxfId="6303" priority="31">
      <formula>L$9&lt;8/24</formula>
    </cfRule>
  </conditionalFormatting>
  <conditionalFormatting sqref="L14:V14">
    <cfRule type="expression" dxfId="6302" priority="27">
      <formula>L14&gt;$AG14</formula>
    </cfRule>
  </conditionalFormatting>
  <conditionalFormatting sqref="L37:L40 M38:N40 L43:N46">
    <cfRule type="expression" dxfId="6301" priority="23">
      <formula>L$9&gt;=20/24</formula>
    </cfRule>
    <cfRule type="expression" dxfId="6300" priority="24">
      <formula>AND(L$9&gt;=14/24,L$9&lt;20/24)</formula>
    </cfRule>
    <cfRule type="expression" dxfId="6299" priority="25">
      <formula>AND(L$9&gt;=8/24,L$9&lt;14/24)</formula>
    </cfRule>
    <cfRule type="expression" dxfId="6298" priority="26">
      <formula>L$9&lt;8/24</formula>
    </cfRule>
  </conditionalFormatting>
  <conditionalFormatting sqref="L41:N41">
    <cfRule type="expression" dxfId="6297" priority="19">
      <formula>L$9&gt;=20/24</formula>
    </cfRule>
    <cfRule type="expression" dxfId="6296" priority="20">
      <formula>AND(L$9&gt;=14/24,L$9&lt;20/24)</formula>
    </cfRule>
    <cfRule type="expression" dxfId="6295" priority="21">
      <formula>AND(L$9&gt;=8/24,L$9&lt;14/24)</formula>
    </cfRule>
    <cfRule type="expression" dxfId="6294" priority="22">
      <formula>L$9&lt;8/24</formula>
    </cfRule>
  </conditionalFormatting>
  <conditionalFormatting sqref="L47:N47">
    <cfRule type="expression" dxfId="6293" priority="15">
      <formula>L$9&gt;=20/24</formula>
    </cfRule>
    <cfRule type="expression" dxfId="6292" priority="16">
      <formula>AND(L$9&gt;=14/24,L$9&lt;20/24)</formula>
    </cfRule>
    <cfRule type="expression" dxfId="6291" priority="17">
      <formula>AND(L$9&gt;=8/24,L$9&lt;14/24)</formula>
    </cfRule>
    <cfRule type="expression" dxfId="6290" priority="18">
      <formula>L$9&lt;8/24</formula>
    </cfRule>
  </conditionalFormatting>
  <conditionalFormatting sqref="L48:AF48">
    <cfRule type="expression" dxfId="6289" priority="11">
      <formula>L$9&gt;=20/24</formula>
    </cfRule>
    <cfRule type="expression" dxfId="6288" priority="12">
      <formula>AND(L$9&gt;=14/24,L$9&lt;20/24)</formula>
    </cfRule>
    <cfRule type="expression" dxfId="6287" priority="13">
      <formula>AND(L$9&gt;=8/24,L$9&lt;14/24)</formula>
    </cfRule>
    <cfRule type="expression" dxfId="6286" priority="14">
      <formula>L$9&lt;8/24</formula>
    </cfRule>
  </conditionalFormatting>
  <conditionalFormatting sqref="L43:N46">
    <cfRule type="expression" dxfId="6285" priority="7">
      <formula>L$9&gt;=20/24</formula>
    </cfRule>
    <cfRule type="expression" dxfId="6284" priority="8">
      <formula>AND(L$9&gt;=14/24,L$9&lt;20/24)</formula>
    </cfRule>
    <cfRule type="expression" dxfId="6283" priority="9">
      <formula>AND(L$9&gt;=8/24,L$9&lt;14/24)</formula>
    </cfRule>
    <cfRule type="expression" dxfId="6282" priority="10">
      <formula>L$9&lt;8/24</formula>
    </cfRule>
  </conditionalFormatting>
  <conditionalFormatting sqref="L37:L41 L43:N47 M38:N41 L48:AF48">
    <cfRule type="expression" dxfId="6281" priority="6">
      <formula>L37&gt;$AG37</formula>
    </cfRule>
  </conditionalFormatting>
  <conditionalFormatting sqref="L42:N42">
    <cfRule type="expression" dxfId="6280" priority="2">
      <formula>L$9&gt;=20/24</formula>
    </cfRule>
    <cfRule type="expression" dxfId="6279" priority="3">
      <formula>AND(L$9&gt;=14/24,L$9&lt;20/24)</formula>
    </cfRule>
    <cfRule type="expression" dxfId="6278" priority="4">
      <formula>AND(L$9&gt;=8/24,L$9&lt;14/24)</formula>
    </cfRule>
    <cfRule type="expression" dxfId="6277" priority="5">
      <formula>L$9&lt;8/24</formula>
    </cfRule>
  </conditionalFormatting>
  <conditionalFormatting sqref="L42:N42">
    <cfRule type="expression" dxfId="6276" priority="1">
      <formula>L42&gt;$AG42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Normal="10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27" sqref="L27:Q2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2078/07/14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-33.4</v>
      </c>
      <c r="C5" s="32">
        <f t="shared" ref="C5:AF5" si="0">C66</f>
        <v>-48.5</v>
      </c>
      <c r="D5" s="32">
        <f t="shared" si="0"/>
        <v>-57.1</v>
      </c>
      <c r="E5" s="32">
        <f t="shared" si="0"/>
        <v>-60.3</v>
      </c>
      <c r="F5" s="32">
        <f t="shared" si="0"/>
        <v>-43.3</v>
      </c>
      <c r="G5" s="32">
        <f t="shared" si="0"/>
        <v>-26</v>
      </c>
      <c r="H5" s="32">
        <f t="shared" si="0"/>
        <v>-26.6</v>
      </c>
      <c r="I5" s="32">
        <f t="shared" si="0"/>
        <v>0</v>
      </c>
      <c r="J5" s="32">
        <f t="shared" si="0"/>
        <v>-6.5</v>
      </c>
      <c r="K5" s="32">
        <f t="shared" si="0"/>
        <v>-4.2</v>
      </c>
      <c r="L5" s="32">
        <f t="shared" si="0"/>
        <v>-22.2</v>
      </c>
      <c r="M5" s="32">
        <f t="shared" si="0"/>
        <v>-5</v>
      </c>
      <c r="N5" s="32">
        <f t="shared" si="0"/>
        <v>-5</v>
      </c>
      <c r="O5" s="32">
        <f t="shared" si="0"/>
        <v>-20</v>
      </c>
      <c r="P5" s="32">
        <f t="shared" si="0"/>
        <v>-15</v>
      </c>
      <c r="Q5" s="32">
        <f t="shared" si="0"/>
        <v>-15</v>
      </c>
      <c r="R5" s="32">
        <f t="shared" si="0"/>
        <v>8.5</v>
      </c>
      <c r="S5" s="32">
        <f t="shared" si="0"/>
        <v>-23.7</v>
      </c>
      <c r="T5" s="32">
        <f t="shared" si="0"/>
        <v>-13.24</v>
      </c>
      <c r="U5" s="32">
        <f t="shared" si="0"/>
        <v>-4</v>
      </c>
      <c r="V5" s="32">
        <f t="shared" si="0"/>
        <v>-14</v>
      </c>
      <c r="W5" s="32">
        <f t="shared" si="0"/>
        <v>-15.5</v>
      </c>
      <c r="X5" s="32">
        <f t="shared" si="0"/>
        <v>-27.7</v>
      </c>
      <c r="Y5" s="32">
        <f t="shared" si="0"/>
        <v>-20.2</v>
      </c>
      <c r="Z5" s="32">
        <f t="shared" si="0"/>
        <v>-17</v>
      </c>
      <c r="AA5" s="32">
        <f t="shared" si="0"/>
        <v>-8.4</v>
      </c>
      <c r="AB5" s="32">
        <f t="shared" si="0"/>
        <v>-19.3</v>
      </c>
      <c r="AC5" s="32">
        <f t="shared" si="0"/>
        <v>-24.3</v>
      </c>
      <c r="AD5" s="32">
        <f t="shared" si="0"/>
        <v>-24.3</v>
      </c>
      <c r="AE5" s="32">
        <f t="shared" si="0"/>
        <v>-20</v>
      </c>
      <c r="AF5" s="32">
        <f t="shared" si="0"/>
        <v>-24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1175MW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Load=785</v>
      </c>
      <c r="B7" s="37">
        <f t="shared" ref="B7:AF7" si="1">B73</f>
        <v>817.93999999999994</v>
      </c>
      <c r="C7" s="37">
        <f t="shared" si="1"/>
        <v>796.44</v>
      </c>
      <c r="D7" s="37">
        <f t="shared" si="1"/>
        <v>791.04</v>
      </c>
      <c r="E7" s="37">
        <f t="shared" si="1"/>
        <v>784.54</v>
      </c>
      <c r="F7" s="37">
        <f t="shared" si="1"/>
        <v>818.33999999999992</v>
      </c>
      <c r="G7" s="37">
        <f t="shared" si="1"/>
        <v>835.64</v>
      </c>
      <c r="H7" s="37">
        <f t="shared" si="1"/>
        <v>961.44</v>
      </c>
      <c r="I7" s="37">
        <f t="shared" si="1"/>
        <v>1034.04</v>
      </c>
      <c r="J7" s="37">
        <f t="shared" si="1"/>
        <v>1116.24</v>
      </c>
      <c r="K7" s="37">
        <f t="shared" si="1"/>
        <v>1150.74</v>
      </c>
      <c r="L7" s="37">
        <f>L73</f>
        <v>1174.74</v>
      </c>
      <c r="M7" s="37">
        <f t="shared" si="1"/>
        <v>1142.74</v>
      </c>
      <c r="N7" s="37">
        <f t="shared" si="1"/>
        <v>1098.8400000000001</v>
      </c>
      <c r="O7" s="37">
        <f t="shared" si="1"/>
        <v>1087.44</v>
      </c>
      <c r="P7" s="37">
        <f t="shared" si="1"/>
        <v>1058.54</v>
      </c>
      <c r="Q7" s="37">
        <f t="shared" si="1"/>
        <v>1046.54</v>
      </c>
      <c r="R7" s="37">
        <f t="shared" si="1"/>
        <v>1084.3399999999999</v>
      </c>
      <c r="S7" s="37">
        <f t="shared" si="1"/>
        <v>1084.8399999999999</v>
      </c>
      <c r="T7" s="37">
        <f t="shared" si="1"/>
        <v>1090.8</v>
      </c>
      <c r="U7" s="37">
        <f t="shared" si="1"/>
        <v>1194.1399999999999</v>
      </c>
      <c r="V7" s="37">
        <f t="shared" si="1"/>
        <v>1222.8399999999999</v>
      </c>
      <c r="W7" s="37">
        <f t="shared" si="1"/>
        <v>1361.14</v>
      </c>
      <c r="X7" s="37">
        <f t="shared" si="1"/>
        <v>1308.1400000000001</v>
      </c>
      <c r="Y7" s="37">
        <f t="shared" si="1"/>
        <v>1245.6399999999999</v>
      </c>
      <c r="Z7" s="37">
        <f t="shared" si="1"/>
        <v>1180.44</v>
      </c>
      <c r="AA7" s="37">
        <f t="shared" si="1"/>
        <v>1115.04</v>
      </c>
      <c r="AB7" s="37">
        <f t="shared" si="1"/>
        <v>1033.6399999999999</v>
      </c>
      <c r="AC7" s="37">
        <f t="shared" si="1"/>
        <v>966.54</v>
      </c>
      <c r="AD7" s="37">
        <f t="shared" si="1"/>
        <v>881.04</v>
      </c>
      <c r="AE7" s="37">
        <f t="shared" si="1"/>
        <v>850.33999999999992</v>
      </c>
      <c r="AF7" s="37">
        <f t="shared" si="1"/>
        <v>837.7399999999999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70</v>
      </c>
      <c r="D11" s="49">
        <v>70</v>
      </c>
      <c r="E11" s="49">
        <v>70</v>
      </c>
      <c r="F11" s="49">
        <v>70</v>
      </c>
      <c r="G11" s="49">
        <v>70</v>
      </c>
      <c r="H11" s="49">
        <v>100</v>
      </c>
      <c r="I11" s="49">
        <v>120</v>
      </c>
      <c r="J11" s="49">
        <v>140</v>
      </c>
      <c r="K11" s="49">
        <v>140</v>
      </c>
      <c r="L11" s="50">
        <v>160</v>
      </c>
      <c r="M11" s="50">
        <v>200</v>
      </c>
      <c r="N11" s="50">
        <v>190</v>
      </c>
      <c r="O11" s="50">
        <v>190</v>
      </c>
      <c r="P11" s="50">
        <v>190</v>
      </c>
      <c r="Q11" s="51">
        <v>190</v>
      </c>
      <c r="R11" s="51">
        <v>200</v>
      </c>
      <c r="S11" s="51">
        <v>200</v>
      </c>
      <c r="T11" s="51">
        <v>180</v>
      </c>
      <c r="U11" s="51">
        <v>210</v>
      </c>
      <c r="V11" s="52">
        <v>240</v>
      </c>
      <c r="W11" s="52">
        <v>300</v>
      </c>
      <c r="X11" s="52">
        <v>280</v>
      </c>
      <c r="Y11" s="53">
        <v>240</v>
      </c>
      <c r="Z11" s="53">
        <v>180</v>
      </c>
      <c r="AA11" s="54">
        <v>120</v>
      </c>
      <c r="AB11" s="54">
        <v>90</v>
      </c>
      <c r="AC11" s="54">
        <v>70</v>
      </c>
      <c r="AD11" s="54">
        <v>70</v>
      </c>
      <c r="AE11" s="54">
        <v>70</v>
      </c>
      <c r="AF11" s="54">
        <v>70</v>
      </c>
      <c r="AG11" s="55">
        <v>456</v>
      </c>
      <c r="AH11" s="56">
        <f>MAX(B11:AF11)</f>
        <v>300</v>
      </c>
      <c r="AI11" s="57">
        <f>MIN(B11:AF11)</f>
        <v>70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60</v>
      </c>
      <c r="V12" s="49">
        <v>60</v>
      </c>
      <c r="W12" s="60">
        <v>60</v>
      </c>
      <c r="X12" s="60">
        <v>60</v>
      </c>
      <c r="Y12" s="50">
        <v>60</v>
      </c>
      <c r="Z12" s="50">
        <v>60</v>
      </c>
      <c r="AA12" s="50">
        <v>50</v>
      </c>
      <c r="AB12" s="50">
        <v>50</v>
      </c>
      <c r="AC12" s="50">
        <v>50</v>
      </c>
      <c r="AD12" s="50">
        <v>50</v>
      </c>
      <c r="AE12" s="50">
        <v>50</v>
      </c>
      <c r="AF12" s="50">
        <v>50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25.4</v>
      </c>
      <c r="C13" s="49">
        <v>25.4</v>
      </c>
      <c r="D13" s="49">
        <v>25.4</v>
      </c>
      <c r="E13" s="49">
        <v>25.4</v>
      </c>
      <c r="F13" s="49">
        <v>25.4</v>
      </c>
      <c r="G13" s="49">
        <v>25.4</v>
      </c>
      <c r="H13" s="49">
        <v>25</v>
      </c>
      <c r="I13" s="49">
        <v>25</v>
      </c>
      <c r="J13" s="49">
        <v>25</v>
      </c>
      <c r="K13" s="49">
        <v>25</v>
      </c>
      <c r="L13" s="50">
        <v>25</v>
      </c>
      <c r="M13" s="50">
        <v>25</v>
      </c>
      <c r="N13" s="50">
        <v>25</v>
      </c>
      <c r="O13" s="50">
        <v>25</v>
      </c>
      <c r="P13" s="50">
        <v>25</v>
      </c>
      <c r="Q13" s="50">
        <v>25.6</v>
      </c>
      <c r="R13" s="50">
        <v>25.6</v>
      </c>
      <c r="S13" s="50">
        <v>25.6</v>
      </c>
      <c r="T13" s="50">
        <v>25.6</v>
      </c>
      <c r="U13" s="50">
        <v>25.6</v>
      </c>
      <c r="V13" s="50">
        <v>25.6</v>
      </c>
      <c r="W13" s="62">
        <v>25.2</v>
      </c>
      <c r="X13" s="62">
        <v>25.2</v>
      </c>
      <c r="Y13" s="50">
        <v>25.2</v>
      </c>
      <c r="Z13" s="50">
        <v>25.2</v>
      </c>
      <c r="AA13" s="50">
        <v>25.2</v>
      </c>
      <c r="AB13" s="50">
        <v>25.2</v>
      </c>
      <c r="AC13" s="50">
        <v>25.2</v>
      </c>
      <c r="AD13" s="50">
        <v>25.2</v>
      </c>
      <c r="AE13" s="50">
        <v>25.2</v>
      </c>
      <c r="AF13" s="50">
        <v>25.2</v>
      </c>
      <c r="AG13" s="61">
        <v>52.4</v>
      </c>
      <c r="AH13" s="56">
        <f t="shared" si="2"/>
        <v>25.6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37.799999999999997</v>
      </c>
      <c r="C14" s="63">
        <v>37.799999999999997</v>
      </c>
      <c r="D14" s="63">
        <v>37.799999999999997</v>
      </c>
      <c r="E14" s="63">
        <v>37.799999999999997</v>
      </c>
      <c r="F14" s="63">
        <v>37.799999999999997</v>
      </c>
      <c r="G14" s="63">
        <v>37.799999999999997</v>
      </c>
      <c r="H14" s="63">
        <v>37.9</v>
      </c>
      <c r="I14" s="63">
        <v>37.9</v>
      </c>
      <c r="J14" s="63">
        <v>45.6</v>
      </c>
      <c r="K14" s="63">
        <v>46</v>
      </c>
      <c r="L14" s="50">
        <v>46</v>
      </c>
      <c r="M14" s="50">
        <v>46</v>
      </c>
      <c r="N14" s="50">
        <v>36</v>
      </c>
      <c r="O14" s="50">
        <v>36</v>
      </c>
      <c r="P14" s="50">
        <v>36</v>
      </c>
      <c r="Q14" s="50">
        <v>36.9</v>
      </c>
      <c r="R14" s="50">
        <v>36.9</v>
      </c>
      <c r="S14" s="50">
        <v>36.9</v>
      </c>
      <c r="T14" s="50">
        <v>36.9</v>
      </c>
      <c r="U14" s="50">
        <v>45.7</v>
      </c>
      <c r="V14" s="50">
        <v>45.7</v>
      </c>
      <c r="W14" s="62">
        <v>45.8</v>
      </c>
      <c r="X14" s="62">
        <v>45.8</v>
      </c>
      <c r="Y14" s="50">
        <v>41.6</v>
      </c>
      <c r="Z14" s="50">
        <v>41.6</v>
      </c>
      <c r="AA14" s="50">
        <v>41.6</v>
      </c>
      <c r="AB14" s="50">
        <v>41.6</v>
      </c>
      <c r="AC14" s="50">
        <v>41.6</v>
      </c>
      <c r="AD14" s="50">
        <v>41.6</v>
      </c>
      <c r="AE14" s="50">
        <v>41.6</v>
      </c>
      <c r="AF14" s="50">
        <v>36</v>
      </c>
      <c r="AG14" s="64">
        <v>45</v>
      </c>
      <c r="AH14" s="56">
        <f t="shared" si="2"/>
        <v>46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4</v>
      </c>
      <c r="C15" s="49">
        <v>4</v>
      </c>
      <c r="D15" s="49">
        <v>4</v>
      </c>
      <c r="E15" s="49">
        <v>4</v>
      </c>
      <c r="F15" s="49">
        <v>22</v>
      </c>
      <c r="G15" s="49">
        <v>22</v>
      </c>
      <c r="H15" s="49">
        <v>22</v>
      </c>
      <c r="I15" s="49">
        <v>22</v>
      </c>
      <c r="J15" s="49">
        <v>22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65">
        <v>26</v>
      </c>
      <c r="X15" s="65">
        <v>26</v>
      </c>
      <c r="Y15" s="50">
        <v>26</v>
      </c>
      <c r="Z15" s="50">
        <v>23</v>
      </c>
      <c r="AA15" s="50">
        <v>23</v>
      </c>
      <c r="AB15" s="50">
        <v>23</v>
      </c>
      <c r="AC15" s="50">
        <v>23</v>
      </c>
      <c r="AD15" s="50">
        <v>23</v>
      </c>
      <c r="AE15" s="50">
        <v>23</v>
      </c>
      <c r="AF15" s="50">
        <v>20</v>
      </c>
      <c r="AG15" s="61">
        <v>45</v>
      </c>
      <c r="AH15" s="56">
        <f t="shared" si="2"/>
        <v>26</v>
      </c>
      <c r="AI15" s="57">
        <f t="shared" si="3"/>
        <v>4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20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62">
        <v>25</v>
      </c>
      <c r="Y16" s="62">
        <v>25</v>
      </c>
      <c r="Z16" s="62">
        <v>25</v>
      </c>
      <c r="AA16" s="50">
        <v>25</v>
      </c>
      <c r="AB16" s="50">
        <v>25</v>
      </c>
      <c r="AC16" s="50">
        <v>20</v>
      </c>
      <c r="AD16" s="50">
        <v>20</v>
      </c>
      <c r="AE16" s="50">
        <v>20</v>
      </c>
      <c r="AF16" s="50">
        <v>20</v>
      </c>
      <c r="AG16" s="61">
        <v>42</v>
      </c>
      <c r="AH16" s="56">
        <f t="shared" si="2"/>
        <v>25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20</v>
      </c>
      <c r="AD17" s="50">
        <v>20</v>
      </c>
      <c r="AE17" s="50">
        <v>20</v>
      </c>
      <c r="AF17" s="50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22.7</v>
      </c>
      <c r="C18" s="49">
        <v>22.7</v>
      </c>
      <c r="D18" s="49">
        <v>22.7</v>
      </c>
      <c r="E18" s="49">
        <v>22.7</v>
      </c>
      <c r="F18" s="49">
        <v>22.7</v>
      </c>
      <c r="G18" s="49">
        <v>22.7</v>
      </c>
      <c r="H18" s="49">
        <v>22.7</v>
      </c>
      <c r="I18" s="49">
        <v>22.7</v>
      </c>
      <c r="J18" s="49">
        <v>25</v>
      </c>
      <c r="K18" s="49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25.4</v>
      </c>
      <c r="R18" s="50">
        <v>25.4</v>
      </c>
      <c r="S18" s="50">
        <v>25.4</v>
      </c>
      <c r="T18" s="50">
        <v>25.4</v>
      </c>
      <c r="U18" s="50">
        <v>25.4</v>
      </c>
      <c r="V18" s="50">
        <v>25.4</v>
      </c>
      <c r="W18" s="50">
        <v>25.3</v>
      </c>
      <c r="X18" s="50">
        <v>25.3</v>
      </c>
      <c r="Y18" s="50">
        <v>25.3</v>
      </c>
      <c r="Z18" s="50">
        <v>25.3</v>
      </c>
      <c r="AA18" s="50">
        <v>25.3</v>
      </c>
      <c r="AB18" s="50">
        <v>25.3</v>
      </c>
      <c r="AC18" s="50">
        <v>25.3</v>
      </c>
      <c r="AD18" s="50">
        <v>25.3</v>
      </c>
      <c r="AE18" s="50">
        <v>25.3</v>
      </c>
      <c r="AF18" s="50">
        <v>25.3</v>
      </c>
      <c r="AG18" s="61">
        <v>30</v>
      </c>
      <c r="AH18" s="56">
        <f t="shared" si="2"/>
        <v>25.4</v>
      </c>
      <c r="AI18" s="57">
        <f t="shared" si="3"/>
        <v>22.7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50">
        <v>6.2</v>
      </c>
      <c r="AF19" s="50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50">
        <v>11</v>
      </c>
      <c r="AF20" s="50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18</v>
      </c>
      <c r="C21" s="49">
        <v>18</v>
      </c>
      <c r="D21" s="49">
        <v>18</v>
      </c>
      <c r="E21" s="49">
        <v>18</v>
      </c>
      <c r="F21" s="49">
        <v>18</v>
      </c>
      <c r="G21" s="49">
        <v>18</v>
      </c>
      <c r="H21" s="49">
        <v>18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18</v>
      </c>
      <c r="AE21" s="50">
        <v>18</v>
      </c>
      <c r="AF21" s="50">
        <v>18</v>
      </c>
      <c r="AG21" s="61">
        <v>25</v>
      </c>
      <c r="AH21" s="56">
        <f t="shared" si="2"/>
        <v>22</v>
      </c>
      <c r="AI21" s="57">
        <f t="shared" si="3"/>
        <v>18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23.2</v>
      </c>
      <c r="C22" s="49">
        <v>23.2</v>
      </c>
      <c r="D22" s="49">
        <v>23.2</v>
      </c>
      <c r="E22" s="49">
        <v>23.2</v>
      </c>
      <c r="F22" s="49">
        <v>23.2</v>
      </c>
      <c r="G22" s="49">
        <v>23.2</v>
      </c>
      <c r="H22" s="49">
        <v>23.2</v>
      </c>
      <c r="I22" s="49">
        <v>23.2</v>
      </c>
      <c r="J22" s="49">
        <v>23.2</v>
      </c>
      <c r="K22" s="49">
        <v>23.2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18</v>
      </c>
      <c r="AD22" s="50">
        <v>18</v>
      </c>
      <c r="AE22" s="50">
        <v>18</v>
      </c>
      <c r="AF22" s="50">
        <v>18</v>
      </c>
      <c r="AG22" s="61">
        <v>25</v>
      </c>
      <c r="AH22" s="56">
        <f t="shared" si="2"/>
        <v>23.2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20</v>
      </c>
      <c r="C23" s="49">
        <v>20</v>
      </c>
      <c r="D23" s="49">
        <v>20</v>
      </c>
      <c r="E23" s="49">
        <v>20</v>
      </c>
      <c r="F23" s="49">
        <v>20</v>
      </c>
      <c r="G23" s="49">
        <v>20</v>
      </c>
      <c r="H23" s="49">
        <v>20</v>
      </c>
      <c r="I23" s="49">
        <v>20</v>
      </c>
      <c r="J23" s="49">
        <v>20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18</v>
      </c>
      <c r="AB23" s="50">
        <v>18</v>
      </c>
      <c r="AC23" s="50">
        <v>18</v>
      </c>
      <c r="AD23" s="50">
        <v>18</v>
      </c>
      <c r="AE23" s="50">
        <v>18</v>
      </c>
      <c r="AF23" s="50">
        <v>18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19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18</v>
      </c>
      <c r="AD24" s="50">
        <v>18</v>
      </c>
      <c r="AE24" s="50">
        <v>18</v>
      </c>
      <c r="AF24" s="50">
        <v>18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0</v>
      </c>
      <c r="C25" s="49">
        <v>0</v>
      </c>
      <c r="D25" s="49">
        <v>0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0">
        <v>4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4</v>
      </c>
      <c r="S25" s="50">
        <v>4</v>
      </c>
      <c r="T25" s="50">
        <v>4</v>
      </c>
      <c r="U25" s="50">
        <v>4</v>
      </c>
      <c r="V25" s="50">
        <v>4</v>
      </c>
      <c r="W25" s="50">
        <v>8</v>
      </c>
      <c r="X25" s="50">
        <v>8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50">
        <v>4</v>
      </c>
      <c r="AF25" s="50">
        <v>4</v>
      </c>
      <c r="AG25" s="61">
        <v>20</v>
      </c>
      <c r="AH25" s="56">
        <f>MAX(B25:AF25)</f>
        <v>8</v>
      </c>
      <c r="AI25" s="57">
        <f>MIN(B25:AF25)</f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15.1</v>
      </c>
      <c r="C26" s="49">
        <v>15.1</v>
      </c>
      <c r="D26" s="49">
        <v>15.1</v>
      </c>
      <c r="E26" s="49">
        <v>15.1</v>
      </c>
      <c r="F26" s="49">
        <v>15.1</v>
      </c>
      <c r="G26" s="49">
        <v>15.1</v>
      </c>
      <c r="H26" s="49">
        <v>15.1</v>
      </c>
      <c r="I26" s="49">
        <v>15.1</v>
      </c>
      <c r="J26" s="49">
        <v>15.1</v>
      </c>
      <c r="K26" s="49">
        <v>15.1</v>
      </c>
      <c r="L26" s="50">
        <v>15.1</v>
      </c>
      <c r="M26" s="50">
        <v>15.1</v>
      </c>
      <c r="N26" s="50">
        <v>15.1</v>
      </c>
      <c r="O26" s="50">
        <v>15.1</v>
      </c>
      <c r="P26" s="50">
        <v>15.1</v>
      </c>
      <c r="Q26" s="50">
        <v>15</v>
      </c>
      <c r="R26" s="50">
        <v>15</v>
      </c>
      <c r="S26" s="50">
        <v>15</v>
      </c>
      <c r="T26" s="50">
        <v>15</v>
      </c>
      <c r="U26" s="50">
        <v>15</v>
      </c>
      <c r="V26" s="50">
        <v>15</v>
      </c>
      <c r="W26" s="50">
        <v>15</v>
      </c>
      <c r="X26" s="50">
        <v>15</v>
      </c>
      <c r="Y26" s="50">
        <v>15</v>
      </c>
      <c r="Z26" s="50">
        <v>15</v>
      </c>
      <c r="AA26" s="49">
        <v>15</v>
      </c>
      <c r="AB26" s="49">
        <v>15</v>
      </c>
      <c r="AC26" s="49">
        <v>12</v>
      </c>
      <c r="AD26" s="49">
        <v>12</v>
      </c>
      <c r="AE26" s="49">
        <v>12</v>
      </c>
      <c r="AF26" s="49">
        <v>12</v>
      </c>
      <c r="AG26" s="61">
        <v>23.5</v>
      </c>
      <c r="AH26" s="56">
        <f t="shared" si="2"/>
        <v>15.1</v>
      </c>
      <c r="AI26" s="57">
        <f t="shared" si="3"/>
        <v>12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50">
        <v>6.8</v>
      </c>
      <c r="M27" s="50">
        <v>6.8</v>
      </c>
      <c r="N27" s="50">
        <v>6.8</v>
      </c>
      <c r="O27" s="50">
        <v>6.8</v>
      </c>
      <c r="P27" s="50">
        <v>6.8</v>
      </c>
      <c r="Q27" s="50">
        <v>6.8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61">
        <v>22.2</v>
      </c>
      <c r="AH27" s="56">
        <f t="shared" si="2"/>
        <v>6.8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50">
        <v>12</v>
      </c>
      <c r="AF29" s="50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0</v>
      </c>
      <c r="C32" s="63">
        <v>0</v>
      </c>
      <c r="D32" s="63">
        <v>0</v>
      </c>
      <c r="E32" s="63">
        <v>8.9</v>
      </c>
      <c r="F32" s="63">
        <v>8.9</v>
      </c>
      <c r="G32" s="63">
        <v>8.9</v>
      </c>
      <c r="H32" s="63">
        <v>8.9</v>
      </c>
      <c r="I32" s="63">
        <v>8.9</v>
      </c>
      <c r="J32" s="63">
        <v>8.9</v>
      </c>
      <c r="K32" s="63">
        <v>8.9</v>
      </c>
      <c r="L32" s="50">
        <v>8.9</v>
      </c>
      <c r="M32" s="50">
        <v>8.9</v>
      </c>
      <c r="N32" s="50">
        <v>8.9</v>
      </c>
      <c r="O32" s="50">
        <v>8.9</v>
      </c>
      <c r="P32" s="50">
        <v>8.9</v>
      </c>
      <c r="Q32" s="50">
        <v>8.9</v>
      </c>
      <c r="R32" s="50">
        <v>8.9</v>
      </c>
      <c r="S32" s="50">
        <v>8.9</v>
      </c>
      <c r="T32" s="50">
        <v>8.9</v>
      </c>
      <c r="U32" s="50">
        <v>8.9</v>
      </c>
      <c r="V32" s="50">
        <v>8.9</v>
      </c>
      <c r="W32" s="50">
        <v>8.9</v>
      </c>
      <c r="X32" s="50">
        <v>8.9</v>
      </c>
      <c r="Y32" s="50">
        <v>8.9</v>
      </c>
      <c r="Z32" s="50">
        <v>8.9</v>
      </c>
      <c r="AA32" s="50">
        <v>8.9</v>
      </c>
      <c r="AB32" s="50">
        <v>8.9</v>
      </c>
      <c r="AC32" s="50">
        <v>8.9</v>
      </c>
      <c r="AD32" s="50">
        <v>8.9</v>
      </c>
      <c r="AE32" s="50">
        <v>8.9</v>
      </c>
      <c r="AF32" s="50">
        <v>8.9</v>
      </c>
      <c r="AG32" s="69">
        <v>20</v>
      </c>
      <c r="AH32" s="56">
        <f t="shared" si="2"/>
        <v>8.9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220</v>
      </c>
      <c r="C34" s="63">
        <v>220</v>
      </c>
      <c r="D34" s="63">
        <v>220</v>
      </c>
      <c r="E34" s="63">
        <v>220</v>
      </c>
      <c r="F34" s="63">
        <v>220</v>
      </c>
      <c r="G34" s="63">
        <v>220</v>
      </c>
      <c r="H34" s="63">
        <v>220</v>
      </c>
      <c r="I34" s="63">
        <v>220</v>
      </c>
      <c r="J34" s="63">
        <v>220</v>
      </c>
      <c r="K34" s="63">
        <v>220</v>
      </c>
      <c r="L34" s="63">
        <v>220</v>
      </c>
      <c r="M34" s="63">
        <v>220</v>
      </c>
      <c r="N34" s="63">
        <v>220</v>
      </c>
      <c r="O34" s="63">
        <v>220</v>
      </c>
      <c r="P34" s="63">
        <v>220</v>
      </c>
      <c r="Q34" s="63">
        <v>220</v>
      </c>
      <c r="R34" s="63">
        <v>220</v>
      </c>
      <c r="S34" s="63">
        <v>220</v>
      </c>
      <c r="T34" s="63">
        <v>220</v>
      </c>
      <c r="U34" s="63">
        <v>220</v>
      </c>
      <c r="V34" s="63">
        <v>220</v>
      </c>
      <c r="W34" s="63">
        <v>220</v>
      </c>
      <c r="X34" s="63">
        <v>220</v>
      </c>
      <c r="Y34" s="63">
        <v>220</v>
      </c>
      <c r="Z34" s="63">
        <v>220</v>
      </c>
      <c r="AA34" s="63">
        <v>220</v>
      </c>
      <c r="AB34" s="63">
        <v>220</v>
      </c>
      <c r="AC34" s="63">
        <v>220</v>
      </c>
      <c r="AD34" s="63">
        <v>220</v>
      </c>
      <c r="AE34" s="63">
        <v>220</v>
      </c>
      <c r="AF34" s="63">
        <v>220</v>
      </c>
      <c r="AG34" s="69">
        <v>85</v>
      </c>
      <c r="AH34" s="56">
        <f t="shared" si="2"/>
        <v>220</v>
      </c>
      <c r="AI34" s="57">
        <f t="shared" si="3"/>
        <v>220</v>
      </c>
      <c r="AK34" s="58"/>
    </row>
    <row r="35" spans="1:88" ht="15.75" thickBot="1" x14ac:dyDescent="0.3">
      <c r="A35" s="71" t="s">
        <v>43</v>
      </c>
      <c r="B35" s="63">
        <v>113</v>
      </c>
      <c r="C35" s="63">
        <f>67.1+46.4</f>
        <v>113.5</v>
      </c>
      <c r="D35" s="63">
        <f>66.7+46.4</f>
        <v>113.1</v>
      </c>
      <c r="E35" s="63">
        <v>110</v>
      </c>
      <c r="F35" s="63">
        <v>112.1</v>
      </c>
      <c r="G35" s="63">
        <v>113</v>
      </c>
      <c r="H35" s="63">
        <v>111</v>
      </c>
      <c r="I35" s="63">
        <v>116</v>
      </c>
      <c r="J35" s="63">
        <v>120</v>
      </c>
      <c r="K35" s="63">
        <f>74.1+47.8</f>
        <v>121.89999999999999</v>
      </c>
      <c r="L35" s="72">
        <f>74.1+47.8</f>
        <v>121.89999999999999</v>
      </c>
      <c r="M35" s="72">
        <f>74+48</f>
        <v>122</v>
      </c>
      <c r="N35" s="72">
        <f>74+48</f>
        <v>122</v>
      </c>
      <c r="O35" s="72">
        <v>123</v>
      </c>
      <c r="P35" s="72">
        <f>74.3+49.3</f>
        <v>123.6</v>
      </c>
      <c r="Q35" s="72">
        <f>74.4+49.8</f>
        <v>124.2</v>
      </c>
      <c r="R35" s="72">
        <f>74.4+49.8</f>
        <v>124.2</v>
      </c>
      <c r="S35" s="72">
        <f>74.4+49.8</f>
        <v>124.2</v>
      </c>
      <c r="T35" s="72">
        <v>123.3</v>
      </c>
      <c r="U35" s="72">
        <v>121</v>
      </c>
      <c r="V35" s="72">
        <v>121</v>
      </c>
      <c r="W35" s="72">
        <v>118.8</v>
      </c>
      <c r="X35" s="72">
        <f>72.9+46.3</f>
        <v>119.2</v>
      </c>
      <c r="Y35" s="72">
        <v>119.7</v>
      </c>
      <c r="Z35" s="72">
        <v>119.7</v>
      </c>
      <c r="AA35" s="72">
        <v>120.3</v>
      </c>
      <c r="AB35" s="72">
        <v>120.3</v>
      </c>
      <c r="AC35" s="72">
        <v>108.2</v>
      </c>
      <c r="AD35" s="72">
        <f>45.14+63.1</f>
        <v>108.24000000000001</v>
      </c>
      <c r="AE35" s="72">
        <f>46.3+57.9</f>
        <v>104.19999999999999</v>
      </c>
      <c r="AF35" s="72">
        <f>46.3+57.9</f>
        <v>104.19999999999999</v>
      </c>
      <c r="AG35" s="69">
        <v>240</v>
      </c>
      <c r="AH35" s="56">
        <f t="shared" si="2"/>
        <v>124.2</v>
      </c>
      <c r="AI35" s="57">
        <f t="shared" si="3"/>
        <v>104.19999999999999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583.4</v>
      </c>
      <c r="C36" s="74">
        <f t="shared" si="4"/>
        <v>583.4</v>
      </c>
      <c r="D36" s="74">
        <f t="shared" si="4"/>
        <v>583.4</v>
      </c>
      <c r="E36" s="74">
        <f t="shared" si="4"/>
        <v>596.29999999999995</v>
      </c>
      <c r="F36" s="74">
        <f t="shared" si="4"/>
        <v>614.29999999999995</v>
      </c>
      <c r="G36" s="74">
        <f t="shared" si="4"/>
        <v>614.29999999999995</v>
      </c>
      <c r="H36" s="74">
        <f t="shared" si="4"/>
        <v>664</v>
      </c>
      <c r="I36" s="74">
        <f t="shared" si="4"/>
        <v>688</v>
      </c>
      <c r="J36" s="74">
        <f t="shared" si="4"/>
        <v>729</v>
      </c>
      <c r="K36" s="74">
        <f t="shared" si="4"/>
        <v>738.4</v>
      </c>
      <c r="L36" s="74">
        <f t="shared" si="4"/>
        <v>763.99999999999989</v>
      </c>
      <c r="M36" s="74">
        <f t="shared" si="4"/>
        <v>804</v>
      </c>
      <c r="N36" s="74">
        <f t="shared" si="4"/>
        <v>784</v>
      </c>
      <c r="O36" s="74">
        <f t="shared" si="4"/>
        <v>784</v>
      </c>
      <c r="P36" s="74">
        <f t="shared" si="4"/>
        <v>763.99999999999989</v>
      </c>
      <c r="Q36" s="74">
        <f t="shared" si="4"/>
        <v>765.79999999999984</v>
      </c>
      <c r="R36" s="74">
        <f t="shared" si="4"/>
        <v>768.99999999999989</v>
      </c>
      <c r="S36" s="74">
        <f t="shared" si="4"/>
        <v>768.99999999999989</v>
      </c>
      <c r="T36" s="74">
        <f t="shared" si="4"/>
        <v>748.99999999999989</v>
      </c>
      <c r="U36" s="74">
        <f t="shared" si="4"/>
        <v>807.8</v>
      </c>
      <c r="V36" s="74">
        <f t="shared" si="4"/>
        <v>837.8</v>
      </c>
      <c r="W36" s="74">
        <f t="shared" si="4"/>
        <v>901.4</v>
      </c>
      <c r="X36" s="74">
        <f t="shared" si="4"/>
        <v>881.4</v>
      </c>
      <c r="Y36" s="74">
        <f t="shared" si="4"/>
        <v>833.19999999999993</v>
      </c>
      <c r="Z36" s="74">
        <f t="shared" si="4"/>
        <v>770.19999999999993</v>
      </c>
      <c r="AA36" s="74">
        <f t="shared" si="4"/>
        <v>696.19999999999993</v>
      </c>
      <c r="AB36" s="74">
        <f t="shared" si="4"/>
        <v>666.19999999999993</v>
      </c>
      <c r="AC36" s="74">
        <f t="shared" si="4"/>
        <v>625.19999999999993</v>
      </c>
      <c r="AD36" s="74">
        <f t="shared" si="4"/>
        <v>621.19999999999993</v>
      </c>
      <c r="AE36" s="74">
        <f t="shared" si="4"/>
        <v>621.19999999999993</v>
      </c>
      <c r="AF36" s="74">
        <f t="shared" si="4"/>
        <v>612.59999999999991</v>
      </c>
      <c r="AG36" s="69">
        <f>SUM(AG11:AG35)</f>
        <v>1431.83</v>
      </c>
      <c r="AH36" s="56">
        <f t="shared" si="2"/>
        <v>901.4</v>
      </c>
      <c r="AI36" s="57">
        <f t="shared" si="3"/>
        <v>583.4</v>
      </c>
      <c r="AK36" s="58"/>
    </row>
    <row r="37" spans="1:88" x14ac:dyDescent="0.25">
      <c r="A37" s="59" t="s">
        <v>45</v>
      </c>
      <c r="B37" s="63">
        <v>103.6</v>
      </c>
      <c r="C37" s="63">
        <v>97.2</v>
      </c>
      <c r="D37" s="63">
        <v>99.1</v>
      </c>
      <c r="E37" s="63">
        <v>71.900000000000006</v>
      </c>
      <c r="F37" s="63">
        <v>70.599999999999994</v>
      </c>
      <c r="G37" s="63">
        <v>70.599999999999994</v>
      </c>
      <c r="H37" s="63">
        <v>98</v>
      </c>
      <c r="I37" s="63">
        <v>120</v>
      </c>
      <c r="J37" s="63">
        <v>145.6</v>
      </c>
      <c r="K37" s="63">
        <v>145.6</v>
      </c>
      <c r="L37" s="50">
        <v>145.19999999999999</v>
      </c>
      <c r="M37" s="50">
        <v>110</v>
      </c>
      <c r="N37" s="50">
        <v>102</v>
      </c>
      <c r="O37" s="50">
        <v>102</v>
      </c>
      <c r="P37" s="50">
        <v>111.4</v>
      </c>
      <c r="Q37" s="50">
        <v>103.6</v>
      </c>
      <c r="R37" s="50">
        <v>103.6</v>
      </c>
      <c r="S37" s="50">
        <v>121.3</v>
      </c>
      <c r="T37" s="50">
        <v>122.5</v>
      </c>
      <c r="U37" s="50">
        <v>145.69999999999999</v>
      </c>
      <c r="V37" s="50">
        <v>145.6</v>
      </c>
      <c r="W37" s="50">
        <v>145.6</v>
      </c>
      <c r="X37" s="50">
        <v>145.30000000000001</v>
      </c>
      <c r="Y37" s="50">
        <v>145.30000000000001</v>
      </c>
      <c r="Z37" s="50">
        <v>145.30000000000001</v>
      </c>
      <c r="AA37" s="50">
        <v>145.30000000000001</v>
      </c>
      <c r="AB37" s="50">
        <v>131.5</v>
      </c>
      <c r="AC37" s="50">
        <v>110.7</v>
      </c>
      <c r="AD37" s="50">
        <v>90</v>
      </c>
      <c r="AE37" s="50">
        <v>80</v>
      </c>
      <c r="AF37" s="50">
        <v>80</v>
      </c>
      <c r="AG37" s="64">
        <v>144</v>
      </c>
      <c r="AH37" s="56">
        <f t="shared" si="2"/>
        <v>145.69999999999999</v>
      </c>
      <c r="AI37" s="57">
        <f t="shared" si="3"/>
        <v>70.599999999999994</v>
      </c>
      <c r="AK37" s="58"/>
    </row>
    <row r="38" spans="1:88" x14ac:dyDescent="0.25">
      <c r="A38" s="68" t="s">
        <v>46</v>
      </c>
      <c r="B38" s="63">
        <v>47.8</v>
      </c>
      <c r="C38" s="63">
        <v>47.8</v>
      </c>
      <c r="D38" s="63">
        <v>48.6</v>
      </c>
      <c r="E38" s="63">
        <v>48.5</v>
      </c>
      <c r="F38" s="63">
        <v>48.2</v>
      </c>
      <c r="G38" s="63">
        <v>48.2</v>
      </c>
      <c r="H38" s="63">
        <v>70</v>
      </c>
      <c r="I38" s="63">
        <v>70</v>
      </c>
      <c r="J38" s="63">
        <v>70</v>
      </c>
      <c r="K38" s="63">
        <v>70.599999999999994</v>
      </c>
      <c r="L38" s="52">
        <v>70.400000000000006</v>
      </c>
      <c r="M38" s="52">
        <v>47.5</v>
      </c>
      <c r="N38" s="52">
        <v>47.5</v>
      </c>
      <c r="O38" s="52">
        <v>46.9</v>
      </c>
      <c r="P38" s="52">
        <v>36.1</v>
      </c>
      <c r="Q38" s="52">
        <v>30.7</v>
      </c>
      <c r="R38" s="52">
        <v>30.7</v>
      </c>
      <c r="S38" s="52">
        <v>35.700000000000003</v>
      </c>
      <c r="T38" s="52">
        <v>36.4</v>
      </c>
      <c r="U38" s="52">
        <v>47.3</v>
      </c>
      <c r="V38" s="52">
        <v>56.4</v>
      </c>
      <c r="W38" s="52">
        <v>70.5</v>
      </c>
      <c r="X38" s="52">
        <v>70.5</v>
      </c>
      <c r="Y38" s="52">
        <v>70.5</v>
      </c>
      <c r="Z38" s="52">
        <v>70.5</v>
      </c>
      <c r="AA38" s="52">
        <v>70.5</v>
      </c>
      <c r="AB38" s="52">
        <v>61</v>
      </c>
      <c r="AC38" s="52">
        <v>60.6</v>
      </c>
      <c r="AD38" s="52">
        <v>50</v>
      </c>
      <c r="AE38" s="52">
        <v>45</v>
      </c>
      <c r="AF38" s="52">
        <v>45</v>
      </c>
      <c r="AG38" s="69">
        <v>70</v>
      </c>
      <c r="AH38" s="56">
        <f t="shared" si="2"/>
        <v>70.599999999999994</v>
      </c>
      <c r="AI38" s="57">
        <f t="shared" si="3"/>
        <v>30.7</v>
      </c>
      <c r="AK38" s="58"/>
    </row>
    <row r="39" spans="1:88" x14ac:dyDescent="0.25">
      <c r="A39" s="68" t="s">
        <v>47</v>
      </c>
      <c r="B39" s="63">
        <v>32.799999999999997</v>
      </c>
      <c r="C39" s="63">
        <v>32.799999999999997</v>
      </c>
      <c r="D39" s="63">
        <v>33</v>
      </c>
      <c r="E39" s="63">
        <v>33.200000000000003</v>
      </c>
      <c r="F39" s="63">
        <v>33.6</v>
      </c>
      <c r="G39" s="63">
        <v>33.6</v>
      </c>
      <c r="H39" s="63">
        <v>46.9</v>
      </c>
      <c r="I39" s="63">
        <v>46.9</v>
      </c>
      <c r="J39" s="63">
        <v>69</v>
      </c>
      <c r="K39" s="63">
        <v>68.5</v>
      </c>
      <c r="L39" s="52">
        <v>69.2</v>
      </c>
      <c r="M39" s="52">
        <v>58.4</v>
      </c>
      <c r="N39" s="52">
        <v>56</v>
      </c>
      <c r="O39" s="52">
        <v>53.7</v>
      </c>
      <c r="P39" s="52">
        <v>69.900000000000006</v>
      </c>
      <c r="Q39" s="52">
        <v>69.400000000000006</v>
      </c>
      <c r="R39" s="52">
        <v>70</v>
      </c>
      <c r="S39" s="52">
        <v>67</v>
      </c>
      <c r="T39" s="52">
        <v>70.7</v>
      </c>
      <c r="U39" s="52">
        <v>70.599999999999994</v>
      </c>
      <c r="V39" s="52">
        <v>70.2</v>
      </c>
      <c r="W39" s="52">
        <v>70.2</v>
      </c>
      <c r="X39" s="52">
        <v>64.8</v>
      </c>
      <c r="Y39" s="52">
        <v>64.8</v>
      </c>
      <c r="Z39" s="52">
        <v>64.8</v>
      </c>
      <c r="AA39" s="52">
        <v>64.8</v>
      </c>
      <c r="AB39" s="52">
        <v>62.1</v>
      </c>
      <c r="AC39" s="52">
        <v>62.2</v>
      </c>
      <c r="AD39" s="52">
        <v>35</v>
      </c>
      <c r="AE39" s="52">
        <v>35</v>
      </c>
      <c r="AF39" s="52">
        <v>35</v>
      </c>
      <c r="AG39" s="69">
        <v>69</v>
      </c>
      <c r="AH39" s="56">
        <f t="shared" si="2"/>
        <v>70.7</v>
      </c>
      <c r="AI39" s="57">
        <f t="shared" si="3"/>
        <v>32.799999999999997</v>
      </c>
      <c r="AK39" s="58"/>
    </row>
    <row r="40" spans="1:88" x14ac:dyDescent="0.25">
      <c r="A40" s="68" t="s">
        <v>48</v>
      </c>
      <c r="B40" s="63">
        <v>21.2</v>
      </c>
      <c r="C40" s="63">
        <v>21.2</v>
      </c>
      <c r="D40" s="63">
        <v>21.2</v>
      </c>
      <c r="E40" s="63">
        <v>21</v>
      </c>
      <c r="F40" s="63">
        <v>21</v>
      </c>
      <c r="G40" s="63">
        <v>21</v>
      </c>
      <c r="H40" s="63">
        <v>30</v>
      </c>
      <c r="I40" s="63">
        <v>30</v>
      </c>
      <c r="J40" s="63">
        <v>30</v>
      </c>
      <c r="K40" s="63">
        <v>52.7</v>
      </c>
      <c r="L40" s="52">
        <v>60.9</v>
      </c>
      <c r="M40" s="52">
        <v>40.6</v>
      </c>
      <c r="N40" s="52">
        <v>40.6</v>
      </c>
      <c r="O40" s="52">
        <v>41.1</v>
      </c>
      <c r="P40" s="52">
        <v>41.1</v>
      </c>
      <c r="Q40" s="52">
        <v>41.3</v>
      </c>
      <c r="R40" s="52">
        <v>51.4</v>
      </c>
      <c r="S40" s="52">
        <v>51.9</v>
      </c>
      <c r="T40" s="52">
        <v>60.9</v>
      </c>
      <c r="U40" s="52">
        <v>60.9</v>
      </c>
      <c r="V40" s="52">
        <v>60.9</v>
      </c>
      <c r="W40" s="52">
        <v>60.9</v>
      </c>
      <c r="X40" s="52">
        <v>60.9</v>
      </c>
      <c r="Y40" s="52">
        <v>60.9</v>
      </c>
      <c r="Z40" s="52">
        <v>60.9</v>
      </c>
      <c r="AA40" s="52">
        <v>60.9</v>
      </c>
      <c r="AB40" s="52">
        <v>51</v>
      </c>
      <c r="AC40" s="52">
        <v>51</v>
      </c>
      <c r="AD40" s="52">
        <v>30</v>
      </c>
      <c r="AE40" s="52">
        <v>10</v>
      </c>
      <c r="AF40" s="52">
        <v>10</v>
      </c>
      <c r="AG40" s="69">
        <v>60</v>
      </c>
      <c r="AH40" s="56">
        <f t="shared" si="2"/>
        <v>60.9</v>
      </c>
      <c r="AI40" s="57">
        <f t="shared" si="3"/>
        <v>10</v>
      </c>
      <c r="AK40" s="58"/>
    </row>
    <row r="41" spans="1:88" x14ac:dyDescent="0.25">
      <c r="A41" s="68" t="s">
        <v>49</v>
      </c>
      <c r="B41" s="63">
        <v>25</v>
      </c>
      <c r="C41" s="63">
        <v>25</v>
      </c>
      <c r="D41" s="63">
        <v>25</v>
      </c>
      <c r="E41" s="63">
        <v>25</v>
      </c>
      <c r="F41" s="63">
        <v>25</v>
      </c>
      <c r="G41" s="63">
        <v>25</v>
      </c>
      <c r="H41" s="63">
        <v>25</v>
      </c>
      <c r="I41" s="63">
        <v>25</v>
      </c>
      <c r="J41" s="63">
        <v>25</v>
      </c>
      <c r="K41" s="63">
        <v>25</v>
      </c>
      <c r="L41" s="50">
        <v>29.6</v>
      </c>
      <c r="M41" s="50">
        <v>29.6</v>
      </c>
      <c r="N41" s="50">
        <v>29.6</v>
      </c>
      <c r="O41" s="50">
        <v>29.6</v>
      </c>
      <c r="P41" s="50">
        <v>0</v>
      </c>
      <c r="Q41" s="50">
        <v>0</v>
      </c>
      <c r="R41" s="50">
        <v>0</v>
      </c>
      <c r="S41" s="50">
        <v>12.5</v>
      </c>
      <c r="T41" s="50">
        <v>13.4</v>
      </c>
      <c r="U41" s="50">
        <v>14.7</v>
      </c>
      <c r="V41" s="50">
        <v>14.8</v>
      </c>
      <c r="W41" s="50">
        <v>29.6</v>
      </c>
      <c r="X41" s="50">
        <v>29.6</v>
      </c>
      <c r="Y41" s="50">
        <v>29.6</v>
      </c>
      <c r="Z41" s="50">
        <v>29.6</v>
      </c>
      <c r="AA41" s="50">
        <v>29.6</v>
      </c>
      <c r="AB41" s="52">
        <v>25</v>
      </c>
      <c r="AC41" s="52">
        <v>25</v>
      </c>
      <c r="AD41" s="52">
        <v>25</v>
      </c>
      <c r="AE41" s="52">
        <v>25</v>
      </c>
      <c r="AF41" s="52">
        <v>25</v>
      </c>
      <c r="AG41" s="69">
        <v>30</v>
      </c>
      <c r="AH41" s="56">
        <f t="shared" si="2"/>
        <v>29.6</v>
      </c>
      <c r="AI41" s="57">
        <f t="shared" si="3"/>
        <v>0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11.4</v>
      </c>
      <c r="C43" s="75">
        <v>11.4</v>
      </c>
      <c r="D43" s="75">
        <v>11.7</v>
      </c>
      <c r="E43" s="75">
        <v>11.8</v>
      </c>
      <c r="F43" s="75">
        <v>11.8</v>
      </c>
      <c r="G43" s="75">
        <v>11.8</v>
      </c>
      <c r="H43" s="75">
        <v>17</v>
      </c>
      <c r="I43" s="75">
        <v>17</v>
      </c>
      <c r="J43" s="75">
        <v>17</v>
      </c>
      <c r="K43" s="75">
        <v>17</v>
      </c>
      <c r="L43" s="50">
        <v>17.5</v>
      </c>
      <c r="M43" s="50">
        <v>17.5</v>
      </c>
      <c r="N43" s="50">
        <v>9</v>
      </c>
      <c r="O43" s="50">
        <v>13</v>
      </c>
      <c r="P43" s="50">
        <v>13.9</v>
      </c>
      <c r="Q43" s="50">
        <v>13.6</v>
      </c>
      <c r="R43" s="50">
        <v>14</v>
      </c>
      <c r="S43" s="50">
        <v>14</v>
      </c>
      <c r="T43" s="50">
        <v>14</v>
      </c>
      <c r="U43" s="50">
        <v>14</v>
      </c>
      <c r="V43" s="50">
        <v>14</v>
      </c>
      <c r="W43" s="50">
        <v>16</v>
      </c>
      <c r="X43" s="50">
        <v>16</v>
      </c>
      <c r="Y43" s="50">
        <v>16</v>
      </c>
      <c r="Z43" s="50">
        <v>16</v>
      </c>
      <c r="AA43" s="50">
        <v>16</v>
      </c>
      <c r="AB43" s="50">
        <v>16</v>
      </c>
      <c r="AC43" s="50">
        <v>16</v>
      </c>
      <c r="AD43" s="50">
        <v>16</v>
      </c>
      <c r="AE43" s="50">
        <v>16</v>
      </c>
      <c r="AF43" s="50">
        <v>16</v>
      </c>
      <c r="AG43" s="69">
        <v>24</v>
      </c>
      <c r="AH43" s="56">
        <f t="shared" si="2"/>
        <v>17.5</v>
      </c>
      <c r="AI43" s="57">
        <f t="shared" si="3"/>
        <v>9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13</v>
      </c>
      <c r="C45" s="63">
        <v>13</v>
      </c>
      <c r="D45" s="63">
        <v>13</v>
      </c>
      <c r="E45" s="63">
        <v>10</v>
      </c>
      <c r="F45" s="63">
        <v>10</v>
      </c>
      <c r="G45" s="63">
        <v>10</v>
      </c>
      <c r="H45" s="63">
        <v>10</v>
      </c>
      <c r="I45" s="63">
        <v>10</v>
      </c>
      <c r="J45" s="63">
        <v>10</v>
      </c>
      <c r="K45" s="63">
        <v>10</v>
      </c>
      <c r="L45" s="50">
        <v>13</v>
      </c>
      <c r="M45" s="50">
        <v>13</v>
      </c>
      <c r="N45" s="50">
        <v>8</v>
      </c>
      <c r="O45" s="50">
        <v>10</v>
      </c>
      <c r="P45" s="50">
        <v>10</v>
      </c>
      <c r="Q45" s="50">
        <v>10</v>
      </c>
      <c r="R45" s="50">
        <v>10</v>
      </c>
      <c r="S45" s="50">
        <v>10</v>
      </c>
      <c r="T45" s="50">
        <v>10</v>
      </c>
      <c r="U45" s="50">
        <v>10</v>
      </c>
      <c r="V45" s="50">
        <v>10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9">
        <v>14.1</v>
      </c>
      <c r="AH45" s="56">
        <f t="shared" si="2"/>
        <v>13</v>
      </c>
      <c r="AI45" s="57">
        <f t="shared" si="3"/>
        <v>8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0</v>
      </c>
      <c r="C46" s="75">
        <v>0</v>
      </c>
      <c r="D46" s="75">
        <v>0</v>
      </c>
      <c r="E46" s="75">
        <v>14</v>
      </c>
      <c r="F46" s="75">
        <v>14</v>
      </c>
      <c r="G46" s="75">
        <v>14</v>
      </c>
      <c r="H46" s="75">
        <v>14</v>
      </c>
      <c r="I46" s="75">
        <v>14</v>
      </c>
      <c r="J46" s="75">
        <v>14</v>
      </c>
      <c r="K46" s="75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12</v>
      </c>
      <c r="AE46" s="50">
        <v>12</v>
      </c>
      <c r="AF46" s="50">
        <v>12</v>
      </c>
      <c r="AG46" s="69">
        <v>14</v>
      </c>
      <c r="AH46" s="56">
        <f t="shared" si="2"/>
        <v>14</v>
      </c>
      <c r="AI46" s="57">
        <f t="shared" si="3"/>
        <v>0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50">
        <v>9.6</v>
      </c>
      <c r="AF47" s="50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9">
        <v>6.2</v>
      </c>
      <c r="AH48" s="56">
        <f t="shared" si="2"/>
        <v>0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267.94</v>
      </c>
      <c r="C50" s="74">
        <f t="shared" si="6"/>
        <v>261.54000000000002</v>
      </c>
      <c r="D50" s="74">
        <f t="shared" si="6"/>
        <v>264.74</v>
      </c>
      <c r="E50" s="74">
        <f t="shared" si="6"/>
        <v>248.54000000000002</v>
      </c>
      <c r="F50" s="74">
        <f t="shared" si="6"/>
        <v>247.34</v>
      </c>
      <c r="G50" s="74">
        <f t="shared" si="6"/>
        <v>247.34</v>
      </c>
      <c r="H50" s="74">
        <f t="shared" si="6"/>
        <v>324.04000000000002</v>
      </c>
      <c r="I50" s="74">
        <f t="shared" si="6"/>
        <v>346.04</v>
      </c>
      <c r="J50" s="74">
        <f t="shared" si="6"/>
        <v>393.74000000000007</v>
      </c>
      <c r="K50" s="74">
        <f t="shared" si="6"/>
        <v>416.54</v>
      </c>
      <c r="L50" s="74">
        <f t="shared" si="6"/>
        <v>432.94000000000005</v>
      </c>
      <c r="M50" s="74">
        <f t="shared" si="6"/>
        <v>343.74000000000007</v>
      </c>
      <c r="N50" s="74">
        <f t="shared" si="6"/>
        <v>319.84000000000003</v>
      </c>
      <c r="O50" s="74">
        <f t="shared" si="6"/>
        <v>323.44000000000005</v>
      </c>
      <c r="P50" s="74">
        <f t="shared" si="6"/>
        <v>309.54000000000002</v>
      </c>
      <c r="Q50" s="74">
        <f t="shared" si="6"/>
        <v>295.74000000000007</v>
      </c>
      <c r="R50" s="74">
        <f t="shared" si="6"/>
        <v>306.84000000000003</v>
      </c>
      <c r="S50" s="74">
        <f t="shared" si="6"/>
        <v>339.54</v>
      </c>
      <c r="T50" s="74">
        <f t="shared" si="6"/>
        <v>355.04</v>
      </c>
      <c r="U50" s="74">
        <f t="shared" si="6"/>
        <v>390.34000000000003</v>
      </c>
      <c r="V50" s="74">
        <f t="shared" si="6"/>
        <v>399.04</v>
      </c>
      <c r="W50" s="74">
        <f t="shared" si="6"/>
        <v>432.94000000000005</v>
      </c>
      <c r="X50" s="74">
        <f t="shared" si="6"/>
        <v>427.24000000000007</v>
      </c>
      <c r="Y50" s="74">
        <f t="shared" si="6"/>
        <v>427.24000000000007</v>
      </c>
      <c r="Z50" s="74">
        <f t="shared" si="6"/>
        <v>427.24000000000007</v>
      </c>
      <c r="AA50" s="74">
        <f t="shared" si="6"/>
        <v>427.24000000000007</v>
      </c>
      <c r="AB50" s="74">
        <f t="shared" si="6"/>
        <v>386.74000000000007</v>
      </c>
      <c r="AC50" s="74">
        <f t="shared" si="6"/>
        <v>365.64000000000004</v>
      </c>
      <c r="AD50" s="74">
        <f t="shared" si="6"/>
        <v>284.14000000000004</v>
      </c>
      <c r="AE50" s="74">
        <f t="shared" si="6"/>
        <v>249.14</v>
      </c>
      <c r="AF50" s="74">
        <f t="shared" si="6"/>
        <v>249.14</v>
      </c>
      <c r="AG50" s="79">
        <f>SUM(AG37:AG49)</f>
        <v>489.91</v>
      </c>
      <c r="AH50" s="56">
        <f t="shared" si="2"/>
        <v>432.94000000000005</v>
      </c>
      <c r="AI50" s="57">
        <f t="shared" si="3"/>
        <v>247.34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25.4</v>
      </c>
      <c r="X51" s="50">
        <v>10.6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25.4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2">
        <v>0</v>
      </c>
      <c r="Q52" s="52">
        <v>0</v>
      </c>
      <c r="R52" s="50">
        <v>0</v>
      </c>
      <c r="S52" s="50">
        <v>0</v>
      </c>
      <c r="T52" s="50">
        <v>0</v>
      </c>
      <c r="U52" s="52">
        <v>0</v>
      </c>
      <c r="V52" s="52">
        <v>0</v>
      </c>
      <c r="W52" s="52">
        <v>12.4</v>
      </c>
      <c r="X52" s="52">
        <v>12.2</v>
      </c>
      <c r="Y52" s="52">
        <v>4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12.4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2">
        <v>0</v>
      </c>
      <c r="Q53" s="82">
        <v>0</v>
      </c>
      <c r="R53" s="50">
        <v>0</v>
      </c>
      <c r="S53" s="50">
        <v>0</v>
      </c>
      <c r="T53" s="50">
        <v>0</v>
      </c>
      <c r="U53" s="82">
        <v>0</v>
      </c>
      <c r="V53" s="82">
        <v>0</v>
      </c>
      <c r="W53" s="82">
        <v>4.5</v>
      </c>
      <c r="X53" s="82">
        <v>4.4000000000000004</v>
      </c>
      <c r="Y53" s="82">
        <v>1.4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4.5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42.3</v>
      </c>
      <c r="X54" s="74">
        <f t="shared" si="7"/>
        <v>27.199999999999996</v>
      </c>
      <c r="Y54" s="74">
        <f t="shared" si="7"/>
        <v>5.4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42.3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-33.4</v>
      </c>
      <c r="C57" s="52">
        <v>-48.5</v>
      </c>
      <c r="D57" s="52">
        <v>-57.1</v>
      </c>
      <c r="E57" s="52">
        <v>-60.3</v>
      </c>
      <c r="F57" s="52">
        <v>-43.3</v>
      </c>
      <c r="G57" s="50">
        <v>-26</v>
      </c>
      <c r="H57" s="50">
        <v>-26.6</v>
      </c>
      <c r="I57" s="50">
        <v>0</v>
      </c>
      <c r="J57" s="50">
        <v>-6.5</v>
      </c>
      <c r="K57" s="50">
        <v>-4.2</v>
      </c>
      <c r="L57" s="52">
        <v>-22.2</v>
      </c>
      <c r="M57" s="52">
        <v>-5</v>
      </c>
      <c r="N57" s="52">
        <v>-5</v>
      </c>
      <c r="O57" s="52">
        <v>-20</v>
      </c>
      <c r="P57" s="52">
        <v>-15</v>
      </c>
      <c r="Q57" s="52">
        <v>-15</v>
      </c>
      <c r="R57" s="52">
        <v>8.5</v>
      </c>
      <c r="S57" s="52">
        <v>-23.7</v>
      </c>
      <c r="T57" s="52">
        <v>-13.24</v>
      </c>
      <c r="U57" s="52">
        <v>-4</v>
      </c>
      <c r="V57" s="52">
        <v>-14</v>
      </c>
      <c r="W57" s="85">
        <v>-15.5</v>
      </c>
      <c r="X57" s="85">
        <v>-27.7</v>
      </c>
      <c r="Y57" s="85">
        <v>-20.2</v>
      </c>
      <c r="Z57" s="85">
        <v>-17</v>
      </c>
      <c r="AA57" s="52">
        <v>-8.4</v>
      </c>
      <c r="AB57" s="52">
        <v>-19.3</v>
      </c>
      <c r="AC57" s="52">
        <v>-24.3</v>
      </c>
      <c r="AD57" s="52">
        <v>-24.3</v>
      </c>
      <c r="AE57" s="52">
        <v>-20</v>
      </c>
      <c r="AF57" s="52">
        <v>-24</v>
      </c>
      <c r="AG57" s="86"/>
      <c r="AH57" s="56">
        <f t="shared" si="2"/>
        <v>8.5</v>
      </c>
      <c r="AI57" s="57">
        <f t="shared" si="3"/>
        <v>-60.3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2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50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50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5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5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50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50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-33.4</v>
      </c>
      <c r="C66" s="74">
        <f t="shared" ref="C66:AF66" si="8">SUM(C55:C65)</f>
        <v>-48.5</v>
      </c>
      <c r="D66" s="74">
        <f t="shared" si="8"/>
        <v>-57.1</v>
      </c>
      <c r="E66" s="74">
        <f t="shared" si="8"/>
        <v>-60.3</v>
      </c>
      <c r="F66" s="74">
        <f t="shared" si="8"/>
        <v>-43.3</v>
      </c>
      <c r="G66" s="74">
        <f t="shared" si="8"/>
        <v>-26</v>
      </c>
      <c r="H66" s="74">
        <f t="shared" si="8"/>
        <v>-26.6</v>
      </c>
      <c r="I66" s="74">
        <f t="shared" si="8"/>
        <v>0</v>
      </c>
      <c r="J66" s="74">
        <f t="shared" si="8"/>
        <v>-6.5</v>
      </c>
      <c r="K66" s="74">
        <f t="shared" si="8"/>
        <v>-4.2</v>
      </c>
      <c r="L66" s="74">
        <f t="shared" si="8"/>
        <v>-22.2</v>
      </c>
      <c r="M66" s="74">
        <f t="shared" si="8"/>
        <v>-5</v>
      </c>
      <c r="N66" s="74">
        <f t="shared" si="8"/>
        <v>-5</v>
      </c>
      <c r="O66" s="74">
        <f t="shared" si="8"/>
        <v>-20</v>
      </c>
      <c r="P66" s="74">
        <f t="shared" si="8"/>
        <v>-15</v>
      </c>
      <c r="Q66" s="74">
        <f t="shared" si="8"/>
        <v>-15</v>
      </c>
      <c r="R66" s="74">
        <f t="shared" si="8"/>
        <v>8.5</v>
      </c>
      <c r="S66" s="74">
        <f t="shared" si="8"/>
        <v>-23.7</v>
      </c>
      <c r="T66" s="74">
        <f t="shared" si="8"/>
        <v>-13.24</v>
      </c>
      <c r="U66" s="74">
        <f t="shared" si="8"/>
        <v>-4</v>
      </c>
      <c r="V66" s="74">
        <f t="shared" si="8"/>
        <v>-14</v>
      </c>
      <c r="W66" s="74">
        <f t="shared" si="8"/>
        <v>-15.5</v>
      </c>
      <c r="X66" s="74">
        <f t="shared" si="8"/>
        <v>-27.7</v>
      </c>
      <c r="Y66" s="74">
        <f t="shared" si="8"/>
        <v>-20.2</v>
      </c>
      <c r="Z66" s="74">
        <f t="shared" si="8"/>
        <v>-17</v>
      </c>
      <c r="AA66" s="74">
        <f t="shared" si="8"/>
        <v>-8.4</v>
      </c>
      <c r="AB66" s="74">
        <f t="shared" si="8"/>
        <v>-19.3</v>
      </c>
      <c r="AC66" s="74">
        <f t="shared" si="8"/>
        <v>-24.3</v>
      </c>
      <c r="AD66" s="74">
        <f t="shared" si="8"/>
        <v>-24.3</v>
      </c>
      <c r="AE66" s="74">
        <f t="shared" si="8"/>
        <v>-20</v>
      </c>
      <c r="AF66" s="74">
        <f t="shared" si="8"/>
        <v>-24</v>
      </c>
      <c r="AG66" s="79">
        <f>SUM(AG55:AG65)</f>
        <v>0</v>
      </c>
      <c r="AH66" s="56">
        <f t="shared" si="2"/>
        <v>8.5</v>
      </c>
      <c r="AI66" s="57">
        <f t="shared" si="3"/>
        <v>-60.3</v>
      </c>
      <c r="AK66" s="58"/>
    </row>
    <row r="67" spans="1:88" x14ac:dyDescent="0.25">
      <c r="A67" s="59" t="s">
        <v>242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243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244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817.93999999999994</v>
      </c>
      <c r="C71" s="90">
        <f t="shared" ref="C71:AG71" si="10">C66+C54+C50+C36+C70</f>
        <v>796.44</v>
      </c>
      <c r="D71" s="90">
        <f t="shared" si="10"/>
        <v>791.04</v>
      </c>
      <c r="E71" s="90">
        <f t="shared" si="10"/>
        <v>784.54</v>
      </c>
      <c r="F71" s="90">
        <f t="shared" si="10"/>
        <v>818.33999999999992</v>
      </c>
      <c r="G71" s="90">
        <f t="shared" si="10"/>
        <v>835.64</v>
      </c>
      <c r="H71" s="90">
        <f t="shared" si="10"/>
        <v>961.44</v>
      </c>
      <c r="I71" s="90">
        <f t="shared" si="10"/>
        <v>1034.04</v>
      </c>
      <c r="J71" s="90">
        <f t="shared" si="10"/>
        <v>1116.24</v>
      </c>
      <c r="K71" s="90">
        <f t="shared" si="10"/>
        <v>1150.74</v>
      </c>
      <c r="L71" s="90">
        <f t="shared" si="10"/>
        <v>1174.74</v>
      </c>
      <c r="M71" s="90">
        <f t="shared" si="10"/>
        <v>1142.74</v>
      </c>
      <c r="N71" s="90">
        <f t="shared" si="10"/>
        <v>1098.8400000000001</v>
      </c>
      <c r="O71" s="90">
        <f t="shared" si="10"/>
        <v>1087.44</v>
      </c>
      <c r="P71" s="90">
        <f t="shared" si="10"/>
        <v>1058.54</v>
      </c>
      <c r="Q71" s="90">
        <f t="shared" si="10"/>
        <v>1046.54</v>
      </c>
      <c r="R71" s="90">
        <f t="shared" si="10"/>
        <v>1084.3399999999999</v>
      </c>
      <c r="S71" s="90">
        <f t="shared" si="10"/>
        <v>1084.8399999999999</v>
      </c>
      <c r="T71" s="90">
        <f t="shared" si="10"/>
        <v>1090.8</v>
      </c>
      <c r="U71" s="90">
        <f t="shared" si="10"/>
        <v>1194.1399999999999</v>
      </c>
      <c r="V71" s="90">
        <f t="shared" si="10"/>
        <v>1222.8399999999999</v>
      </c>
      <c r="W71" s="90">
        <f t="shared" si="10"/>
        <v>1361.14</v>
      </c>
      <c r="X71" s="90">
        <f t="shared" si="10"/>
        <v>1308.1400000000001</v>
      </c>
      <c r="Y71" s="90">
        <f t="shared" si="10"/>
        <v>1245.6399999999999</v>
      </c>
      <c r="Z71" s="90">
        <f t="shared" si="10"/>
        <v>1180.44</v>
      </c>
      <c r="AA71" s="90">
        <f t="shared" si="10"/>
        <v>1115.04</v>
      </c>
      <c r="AB71" s="90">
        <f t="shared" si="10"/>
        <v>1033.6399999999999</v>
      </c>
      <c r="AC71" s="90">
        <f t="shared" si="10"/>
        <v>966.54</v>
      </c>
      <c r="AD71" s="90">
        <f t="shared" si="10"/>
        <v>881.04</v>
      </c>
      <c r="AE71" s="90">
        <f t="shared" si="10"/>
        <v>850.33999999999992</v>
      </c>
      <c r="AF71" s="90">
        <f t="shared" si="10"/>
        <v>837.7399999999999</v>
      </c>
      <c r="AG71" s="90">
        <f t="shared" si="10"/>
        <v>2083.14</v>
      </c>
      <c r="AH71" s="56">
        <f t="shared" si="2"/>
        <v>1361.14</v>
      </c>
      <c r="AI71" s="57">
        <f t="shared" si="3"/>
        <v>784.54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817.93999999999994</v>
      </c>
      <c r="C73" s="90">
        <f t="shared" ref="C73:AF73" si="11">C70+C66+C54+C50+C36+C72</f>
        <v>796.44</v>
      </c>
      <c r="D73" s="90">
        <f t="shared" si="11"/>
        <v>791.04</v>
      </c>
      <c r="E73" s="90">
        <f t="shared" si="11"/>
        <v>784.54</v>
      </c>
      <c r="F73" s="90">
        <f t="shared" si="11"/>
        <v>818.33999999999992</v>
      </c>
      <c r="G73" s="90">
        <f t="shared" si="11"/>
        <v>835.64</v>
      </c>
      <c r="H73" s="90">
        <f t="shared" si="11"/>
        <v>961.44</v>
      </c>
      <c r="I73" s="90">
        <f t="shared" si="11"/>
        <v>1034.04</v>
      </c>
      <c r="J73" s="90">
        <f t="shared" si="11"/>
        <v>1116.24</v>
      </c>
      <c r="K73" s="90">
        <f t="shared" si="11"/>
        <v>1150.74</v>
      </c>
      <c r="L73" s="90">
        <f t="shared" si="11"/>
        <v>1174.74</v>
      </c>
      <c r="M73" s="90">
        <f t="shared" si="11"/>
        <v>1142.74</v>
      </c>
      <c r="N73" s="90">
        <f t="shared" si="11"/>
        <v>1098.8400000000001</v>
      </c>
      <c r="O73" s="90">
        <f t="shared" si="11"/>
        <v>1087.44</v>
      </c>
      <c r="P73" s="90">
        <f t="shared" si="11"/>
        <v>1058.54</v>
      </c>
      <c r="Q73" s="90">
        <f t="shared" si="11"/>
        <v>1046.54</v>
      </c>
      <c r="R73" s="90">
        <f t="shared" si="11"/>
        <v>1084.3399999999999</v>
      </c>
      <c r="S73" s="90">
        <f t="shared" si="11"/>
        <v>1084.8399999999999</v>
      </c>
      <c r="T73" s="90">
        <f t="shared" si="11"/>
        <v>1090.8</v>
      </c>
      <c r="U73" s="90">
        <f t="shared" si="11"/>
        <v>1194.1399999999999</v>
      </c>
      <c r="V73" s="90">
        <f t="shared" si="11"/>
        <v>1222.8399999999999</v>
      </c>
      <c r="W73" s="90">
        <f t="shared" si="11"/>
        <v>1361.14</v>
      </c>
      <c r="X73" s="90">
        <f t="shared" si="11"/>
        <v>1308.1400000000001</v>
      </c>
      <c r="Y73" s="90">
        <f t="shared" si="11"/>
        <v>1245.6399999999999</v>
      </c>
      <c r="Z73" s="90">
        <f t="shared" si="11"/>
        <v>1180.44</v>
      </c>
      <c r="AA73" s="90">
        <f t="shared" si="11"/>
        <v>1115.04</v>
      </c>
      <c r="AB73" s="90">
        <f t="shared" si="11"/>
        <v>1033.6399999999999</v>
      </c>
      <c r="AC73" s="90">
        <f t="shared" si="11"/>
        <v>966.54</v>
      </c>
      <c r="AD73" s="90">
        <f t="shared" si="11"/>
        <v>881.04</v>
      </c>
      <c r="AE73" s="90">
        <f t="shared" si="11"/>
        <v>850.33999999999992</v>
      </c>
      <c r="AF73" s="90">
        <f t="shared" si="11"/>
        <v>837.7399999999999</v>
      </c>
      <c r="AG73" s="79">
        <f>AG70+AG66+AG54+AG50+AG36+AG72</f>
        <v>2083.14</v>
      </c>
      <c r="AH73" s="56">
        <f t="shared" si="2"/>
        <v>1361.14</v>
      </c>
      <c r="AI73" s="57">
        <f t="shared" si="3"/>
        <v>784.54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33.4</v>
      </c>
      <c r="C77" s="60">
        <f t="shared" ref="C77:AF77" si="15">IF(C57&lt;0,C57*-1,0)</f>
        <v>48.5</v>
      </c>
      <c r="D77" s="60">
        <f t="shared" si="15"/>
        <v>57.1</v>
      </c>
      <c r="E77" s="60">
        <f t="shared" si="15"/>
        <v>60.3</v>
      </c>
      <c r="F77" s="60">
        <f t="shared" si="15"/>
        <v>43.3</v>
      </c>
      <c r="G77" s="60">
        <f t="shared" si="15"/>
        <v>26</v>
      </c>
      <c r="H77" s="60">
        <f t="shared" si="15"/>
        <v>26.6</v>
      </c>
      <c r="I77" s="60">
        <f t="shared" si="15"/>
        <v>0</v>
      </c>
      <c r="J77" s="60">
        <f t="shared" si="15"/>
        <v>6.5</v>
      </c>
      <c r="K77" s="60">
        <f t="shared" si="15"/>
        <v>4.2</v>
      </c>
      <c r="L77" s="60">
        <f t="shared" si="15"/>
        <v>22.2</v>
      </c>
      <c r="M77" s="60">
        <f t="shared" si="15"/>
        <v>5</v>
      </c>
      <c r="N77" s="60">
        <f t="shared" si="15"/>
        <v>5</v>
      </c>
      <c r="O77" s="60">
        <f t="shared" si="15"/>
        <v>20</v>
      </c>
      <c r="P77" s="60">
        <f t="shared" si="15"/>
        <v>15</v>
      </c>
      <c r="Q77" s="60">
        <f t="shared" si="15"/>
        <v>15</v>
      </c>
      <c r="R77" s="60">
        <f t="shared" si="15"/>
        <v>0</v>
      </c>
      <c r="S77" s="60">
        <f t="shared" si="15"/>
        <v>23.7</v>
      </c>
      <c r="T77" s="60">
        <f t="shared" si="15"/>
        <v>13.24</v>
      </c>
      <c r="U77" s="60">
        <f t="shared" si="15"/>
        <v>4</v>
      </c>
      <c r="V77" s="60">
        <f t="shared" si="15"/>
        <v>14</v>
      </c>
      <c r="W77" s="60">
        <f t="shared" si="15"/>
        <v>15.5</v>
      </c>
      <c r="X77" s="60">
        <f t="shared" si="15"/>
        <v>27.7</v>
      </c>
      <c r="Y77" s="60">
        <f t="shared" si="15"/>
        <v>20.2</v>
      </c>
      <c r="Z77" s="60">
        <f t="shared" si="15"/>
        <v>17</v>
      </c>
      <c r="AA77" s="60">
        <f t="shared" si="15"/>
        <v>8.4</v>
      </c>
      <c r="AB77" s="60">
        <f t="shared" si="15"/>
        <v>19.3</v>
      </c>
      <c r="AC77" s="60">
        <f t="shared" si="15"/>
        <v>24.3</v>
      </c>
      <c r="AD77" s="60">
        <f t="shared" si="15"/>
        <v>24.3</v>
      </c>
      <c r="AE77" s="60">
        <f t="shared" si="15"/>
        <v>20</v>
      </c>
      <c r="AF77" s="60">
        <f t="shared" si="15"/>
        <v>24</v>
      </c>
      <c r="AG77" s="93"/>
      <c r="AH77" s="56">
        <f t="shared" ref="AH77:AH89" si="16">MAX(B77:AF77)</f>
        <v>60.3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33.4</v>
      </c>
      <c r="C80" s="74">
        <f t="shared" si="19"/>
        <v>48.5</v>
      </c>
      <c r="D80" s="74">
        <f t="shared" si="19"/>
        <v>57.1</v>
      </c>
      <c r="E80" s="74">
        <f t="shared" si="19"/>
        <v>60.3</v>
      </c>
      <c r="F80" s="74">
        <f t="shared" si="19"/>
        <v>43.3</v>
      </c>
      <c r="G80" s="74">
        <f t="shared" si="19"/>
        <v>26</v>
      </c>
      <c r="H80" s="74">
        <f t="shared" si="19"/>
        <v>26.6</v>
      </c>
      <c r="I80" s="74">
        <f t="shared" si="19"/>
        <v>0</v>
      </c>
      <c r="J80" s="74">
        <f t="shared" si="19"/>
        <v>6.5</v>
      </c>
      <c r="K80" s="74">
        <f t="shared" si="19"/>
        <v>4.2</v>
      </c>
      <c r="L80" s="74">
        <f t="shared" si="19"/>
        <v>22.2</v>
      </c>
      <c r="M80" s="74">
        <f t="shared" si="19"/>
        <v>5</v>
      </c>
      <c r="N80" s="74">
        <f t="shared" si="19"/>
        <v>5</v>
      </c>
      <c r="O80" s="74">
        <f t="shared" si="19"/>
        <v>20</v>
      </c>
      <c r="P80" s="74">
        <f t="shared" si="19"/>
        <v>15</v>
      </c>
      <c r="Q80" s="74">
        <f t="shared" si="19"/>
        <v>15</v>
      </c>
      <c r="R80" s="74">
        <f t="shared" si="19"/>
        <v>0</v>
      </c>
      <c r="S80" s="74">
        <f t="shared" si="19"/>
        <v>23.7</v>
      </c>
      <c r="T80" s="74">
        <f t="shared" si="19"/>
        <v>13.24</v>
      </c>
      <c r="U80" s="74">
        <f t="shared" si="19"/>
        <v>4</v>
      </c>
      <c r="V80" s="74">
        <f t="shared" si="19"/>
        <v>14</v>
      </c>
      <c r="W80" s="74">
        <f t="shared" si="19"/>
        <v>15.5</v>
      </c>
      <c r="X80" s="74">
        <f t="shared" si="19"/>
        <v>27.7</v>
      </c>
      <c r="Y80" s="74">
        <f t="shared" si="19"/>
        <v>20.2</v>
      </c>
      <c r="Z80" s="74">
        <f t="shared" si="19"/>
        <v>17</v>
      </c>
      <c r="AA80" s="74">
        <f t="shared" si="19"/>
        <v>8.4</v>
      </c>
      <c r="AB80" s="74">
        <f t="shared" si="19"/>
        <v>19.3</v>
      </c>
      <c r="AC80" s="74">
        <f t="shared" si="19"/>
        <v>24.3</v>
      </c>
      <c r="AD80" s="74">
        <f t="shared" si="19"/>
        <v>24.3</v>
      </c>
      <c r="AE80" s="74">
        <f t="shared" si="19"/>
        <v>20</v>
      </c>
      <c r="AF80" s="74">
        <f t="shared" si="19"/>
        <v>24</v>
      </c>
      <c r="AG80" s="79">
        <f t="shared" si="19"/>
        <v>0</v>
      </c>
      <c r="AH80" s="56">
        <f t="shared" si="16"/>
        <v>60.3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1702.68</v>
      </c>
      <c r="C81" s="74">
        <f t="shared" si="20"/>
        <v>1689.88</v>
      </c>
      <c r="D81" s="74">
        <f t="shared" si="20"/>
        <v>1696.2799999999997</v>
      </c>
      <c r="E81" s="74">
        <f t="shared" si="20"/>
        <v>1689.6799999999998</v>
      </c>
      <c r="F81" s="74">
        <f t="shared" si="20"/>
        <v>1723.2799999999997</v>
      </c>
      <c r="G81" s="74">
        <f t="shared" si="20"/>
        <v>1723.28</v>
      </c>
      <c r="H81" s="74">
        <f t="shared" si="20"/>
        <v>1976.08</v>
      </c>
      <c r="I81" s="74">
        <f t="shared" si="20"/>
        <v>2068.08</v>
      </c>
      <c r="J81" s="74">
        <f t="shared" si="20"/>
        <v>2245.48</v>
      </c>
      <c r="K81" s="74">
        <f t="shared" si="20"/>
        <v>2309.8799999999997</v>
      </c>
      <c r="L81" s="74">
        <f t="shared" si="20"/>
        <v>2393.8799999999997</v>
      </c>
      <c r="M81" s="74">
        <f t="shared" si="20"/>
        <v>2295.48</v>
      </c>
      <c r="N81" s="74">
        <f t="shared" si="20"/>
        <v>2207.6800000000003</v>
      </c>
      <c r="O81" s="74">
        <f t="shared" si="20"/>
        <v>2214.88</v>
      </c>
      <c r="P81" s="74">
        <f t="shared" si="20"/>
        <v>2147.08</v>
      </c>
      <c r="Q81" s="74">
        <f t="shared" si="20"/>
        <v>2123.08</v>
      </c>
      <c r="R81" s="74">
        <f t="shared" si="20"/>
        <v>2168.6799999999998</v>
      </c>
      <c r="S81" s="74">
        <f t="shared" si="20"/>
        <v>2217.0799999999995</v>
      </c>
      <c r="T81" s="74">
        <f t="shared" si="20"/>
        <v>2208.0799999999995</v>
      </c>
      <c r="U81" s="74">
        <f t="shared" si="20"/>
        <v>2396.2799999999997</v>
      </c>
      <c r="V81" s="74">
        <f t="shared" si="20"/>
        <v>2473.6799999999998</v>
      </c>
      <c r="W81" s="74">
        <f t="shared" si="20"/>
        <v>2753.28</v>
      </c>
      <c r="X81" s="74">
        <f t="shared" si="20"/>
        <v>2671.68</v>
      </c>
      <c r="Y81" s="74">
        <f t="shared" si="20"/>
        <v>2531.6799999999994</v>
      </c>
      <c r="Z81" s="74">
        <f t="shared" si="20"/>
        <v>2394.88</v>
      </c>
      <c r="AA81" s="74">
        <f t="shared" si="20"/>
        <v>2246.88</v>
      </c>
      <c r="AB81" s="74">
        <f t="shared" si="20"/>
        <v>2105.88</v>
      </c>
      <c r="AC81" s="74">
        <f t="shared" si="20"/>
        <v>1981.6799999999998</v>
      </c>
      <c r="AD81" s="74">
        <f t="shared" si="20"/>
        <v>1810.6799999999998</v>
      </c>
      <c r="AE81" s="74">
        <f t="shared" si="20"/>
        <v>1740.6799999999998</v>
      </c>
      <c r="AF81" s="74">
        <f t="shared" si="20"/>
        <v>1723.4799999999998</v>
      </c>
      <c r="AG81" s="79">
        <f t="shared" si="20"/>
        <v>4238.08</v>
      </c>
      <c r="AH81" s="56">
        <f t="shared" si="16"/>
        <v>2753.28</v>
      </c>
      <c r="AI81" s="57">
        <f t="shared" si="17"/>
        <v>1689.6799999999998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49.981000000000002</v>
      </c>
      <c r="C82" s="96">
        <v>49.923000000000002</v>
      </c>
      <c r="D82" s="96">
        <v>49.936999999999998</v>
      </c>
      <c r="E82" s="96">
        <v>49.962000000000003</v>
      </c>
      <c r="F82" s="96">
        <v>49.994999999999997</v>
      </c>
      <c r="G82" s="96">
        <v>49.984000000000002</v>
      </c>
      <c r="H82" s="96">
        <v>49.917999999999999</v>
      </c>
      <c r="I82" s="96">
        <v>49.978000000000002</v>
      </c>
      <c r="J82" s="96">
        <v>50.04</v>
      </c>
      <c r="K82" s="96">
        <v>50.04</v>
      </c>
      <c r="L82" s="96">
        <v>49.933</v>
      </c>
      <c r="M82" s="96">
        <v>49.942999999999998</v>
      </c>
      <c r="N82" s="96">
        <v>49.993000000000002</v>
      </c>
      <c r="O82" s="96">
        <v>50.011000000000003</v>
      </c>
      <c r="P82" s="96">
        <v>49.92</v>
      </c>
      <c r="Q82" s="96">
        <v>49.96</v>
      </c>
      <c r="R82" s="96">
        <v>50.014000000000003</v>
      </c>
      <c r="S82" s="96">
        <v>49.911999999999999</v>
      </c>
      <c r="T82" s="96">
        <v>49.968000000000004</v>
      </c>
      <c r="U82" s="96">
        <v>49.911999999999999</v>
      </c>
      <c r="V82" s="96">
        <v>49.893999999999998</v>
      </c>
      <c r="W82" s="96">
        <v>50.001600000000003</v>
      </c>
      <c r="X82" s="96">
        <v>50.027000000000001</v>
      </c>
      <c r="Y82" s="96">
        <v>50.024999999999999</v>
      </c>
      <c r="Z82" s="96">
        <v>50.024999999999999</v>
      </c>
      <c r="AA82" s="96">
        <v>49.982999999999997</v>
      </c>
      <c r="AB82" s="96">
        <v>49.982999999999997</v>
      </c>
      <c r="AC82" s="96">
        <v>50.036000000000001</v>
      </c>
      <c r="AD82" s="96">
        <v>50.036000000000001</v>
      </c>
      <c r="AE82" s="96">
        <v>50.026000000000003</v>
      </c>
      <c r="AF82" s="96">
        <v>50.026000000000003</v>
      </c>
      <c r="AG82" s="98"/>
      <c r="AH82" s="56">
        <f t="shared" si="16"/>
        <v>50.04</v>
      </c>
      <c r="AI82" s="57">
        <f t="shared" si="17"/>
        <v>49.893999999999998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127.3</v>
      </c>
      <c r="C83" s="52">
        <v>127.6</v>
      </c>
      <c r="D83" s="52">
        <v>127.8</v>
      </c>
      <c r="E83" s="52">
        <v>127.6</v>
      </c>
      <c r="F83" s="52">
        <v>127.61</v>
      </c>
      <c r="G83" s="52">
        <v>125.1</v>
      </c>
      <c r="H83" s="52">
        <v>124.1</v>
      </c>
      <c r="I83" s="52">
        <v>123.5</v>
      </c>
      <c r="J83" s="52">
        <v>123.3</v>
      </c>
      <c r="K83" s="52">
        <v>123.3</v>
      </c>
      <c r="L83" s="52">
        <v>123.5</v>
      </c>
      <c r="M83" s="52">
        <v>124.6</v>
      </c>
      <c r="N83" s="52">
        <v>124.5</v>
      </c>
      <c r="O83" s="52">
        <v>124.9</v>
      </c>
      <c r="P83" s="52">
        <v>125.2</v>
      </c>
      <c r="Q83" s="52">
        <v>125.2</v>
      </c>
      <c r="R83" s="52">
        <v>124.5</v>
      </c>
      <c r="S83" s="52">
        <v>123.9</v>
      </c>
      <c r="T83" s="100">
        <v>124.6</v>
      </c>
      <c r="U83" s="52">
        <v>123.9</v>
      </c>
      <c r="V83" s="100">
        <v>124.1</v>
      </c>
      <c r="W83" s="100">
        <v>125.8</v>
      </c>
      <c r="X83" s="100">
        <v>126.4</v>
      </c>
      <c r="Y83" s="100">
        <v>127.5</v>
      </c>
      <c r="Z83" s="100">
        <v>127.5</v>
      </c>
      <c r="AA83" s="52">
        <v>126.6</v>
      </c>
      <c r="AB83" s="52">
        <v>126.6</v>
      </c>
      <c r="AC83" s="52">
        <v>125.5</v>
      </c>
      <c r="AD83" s="52">
        <v>125.5</v>
      </c>
      <c r="AE83" s="52">
        <v>126.4</v>
      </c>
      <c r="AF83" s="52">
        <v>126.4</v>
      </c>
      <c r="AG83" s="102"/>
      <c r="AH83" s="56">
        <f t="shared" si="16"/>
        <v>127.8</v>
      </c>
      <c r="AI83" s="57">
        <f t="shared" si="17"/>
        <v>123.3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131</v>
      </c>
      <c r="C84" s="52">
        <v>131.4</v>
      </c>
      <c r="D84" s="52">
        <v>131.4</v>
      </c>
      <c r="E84" s="52">
        <v>131.5</v>
      </c>
      <c r="F84" s="52">
        <v>131.19999999999999</v>
      </c>
      <c r="G84" s="52">
        <v>128.6</v>
      </c>
      <c r="H84" s="52">
        <v>127.5</v>
      </c>
      <c r="I84" s="52">
        <v>127.5</v>
      </c>
      <c r="J84" s="52">
        <v>126.4</v>
      </c>
      <c r="K84" s="52">
        <v>126.4</v>
      </c>
      <c r="L84" s="52">
        <v>126.8</v>
      </c>
      <c r="M84" s="52">
        <v>127.7</v>
      </c>
      <c r="N84" s="52">
        <v>127.5</v>
      </c>
      <c r="O84" s="52">
        <v>128</v>
      </c>
      <c r="P84" s="52">
        <v>128.6</v>
      </c>
      <c r="Q84" s="52">
        <v>128.30000000000001</v>
      </c>
      <c r="R84" s="52">
        <v>128.1</v>
      </c>
      <c r="S84" s="52">
        <v>127.3</v>
      </c>
      <c r="T84" s="100">
        <v>128</v>
      </c>
      <c r="U84" s="52">
        <v>127.3</v>
      </c>
      <c r="V84" s="100">
        <v>127.3</v>
      </c>
      <c r="W84" s="100">
        <v>128.19999999999999</v>
      </c>
      <c r="X84" s="100">
        <v>128.5</v>
      </c>
      <c r="Y84" s="100">
        <v>129.9</v>
      </c>
      <c r="Z84" s="100">
        <v>129.9</v>
      </c>
      <c r="AA84" s="52">
        <v>129.5</v>
      </c>
      <c r="AB84" s="52">
        <v>129.5</v>
      </c>
      <c r="AC84" s="52">
        <v>129.19999999999999</v>
      </c>
      <c r="AD84" s="52">
        <v>129.19999999999999</v>
      </c>
      <c r="AE84" s="52">
        <v>130.30000000000001</v>
      </c>
      <c r="AF84" s="52">
        <v>130.30000000000001</v>
      </c>
      <c r="AG84" s="102"/>
      <c r="AH84" s="56">
        <f t="shared" si="16"/>
        <v>131.5</v>
      </c>
      <c r="AI84" s="57">
        <f t="shared" si="17"/>
        <v>126.4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>
        <v>128.80000000000001</v>
      </c>
      <c r="C85" s="52">
        <v>128.80000000000001</v>
      </c>
      <c r="D85" s="52">
        <v>129.1</v>
      </c>
      <c r="E85" s="52">
        <v>128.80000000000001</v>
      </c>
      <c r="F85" s="52">
        <v>128.4</v>
      </c>
      <c r="G85" s="52">
        <v>129</v>
      </c>
      <c r="H85" s="52">
        <v>127.8</v>
      </c>
      <c r="I85" s="52">
        <v>127.8</v>
      </c>
      <c r="J85" s="52">
        <v>123</v>
      </c>
      <c r="K85" s="52">
        <v>123</v>
      </c>
      <c r="L85" s="52">
        <v>128</v>
      </c>
      <c r="M85" s="52">
        <v>127.6</v>
      </c>
      <c r="N85" s="52">
        <v>127.9</v>
      </c>
      <c r="O85" s="52"/>
      <c r="P85" s="52">
        <v>129.4</v>
      </c>
      <c r="Q85" s="52">
        <v>126.7</v>
      </c>
      <c r="R85" s="52">
        <v>125.5</v>
      </c>
      <c r="S85" s="52">
        <v>125.6</v>
      </c>
      <c r="T85" s="52">
        <v>127.3</v>
      </c>
      <c r="U85" s="52">
        <v>125.6</v>
      </c>
      <c r="V85" s="52">
        <v>123.3</v>
      </c>
      <c r="W85" s="52">
        <v>126.6</v>
      </c>
      <c r="X85" s="100">
        <v>127.7</v>
      </c>
      <c r="Y85" s="100">
        <v>129.6</v>
      </c>
      <c r="Z85" s="100">
        <v>129.6</v>
      </c>
      <c r="AA85" s="52">
        <v>129.5</v>
      </c>
      <c r="AB85" s="52">
        <v>129.9</v>
      </c>
      <c r="AC85" s="52">
        <v>128.9</v>
      </c>
      <c r="AD85" s="52">
        <v>128.9</v>
      </c>
      <c r="AE85" s="52">
        <v>127.7</v>
      </c>
      <c r="AF85" s="52">
        <v>127.7</v>
      </c>
      <c r="AG85" s="102"/>
      <c r="AH85" s="56">
        <f t="shared" si="16"/>
        <v>129.9</v>
      </c>
      <c r="AI85" s="57">
        <f t="shared" si="17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>
        <v>132.69999999999999</v>
      </c>
      <c r="C86" s="52">
        <v>132.80000000000001</v>
      </c>
      <c r="D86" s="52">
        <v>135.4</v>
      </c>
      <c r="E86" s="52">
        <v>133.19999999999999</v>
      </c>
      <c r="F86" s="52">
        <v>133.1</v>
      </c>
      <c r="G86" s="52">
        <v>131.6</v>
      </c>
      <c r="H86" s="52">
        <v>130.9</v>
      </c>
      <c r="I86" s="52">
        <v>130.9</v>
      </c>
      <c r="J86" s="52">
        <v>125.2</v>
      </c>
      <c r="K86" s="52">
        <v>125.2</v>
      </c>
      <c r="L86" s="52">
        <v>130.5</v>
      </c>
      <c r="M86" s="52">
        <v>130.19999999999999</v>
      </c>
      <c r="N86" s="52">
        <v>130.6</v>
      </c>
      <c r="O86" s="52"/>
      <c r="P86" s="52">
        <v>132</v>
      </c>
      <c r="Q86" s="52">
        <v>130.69999999999999</v>
      </c>
      <c r="R86" s="52">
        <v>130.1</v>
      </c>
      <c r="S86" s="52">
        <v>129.30000000000001</v>
      </c>
      <c r="T86" s="52">
        <v>130.1</v>
      </c>
      <c r="U86" s="52">
        <v>129.30000000000001</v>
      </c>
      <c r="V86" s="52">
        <v>126.7</v>
      </c>
      <c r="W86" s="52">
        <v>130.4</v>
      </c>
      <c r="X86" s="100">
        <v>131.4</v>
      </c>
      <c r="Y86" s="100">
        <v>133.5</v>
      </c>
      <c r="Z86" s="100">
        <v>133.5</v>
      </c>
      <c r="AA86" s="52">
        <v>132</v>
      </c>
      <c r="AB86" s="52">
        <v>132.5</v>
      </c>
      <c r="AC86" s="52">
        <v>132.69999999999999</v>
      </c>
      <c r="AD86" s="52">
        <v>132.69999999999999</v>
      </c>
      <c r="AE86" s="52">
        <v>132.1</v>
      </c>
      <c r="AF86" s="52">
        <v>132.1</v>
      </c>
      <c r="AG86" s="102"/>
      <c r="AH86" s="56">
        <f t="shared" si="16"/>
        <v>135.4</v>
      </c>
      <c r="AI86" s="57">
        <f t="shared" si="17"/>
        <v>125.2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133.19999999999999</v>
      </c>
      <c r="C87" s="104">
        <v>133.69999999999999</v>
      </c>
      <c r="D87" s="104">
        <v>133.9</v>
      </c>
      <c r="E87" s="104">
        <v>133.30000000000001</v>
      </c>
      <c r="F87" s="104">
        <v>133.1</v>
      </c>
      <c r="G87" s="104">
        <v>133.30000000000001</v>
      </c>
      <c r="H87" s="104">
        <v>132.4</v>
      </c>
      <c r="I87" s="104">
        <v>132.4</v>
      </c>
      <c r="J87" s="104">
        <v>131.4</v>
      </c>
      <c r="K87" s="104">
        <v>131.4</v>
      </c>
      <c r="L87" s="104">
        <v>134.1</v>
      </c>
      <c r="M87" s="104">
        <v>129.69999999999999</v>
      </c>
      <c r="N87" s="104">
        <v>132.9</v>
      </c>
      <c r="O87" s="104">
        <v>133.19999999999999</v>
      </c>
      <c r="P87" s="104">
        <v>134.30000000000001</v>
      </c>
      <c r="Q87" s="104">
        <v>134.1</v>
      </c>
      <c r="R87" s="104">
        <v>132.4</v>
      </c>
      <c r="S87" s="104">
        <v>132.1</v>
      </c>
      <c r="T87" s="104">
        <v>133.1</v>
      </c>
      <c r="U87" s="104">
        <v>132.1</v>
      </c>
      <c r="V87" s="104">
        <v>134.4</v>
      </c>
      <c r="W87" s="104">
        <v>131.9</v>
      </c>
      <c r="X87" s="100">
        <v>134.4</v>
      </c>
      <c r="Y87" s="100">
        <v>135.5</v>
      </c>
      <c r="Z87" s="100">
        <v>135.5</v>
      </c>
      <c r="AA87" s="104">
        <v>133.69999999999999</v>
      </c>
      <c r="AB87" s="104">
        <v>134.9</v>
      </c>
      <c r="AC87" s="104">
        <v>134</v>
      </c>
      <c r="AD87" s="104">
        <v>134</v>
      </c>
      <c r="AE87" s="104">
        <v>131.19999999999999</v>
      </c>
      <c r="AF87" s="104">
        <v>131.19999999999999</v>
      </c>
      <c r="AG87" s="106"/>
      <c r="AH87" s="56">
        <f t="shared" si="16"/>
        <v>135.5</v>
      </c>
      <c r="AI87" s="57">
        <f t="shared" si="17"/>
        <v>129.69999999999999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133.6</v>
      </c>
      <c r="C88" s="52">
        <v>134.1</v>
      </c>
      <c r="D88" s="52">
        <v>131.9</v>
      </c>
      <c r="E88" s="52">
        <v>134</v>
      </c>
      <c r="F88" s="52">
        <v>131.9</v>
      </c>
      <c r="G88" s="52">
        <v>130.80000000000001</v>
      </c>
      <c r="H88" s="52">
        <v>129.69999999999999</v>
      </c>
      <c r="I88" s="52">
        <v>129.69999999999999</v>
      </c>
      <c r="J88" s="52">
        <v>126.9</v>
      </c>
      <c r="K88" s="52">
        <v>126.9</v>
      </c>
      <c r="L88" s="52">
        <v>129.9</v>
      </c>
      <c r="M88" s="52">
        <v>125.8</v>
      </c>
      <c r="N88" s="52">
        <v>131.19999999999999</v>
      </c>
      <c r="O88" s="52">
        <v>131.9</v>
      </c>
      <c r="P88" s="52">
        <v>132.4</v>
      </c>
      <c r="Q88" s="52">
        <v>133.6</v>
      </c>
      <c r="R88" s="52">
        <v>128.4</v>
      </c>
      <c r="S88" s="52">
        <v>127.8</v>
      </c>
      <c r="T88" s="52">
        <v>128.6</v>
      </c>
      <c r="U88" s="52">
        <v>127.8</v>
      </c>
      <c r="V88" s="52">
        <v>131.6</v>
      </c>
      <c r="W88" s="52">
        <v>127.8</v>
      </c>
      <c r="X88" s="100">
        <v>132.69999999999999</v>
      </c>
      <c r="Y88" s="100">
        <v>135.5</v>
      </c>
      <c r="Z88" s="100">
        <v>135.5</v>
      </c>
      <c r="AA88" s="52">
        <v>133</v>
      </c>
      <c r="AB88" s="52">
        <v>135.19999999999999</v>
      </c>
      <c r="AC88" s="52">
        <v>133.80000000000001</v>
      </c>
      <c r="AD88" s="52">
        <v>133.80000000000001</v>
      </c>
      <c r="AE88" s="52">
        <v>132.80000000000001</v>
      </c>
      <c r="AF88" s="52">
        <v>132.80000000000001</v>
      </c>
      <c r="AG88" s="102"/>
      <c r="AH88" s="56">
        <f t="shared" si="16"/>
        <v>135.5</v>
      </c>
      <c r="AI88" s="57">
        <f t="shared" si="17"/>
        <v>125.8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67.2</v>
      </c>
      <c r="C89" s="107">
        <v>67</v>
      </c>
      <c r="D89" s="107">
        <v>67.099999999999994</v>
      </c>
      <c r="E89" s="107">
        <v>66.900000000000006</v>
      </c>
      <c r="F89" s="107">
        <v>66</v>
      </c>
      <c r="G89" s="107">
        <v>65.5</v>
      </c>
      <c r="H89" s="107">
        <v>64.900000000000006</v>
      </c>
      <c r="I89" s="107">
        <v>64.900000000000006</v>
      </c>
      <c r="J89" s="107">
        <v>64.5</v>
      </c>
      <c r="K89" s="107">
        <v>64.5</v>
      </c>
      <c r="L89" s="107">
        <v>64.5</v>
      </c>
      <c r="M89" s="107">
        <v>65.3</v>
      </c>
      <c r="N89" s="107">
        <v>65.2</v>
      </c>
      <c r="O89" s="107">
        <v>65.400000000000006</v>
      </c>
      <c r="P89" s="107">
        <v>65.599999999999994</v>
      </c>
      <c r="Q89" s="107">
        <v>65.5</v>
      </c>
      <c r="R89" s="107">
        <v>65.400000000000006</v>
      </c>
      <c r="S89" s="107">
        <v>65.099999999999994</v>
      </c>
      <c r="T89" s="107">
        <v>65.3</v>
      </c>
      <c r="U89" s="107">
        <v>65.099999999999994</v>
      </c>
      <c r="V89" s="107">
        <v>65</v>
      </c>
      <c r="W89" s="107">
        <v>65.7</v>
      </c>
      <c r="X89" s="107">
        <v>65.5</v>
      </c>
      <c r="Y89" s="107">
        <v>66.599999999999994</v>
      </c>
      <c r="Z89" s="107">
        <v>66.599999999999994</v>
      </c>
      <c r="AA89" s="107">
        <v>66.2</v>
      </c>
      <c r="AB89" s="107">
        <v>66.2</v>
      </c>
      <c r="AC89" s="107">
        <v>66</v>
      </c>
      <c r="AD89" s="107">
        <v>66</v>
      </c>
      <c r="AE89" s="107">
        <v>66.8</v>
      </c>
      <c r="AF89" s="107">
        <v>66.8</v>
      </c>
      <c r="AG89" s="109"/>
      <c r="AH89" s="56">
        <f t="shared" si="16"/>
        <v>67.2</v>
      </c>
      <c r="AI89" s="57">
        <f t="shared" si="17"/>
        <v>64.5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120.14</v>
      </c>
      <c r="C91" s="114">
        <f t="shared" ref="C91:AF91" si="21">SUM(C14,C17,C20:C21,C40,C42:C43,C45,C47,C92:C95,C100,C106,C112,C121,C123,C135,C142,C145:C146,C153,C155,C157,C161:C163,C165:C167,C172,C178:C179,C181:C183,C191,C196)</f>
        <v>118.14</v>
      </c>
      <c r="D91" s="114">
        <f t="shared" si="21"/>
        <v>115.64</v>
      </c>
      <c r="E91" s="114">
        <f t="shared" si="21"/>
        <v>114.33999999999999</v>
      </c>
      <c r="F91" s="115">
        <f t="shared" si="21"/>
        <v>129.73999999999998</v>
      </c>
      <c r="G91" s="115">
        <f t="shared" si="21"/>
        <v>167.64</v>
      </c>
      <c r="H91" s="115">
        <f t="shared" si="21"/>
        <v>194.24</v>
      </c>
      <c r="I91" s="115">
        <f t="shared" si="21"/>
        <v>224.64</v>
      </c>
      <c r="J91" s="115">
        <f t="shared" si="21"/>
        <v>266.64000000000004</v>
      </c>
      <c r="K91" s="115">
        <f t="shared" si="21"/>
        <v>289.74</v>
      </c>
      <c r="L91" s="115">
        <f t="shared" si="21"/>
        <v>315.04000000000008</v>
      </c>
      <c r="M91" s="115">
        <f t="shared" si="21"/>
        <v>277.24</v>
      </c>
      <c r="N91" s="115">
        <f t="shared" si="21"/>
        <v>269.03999999999996</v>
      </c>
      <c r="O91" s="115">
        <f t="shared" si="21"/>
        <v>261.54000000000002</v>
      </c>
      <c r="P91" s="115">
        <f t="shared" si="21"/>
        <v>256.64</v>
      </c>
      <c r="Q91" s="115">
        <f t="shared" si="21"/>
        <v>249.33999999999997</v>
      </c>
      <c r="R91" s="115">
        <f t="shared" si="21"/>
        <v>238.34</v>
      </c>
      <c r="S91" s="115">
        <f t="shared" si="21"/>
        <v>248.93999999999997</v>
      </c>
      <c r="T91" s="115">
        <f t="shared" si="21"/>
        <v>257.54000000000002</v>
      </c>
      <c r="U91" s="115">
        <f t="shared" si="21"/>
        <v>266.74</v>
      </c>
      <c r="V91" s="115">
        <f t="shared" si="21"/>
        <v>315.14</v>
      </c>
      <c r="W91" s="115">
        <f t="shared" si="21"/>
        <v>348.54</v>
      </c>
      <c r="X91" s="115">
        <f t="shared" si="21"/>
        <v>336.74</v>
      </c>
      <c r="Y91" s="115">
        <f t="shared" si="21"/>
        <v>322.24</v>
      </c>
      <c r="Z91" s="115">
        <f t="shared" si="21"/>
        <v>322.14</v>
      </c>
      <c r="AA91" s="115">
        <f t="shared" si="21"/>
        <v>283.04000000000002</v>
      </c>
      <c r="AB91" s="115">
        <f t="shared" si="21"/>
        <v>251.33999999999995</v>
      </c>
      <c r="AC91" s="115">
        <f t="shared" si="21"/>
        <v>225.53999999999996</v>
      </c>
      <c r="AD91" s="115">
        <f t="shared" si="21"/>
        <v>200.53999999999996</v>
      </c>
      <c r="AE91" s="115">
        <f t="shared" si="21"/>
        <v>145.03999999999996</v>
      </c>
      <c r="AF91" s="115">
        <f t="shared" si="21"/>
        <v>139.43999999999997</v>
      </c>
      <c r="AG91" s="116"/>
      <c r="AH91" s="56">
        <f>MAX(B91:AF91)</f>
        <v>348.54</v>
      </c>
      <c r="AI91" s="57">
        <f>MIN(B91:AF91)</f>
        <v>114.33999999999999</v>
      </c>
    </row>
    <row r="92" spans="1:88" x14ac:dyDescent="0.25">
      <c r="A92" s="117" t="s">
        <v>96</v>
      </c>
      <c r="B92" s="60">
        <v>35.6</v>
      </c>
      <c r="C92" s="60">
        <v>37</v>
      </c>
      <c r="D92" s="60">
        <v>37.9</v>
      </c>
      <c r="E92" s="60">
        <v>36</v>
      </c>
      <c r="F92" s="118">
        <v>43.3</v>
      </c>
      <c r="G92" s="118">
        <v>46.8</v>
      </c>
      <c r="H92" s="118">
        <v>45.8</v>
      </c>
      <c r="I92" s="118">
        <v>45.7</v>
      </c>
      <c r="J92" s="118">
        <v>62.8</v>
      </c>
      <c r="K92" s="118">
        <v>62.8</v>
      </c>
      <c r="L92" s="54">
        <v>69.3</v>
      </c>
      <c r="M92" s="118">
        <v>32</v>
      </c>
      <c r="N92" s="118">
        <v>35</v>
      </c>
      <c r="O92" s="118">
        <v>36.9</v>
      </c>
      <c r="P92" s="118">
        <v>39.5</v>
      </c>
      <c r="Q92" s="118">
        <v>30.9</v>
      </c>
      <c r="R92" s="118">
        <v>26.2</v>
      </c>
      <c r="S92" s="118">
        <v>39.5</v>
      </c>
      <c r="T92" s="54">
        <v>41.7</v>
      </c>
      <c r="U92" s="118">
        <v>39.5</v>
      </c>
      <c r="V92" s="54">
        <v>41.9</v>
      </c>
      <c r="W92" s="54">
        <v>33</v>
      </c>
      <c r="X92" s="118">
        <v>37.200000000000003</v>
      </c>
      <c r="Y92" s="118">
        <v>44.4</v>
      </c>
      <c r="Z92" s="118">
        <v>52</v>
      </c>
      <c r="AA92" s="54">
        <v>61.9</v>
      </c>
      <c r="AB92" s="54">
        <v>68.2</v>
      </c>
      <c r="AC92" s="54">
        <v>72</v>
      </c>
      <c r="AD92" s="54">
        <v>72</v>
      </c>
      <c r="AE92" s="54">
        <v>49.6</v>
      </c>
      <c r="AF92" s="54">
        <v>49.6</v>
      </c>
      <c r="AG92" s="120">
        <v>75</v>
      </c>
      <c r="AH92" s="56">
        <f t="shared" ref="AH92:AH97" si="22">IF(ABS(MAX(B92:AF92))&gt;ABS(MIN(B92:AF92)),MAX(B92:AF92),MIN(B92:AF92))</f>
        <v>72</v>
      </c>
      <c r="AI92" s="121">
        <f t="shared" ref="AI92:AI97" si="23">INDEX($B$9:$AF$9,1,MATCH(AH92,B92:AF92,0))</f>
        <v>0.875</v>
      </c>
    </row>
    <row r="93" spans="1:88" x14ac:dyDescent="0.25">
      <c r="A93" s="122" t="s">
        <v>97</v>
      </c>
      <c r="B93" s="62">
        <v>-74.099999999999994</v>
      </c>
      <c r="C93" s="62">
        <v>-75.5</v>
      </c>
      <c r="D93" s="62">
        <v>-76.599999999999994</v>
      </c>
      <c r="E93" s="62">
        <v>-74.5</v>
      </c>
      <c r="F93" s="62">
        <v>-70.599999999999994</v>
      </c>
      <c r="G93" s="62">
        <v>-64.5</v>
      </c>
      <c r="H93" s="62">
        <v>-59.6</v>
      </c>
      <c r="I93" s="62">
        <v>-50</v>
      </c>
      <c r="J93" s="62">
        <v>-45.1</v>
      </c>
      <c r="K93" s="62">
        <v>-45.1</v>
      </c>
      <c r="L93" s="62">
        <v>-46.5</v>
      </c>
      <c r="M93" s="62">
        <v>-42.5</v>
      </c>
      <c r="N93" s="62">
        <v>-38</v>
      </c>
      <c r="O93" s="62">
        <v>-48</v>
      </c>
      <c r="P93" s="62">
        <f>-19.3-23.5</f>
        <v>-42.8</v>
      </c>
      <c r="Q93" s="62">
        <f>-20.5-24</f>
        <v>-44.5</v>
      </c>
      <c r="R93" s="62">
        <v>-54.3</v>
      </c>
      <c r="S93" s="62">
        <v>-53</v>
      </c>
      <c r="T93" s="62">
        <v>-54</v>
      </c>
      <c r="U93" s="62">
        <v>-53</v>
      </c>
      <c r="V93" s="62">
        <v>-43</v>
      </c>
      <c r="W93" s="62">
        <v>-28.8</v>
      </c>
      <c r="X93" s="62">
        <v>-28.7</v>
      </c>
      <c r="Y93" s="62">
        <v>-32</v>
      </c>
      <c r="Z93" s="62">
        <v>-40</v>
      </c>
      <c r="AA93" s="52">
        <v>-44.6</v>
      </c>
      <c r="AB93" s="52">
        <v>-53</v>
      </c>
      <c r="AC93" s="52">
        <v>-60</v>
      </c>
      <c r="AD93" s="52">
        <v>-60</v>
      </c>
      <c r="AE93" s="52">
        <v>-66</v>
      </c>
      <c r="AF93" s="52">
        <v>-66</v>
      </c>
      <c r="AG93" s="120">
        <v>240</v>
      </c>
      <c r="AH93" s="56">
        <f t="shared" si="22"/>
        <v>-76.599999999999994</v>
      </c>
      <c r="AI93" s="121">
        <f t="shared" si="23"/>
        <v>0.125</v>
      </c>
    </row>
    <row r="94" spans="1:88" x14ac:dyDescent="0.25">
      <c r="A94" s="122" t="s">
        <v>98</v>
      </c>
      <c r="B94" s="62">
        <v>-8.1</v>
      </c>
      <c r="C94" s="62">
        <v>-6.8</v>
      </c>
      <c r="D94" s="62">
        <v>-6.8</v>
      </c>
      <c r="E94" s="62">
        <v>-5.8</v>
      </c>
      <c r="F94" s="62">
        <v>-2</v>
      </c>
      <c r="G94" s="62">
        <v>-2.7</v>
      </c>
      <c r="H94" s="62">
        <v>-2.1</v>
      </c>
      <c r="I94" s="62">
        <v>2.8</v>
      </c>
      <c r="J94" s="62">
        <v>5.0999999999999996</v>
      </c>
      <c r="K94" s="62">
        <v>5.0999999999999996</v>
      </c>
      <c r="L94" s="62">
        <v>2.9</v>
      </c>
      <c r="M94" s="62">
        <v>6.6</v>
      </c>
      <c r="N94" s="62">
        <v>12</v>
      </c>
      <c r="O94" s="62">
        <v>13.8</v>
      </c>
      <c r="P94" s="62">
        <v>14.5</v>
      </c>
      <c r="Q94" s="62">
        <v>12.9</v>
      </c>
      <c r="R94" s="62">
        <v>11.8</v>
      </c>
      <c r="S94" s="62">
        <v>11.7</v>
      </c>
      <c r="T94" s="62">
        <v>13.9</v>
      </c>
      <c r="U94" s="62">
        <v>11.7</v>
      </c>
      <c r="V94" s="62">
        <v>18.7</v>
      </c>
      <c r="W94" s="62">
        <v>34.700000000000003</v>
      </c>
      <c r="X94" s="62">
        <v>26.7</v>
      </c>
      <c r="Y94" s="62">
        <v>21.1</v>
      </c>
      <c r="Z94" s="62">
        <v>21.2</v>
      </c>
      <c r="AA94" s="52">
        <v>14.8</v>
      </c>
      <c r="AB94" s="52">
        <v>9.1</v>
      </c>
      <c r="AC94" s="52">
        <v>5.4</v>
      </c>
      <c r="AD94" s="52">
        <v>5.4</v>
      </c>
      <c r="AE94" s="52">
        <v>-3.2</v>
      </c>
      <c r="AF94" s="52">
        <v>-3.2</v>
      </c>
      <c r="AG94" s="120">
        <v>60</v>
      </c>
      <c r="AH94" s="56">
        <f t="shared" si="22"/>
        <v>34.700000000000003</v>
      </c>
      <c r="AI94" s="121">
        <f t="shared" si="23"/>
        <v>0.75</v>
      </c>
    </row>
    <row r="95" spans="1:88" x14ac:dyDescent="0.25">
      <c r="A95" s="124" t="s">
        <v>99</v>
      </c>
      <c r="B95" s="65">
        <v>-10.1</v>
      </c>
      <c r="C95" s="65">
        <v>-13.4</v>
      </c>
      <c r="D95" s="65">
        <v>-16</v>
      </c>
      <c r="E95" s="65">
        <v>-15.4</v>
      </c>
      <c r="F95" s="65">
        <v>-15</v>
      </c>
      <c r="G95" s="65">
        <v>14</v>
      </c>
      <c r="H95" s="65">
        <v>21.8</v>
      </c>
      <c r="I95" s="65">
        <v>33.799999999999997</v>
      </c>
      <c r="J95" s="65">
        <v>38.799999999999997</v>
      </c>
      <c r="K95" s="65">
        <v>38.799999999999997</v>
      </c>
      <c r="L95" s="65">
        <v>49.5</v>
      </c>
      <c r="M95" s="65">
        <v>61.6</v>
      </c>
      <c r="N95" s="65">
        <v>64</v>
      </c>
      <c r="O95" s="65">
        <v>56.3</v>
      </c>
      <c r="P95" s="65">
        <v>42</v>
      </c>
      <c r="Q95" s="65">
        <v>45.8</v>
      </c>
      <c r="R95" s="65">
        <v>39.9</v>
      </c>
      <c r="S95" s="65">
        <v>35.5</v>
      </c>
      <c r="T95" s="65">
        <v>31.7</v>
      </c>
      <c r="U95" s="65">
        <v>35.5</v>
      </c>
      <c r="V95" s="65">
        <v>64.5</v>
      </c>
      <c r="W95" s="65">
        <v>71.5</v>
      </c>
      <c r="X95" s="65">
        <v>63.4</v>
      </c>
      <c r="Y95" s="65">
        <v>54.8</v>
      </c>
      <c r="Z95" s="65">
        <v>55</v>
      </c>
      <c r="AA95" s="125">
        <v>17</v>
      </c>
      <c r="AB95" s="125">
        <v>3</v>
      </c>
      <c r="AC95" s="125">
        <v>-10.9</v>
      </c>
      <c r="AD95" s="125">
        <v>-10.9</v>
      </c>
      <c r="AE95" s="125">
        <v>-9.4</v>
      </c>
      <c r="AF95" s="125">
        <v>-9.4</v>
      </c>
      <c r="AG95" s="127">
        <v>120</v>
      </c>
      <c r="AH95" s="56">
        <f t="shared" si="22"/>
        <v>71.5</v>
      </c>
      <c r="AI95" s="121">
        <f t="shared" si="23"/>
        <v>0.75</v>
      </c>
    </row>
    <row r="96" spans="1:88" x14ac:dyDescent="0.25">
      <c r="A96" s="124" t="s">
        <v>100</v>
      </c>
      <c r="B96" s="65">
        <v>21.8</v>
      </c>
      <c r="C96" s="65">
        <v>16.2</v>
      </c>
      <c r="D96" s="65">
        <v>13.9</v>
      </c>
      <c r="E96" s="65">
        <v>17.2</v>
      </c>
      <c r="F96" s="65">
        <v>17.3</v>
      </c>
      <c r="G96" s="65">
        <v>29.3</v>
      </c>
      <c r="H96" s="65">
        <v>35.6</v>
      </c>
      <c r="I96" s="65">
        <v>44</v>
      </c>
      <c r="J96" s="65">
        <v>46.5</v>
      </c>
      <c r="K96" s="65">
        <v>46.5</v>
      </c>
      <c r="L96" s="65">
        <v>59.6</v>
      </c>
      <c r="M96" s="65">
        <v>69</v>
      </c>
      <c r="N96" s="65">
        <v>67</v>
      </c>
      <c r="O96" s="65">
        <v>62.5</v>
      </c>
      <c r="P96" s="65">
        <v>53.1</v>
      </c>
      <c r="Q96" s="65">
        <v>58.6</v>
      </c>
      <c r="R96" s="65">
        <v>56.6</v>
      </c>
      <c r="S96" s="65">
        <v>49.4</v>
      </c>
      <c r="T96" s="65">
        <v>46.2</v>
      </c>
      <c r="U96" s="65">
        <v>49.4</v>
      </c>
      <c r="V96" s="65">
        <v>63.3</v>
      </c>
      <c r="W96" s="65">
        <v>64.900000000000006</v>
      </c>
      <c r="X96" s="65">
        <v>60.8</v>
      </c>
      <c r="Y96" s="65">
        <v>52.8</v>
      </c>
      <c r="Z96" s="65">
        <v>50</v>
      </c>
      <c r="AA96" s="125">
        <v>30.9</v>
      </c>
      <c r="AB96" s="125">
        <v>21</v>
      </c>
      <c r="AC96" s="125">
        <v>11.2</v>
      </c>
      <c r="AD96" s="125">
        <v>11.2</v>
      </c>
      <c r="AE96" s="125">
        <v>22.1</v>
      </c>
      <c r="AF96" s="125">
        <v>22.1</v>
      </c>
      <c r="AG96" s="127"/>
      <c r="AH96" s="56">
        <f t="shared" si="22"/>
        <v>69</v>
      </c>
      <c r="AI96" s="121">
        <f t="shared" si="23"/>
        <v>0.375</v>
      </c>
    </row>
    <row r="97" spans="1:37" ht="15.75" thickBot="1" x14ac:dyDescent="0.3">
      <c r="A97" s="124" t="s">
        <v>101</v>
      </c>
      <c r="B97" s="65">
        <v>27.7</v>
      </c>
      <c r="C97" s="65">
        <v>29.7</v>
      </c>
      <c r="D97" s="65">
        <v>28.6</v>
      </c>
      <c r="E97" s="65">
        <v>34.4</v>
      </c>
      <c r="F97" s="65">
        <v>30</v>
      </c>
      <c r="G97" s="65">
        <v>43.9</v>
      </c>
      <c r="H97" s="65">
        <v>47.6</v>
      </c>
      <c r="I97" s="65">
        <v>45.8</v>
      </c>
      <c r="J97" s="65">
        <v>36.700000000000003</v>
      </c>
      <c r="K97" s="65">
        <v>36.700000000000003</v>
      </c>
      <c r="L97" s="65">
        <v>34</v>
      </c>
      <c r="M97" s="65">
        <v>56.4</v>
      </c>
      <c r="N97" s="65">
        <v>54</v>
      </c>
      <c r="O97" s="65">
        <v>55</v>
      </c>
      <c r="P97" s="65">
        <v>53.1</v>
      </c>
      <c r="Q97" s="65">
        <v>63.2</v>
      </c>
      <c r="R97" s="65">
        <v>66.8</v>
      </c>
      <c r="S97" s="65">
        <v>52.6</v>
      </c>
      <c r="T97" s="65">
        <v>49.1</v>
      </c>
      <c r="U97" s="65">
        <v>52.6</v>
      </c>
      <c r="V97" s="65">
        <v>60.6</v>
      </c>
      <c r="W97" s="65">
        <v>71.2</v>
      </c>
      <c r="X97" s="65">
        <v>66.599999999999994</v>
      </c>
      <c r="Y97" s="65">
        <v>62.1</v>
      </c>
      <c r="Z97" s="65">
        <v>50</v>
      </c>
      <c r="AA97" s="125">
        <v>31.6</v>
      </c>
      <c r="AB97" s="125">
        <v>25.8</v>
      </c>
      <c r="AC97" s="125">
        <v>20.399999999999999</v>
      </c>
      <c r="AD97" s="125">
        <v>20.399999999999999</v>
      </c>
      <c r="AE97" s="125">
        <v>32.5</v>
      </c>
      <c r="AF97" s="125">
        <v>32.5</v>
      </c>
      <c r="AG97" s="128"/>
      <c r="AH97" s="56">
        <f t="shared" si="22"/>
        <v>71.2</v>
      </c>
      <c r="AI97" s="121">
        <f t="shared" si="23"/>
        <v>0.75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1174.74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14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2078/07/14)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2078/07/14)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817.93999999999994</v>
      </c>
      <c r="U211" s="173">
        <f t="shared" si="52"/>
        <v>796.44</v>
      </c>
      <c r="V211" s="173">
        <f t="shared" si="52"/>
        <v>791.04</v>
      </c>
      <c r="W211" s="173">
        <f t="shared" si="52"/>
        <v>784.54</v>
      </c>
      <c r="X211" s="173">
        <f t="shared" si="52"/>
        <v>818.33999999999992</v>
      </c>
      <c r="Y211" s="173">
        <f t="shared" si="52"/>
        <v>835.64</v>
      </c>
      <c r="Z211" s="173">
        <f t="shared" si="52"/>
        <v>961.44</v>
      </c>
      <c r="AA211" s="173">
        <f t="shared" si="52"/>
        <v>1034.04</v>
      </c>
      <c r="AB211" s="173">
        <f t="shared" si="52"/>
        <v>1116.24</v>
      </c>
      <c r="AC211" s="173">
        <f t="shared" si="52"/>
        <v>1150.74</v>
      </c>
      <c r="AD211" s="173">
        <f t="shared" si="52"/>
        <v>1174.74</v>
      </c>
      <c r="AE211" s="173">
        <f t="shared" si="52"/>
        <v>1142.74</v>
      </c>
      <c r="AF211" s="173">
        <f t="shared" si="52"/>
        <v>1098.8400000000001</v>
      </c>
      <c r="AG211" s="173">
        <f t="shared" si="52"/>
        <v>1087.44</v>
      </c>
      <c r="AH211" s="173">
        <f t="shared" si="52"/>
        <v>1058.54</v>
      </c>
      <c r="AI211" s="173">
        <f t="shared" si="52"/>
        <v>1046.54</v>
      </c>
      <c r="AJ211" s="173">
        <f t="shared" si="52"/>
        <v>1084.3399999999999</v>
      </c>
      <c r="AK211" s="173">
        <f t="shared" si="52"/>
        <v>1084.8399999999999</v>
      </c>
      <c r="AL211" s="173">
        <f t="shared" si="52"/>
        <v>1090.8</v>
      </c>
      <c r="AM211" s="173">
        <f t="shared" si="52"/>
        <v>1194.1399999999999</v>
      </c>
      <c r="AN211" s="173">
        <f t="shared" si="52"/>
        <v>1222.8399999999999</v>
      </c>
      <c r="AO211" s="173">
        <f t="shared" si="52"/>
        <v>1361.14</v>
      </c>
      <c r="AP211" s="173">
        <f t="shared" si="52"/>
        <v>1308.1400000000001</v>
      </c>
      <c r="AQ211" s="173">
        <f t="shared" si="52"/>
        <v>1245.6399999999999</v>
      </c>
      <c r="AR211" s="173">
        <f t="shared" si="52"/>
        <v>1180.44</v>
      </c>
      <c r="AS211" s="173">
        <f t="shared" si="52"/>
        <v>1115.04</v>
      </c>
      <c r="AT211" s="173">
        <f t="shared" si="52"/>
        <v>1033.6399999999999</v>
      </c>
      <c r="AU211" s="173">
        <f t="shared" si="52"/>
        <v>966.54</v>
      </c>
      <c r="AV211" s="173">
        <f t="shared" si="52"/>
        <v>881.04</v>
      </c>
      <c r="AW211" s="173">
        <f t="shared" si="52"/>
        <v>850.33999999999992</v>
      </c>
      <c r="AX211" s="173">
        <f t="shared" si="52"/>
        <v>837.7399999999999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275" priority="294">
      <formula>S$9&gt;=20/24</formula>
    </cfRule>
    <cfRule type="expression" dxfId="6274" priority="295">
      <formula>AND(S$9&gt;=14/24,S$9&lt;20/24)</formula>
    </cfRule>
    <cfRule type="expression" dxfId="6273" priority="296">
      <formula>AND(S$9&gt;=8/24,S$9&lt;14/24)</formula>
    </cfRule>
    <cfRule type="expression" dxfId="6272" priority="297">
      <formula>S$9&lt;8/24</formula>
    </cfRule>
  </conditionalFormatting>
  <conditionalFormatting sqref="B8:AF10 AA79:AF79 B79:Q79 B54:AF54 B80:AF80 C191:AF197 B66:AF70 B55:K57 T210:AX210 B61:C65 B58:L59 L56:L57 B72:AF76 B78:AF78 O58:Q65 M65:N65 M56:N59 L37:R40 L35:S35 S38:T39 L11:U13 V12:V13 O43:V46 O56:V57 Y15:Z15 V11:AC11 W17:Z29 X83:Z89 Y12:AC13 U38:AD40 AB41:AD41 AA27:AF30 AD11:AF13 AA15:AF25 AE38:AF41 L51:AF53 AA82:AF89 L15:V31">
    <cfRule type="expression" dxfId="6271" priority="290">
      <formula>B$9&gt;=20/24</formula>
    </cfRule>
    <cfRule type="expression" dxfId="6270" priority="291">
      <formula>AND(B$9&gt;=14/24,B$9&lt;20/24)</formula>
    </cfRule>
    <cfRule type="expression" dxfId="6269" priority="292">
      <formula>AND(B$9&gt;=8/24,B$9&lt;14/24)</formula>
    </cfRule>
    <cfRule type="expression" dxfId="6268" priority="293">
      <formula>B$9&lt;8/24</formula>
    </cfRule>
  </conditionalFormatting>
  <conditionalFormatting sqref="B189:AF189">
    <cfRule type="expression" dxfId="6267" priority="286">
      <formula>B$9&gt;=20/24</formula>
    </cfRule>
    <cfRule type="expression" dxfId="6266" priority="287">
      <formula>AND(B$9&gt;=14/24,B$9&lt;20/24)</formula>
    </cfRule>
    <cfRule type="expression" dxfId="6265" priority="288">
      <formula>AND(B$9&gt;=8/24,B$9&lt;14/24)</formula>
    </cfRule>
    <cfRule type="expression" dxfId="6264" priority="289">
      <formula>B$9&lt;8/24</formula>
    </cfRule>
  </conditionalFormatting>
  <conditionalFormatting sqref="AL4:AL6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L55:Q55">
    <cfRule type="expression" dxfId="6263" priority="281">
      <formula>L$9&gt;=20/24</formula>
    </cfRule>
    <cfRule type="expression" dxfId="6262" priority="282">
      <formula>AND(L$9&gt;=14/24,L$9&lt;20/24)</formula>
    </cfRule>
    <cfRule type="expression" dxfId="6261" priority="283">
      <formula>AND(L$9&gt;=8/24,L$9&lt;14/24)</formula>
    </cfRule>
    <cfRule type="expression" dxfId="6260" priority="284">
      <formula>L$9&lt;8/24</formula>
    </cfRule>
  </conditionalFormatting>
  <conditionalFormatting sqref="L41:R41">
    <cfRule type="expression" dxfId="6259" priority="277">
      <formula>L$9&gt;=20/24</formula>
    </cfRule>
    <cfRule type="expression" dxfId="6258" priority="278">
      <formula>AND(L$9&gt;=14/24,L$9&lt;20/24)</formula>
    </cfRule>
    <cfRule type="expression" dxfId="6257" priority="279">
      <formula>AND(L$9&gt;=8/24,L$9&lt;14/24)</formula>
    </cfRule>
    <cfRule type="expression" dxfId="6256" priority="280">
      <formula>L$9&lt;8/24</formula>
    </cfRule>
  </conditionalFormatting>
  <conditionalFormatting sqref="AA31:AF31">
    <cfRule type="expression" dxfId="6255" priority="273">
      <formula>AA$9&gt;=20/24</formula>
    </cfRule>
    <cfRule type="expression" dxfId="6254" priority="274">
      <formula>AND(AA$9&gt;=14/24,AA$9&lt;20/24)</formula>
    </cfRule>
    <cfRule type="expression" dxfId="6253" priority="275">
      <formula>AND(AA$9&gt;=8/24,AA$9&lt;14/24)</formula>
    </cfRule>
    <cfRule type="expression" dxfId="6252" priority="276">
      <formula>AA$9&lt;8/24</formula>
    </cfRule>
  </conditionalFormatting>
  <conditionalFormatting sqref="S37:AF37">
    <cfRule type="expression" dxfId="6251" priority="269">
      <formula>S$9&gt;=20/24</formula>
    </cfRule>
    <cfRule type="expression" dxfId="6250" priority="270">
      <formula>AND(S$9&gt;=14/24,S$9&lt;20/24)</formula>
    </cfRule>
    <cfRule type="expression" dxfId="6249" priority="271">
      <formula>AND(S$9&gt;=8/24,S$9&lt;14/24)</formula>
    </cfRule>
    <cfRule type="expression" dxfId="6248" priority="272">
      <formula>S$9&lt;8/24</formula>
    </cfRule>
  </conditionalFormatting>
  <conditionalFormatting sqref="R55:AF55">
    <cfRule type="expression" dxfId="6247" priority="265">
      <formula>R$9&gt;=20/24</formula>
    </cfRule>
    <cfRule type="expression" dxfId="6246" priority="266">
      <formula>AND(R$9&gt;=14/24,R$9&lt;20/24)</formula>
    </cfRule>
    <cfRule type="expression" dxfId="6245" priority="267">
      <formula>AND(R$9&gt;=8/24,R$9&lt;14/24)</formula>
    </cfRule>
    <cfRule type="expression" dxfId="6244" priority="268">
      <formula>R$9&lt;8/24</formula>
    </cfRule>
  </conditionalFormatting>
  <conditionalFormatting sqref="R79:Z79">
    <cfRule type="expression" dxfId="6243" priority="261">
      <formula>R$9&gt;=20/24</formula>
    </cfRule>
    <cfRule type="expression" dxfId="6242" priority="262">
      <formula>AND(R$9&gt;=14/24,R$9&lt;20/24)</formula>
    </cfRule>
    <cfRule type="expression" dxfId="6241" priority="263">
      <formula>AND(R$9&gt;=8/24,R$9&lt;14/24)</formula>
    </cfRule>
    <cfRule type="expression" dxfId="6240" priority="264">
      <formula>R$9&lt;8/24</formula>
    </cfRule>
  </conditionalFormatting>
  <conditionalFormatting sqref="T82 V82:Z82">
    <cfRule type="expression" dxfId="6239" priority="257">
      <formula>T$9&gt;=20/24</formula>
    </cfRule>
    <cfRule type="expression" dxfId="6238" priority="258">
      <formula>AND(T$9&gt;=14/24,T$9&lt;20/24)</formula>
    </cfRule>
    <cfRule type="expression" dxfId="6237" priority="259">
      <formula>AND(T$9&gt;=8/24,T$9&lt;14/24)</formula>
    </cfRule>
    <cfRule type="expression" dxfId="6236" priority="260">
      <formula>T$9&lt;8/24</formula>
    </cfRule>
  </conditionalFormatting>
  <conditionalFormatting sqref="L33:V33">
    <cfRule type="expression" dxfId="6235" priority="253">
      <formula>L$9&gt;=20/24</formula>
    </cfRule>
    <cfRule type="expression" dxfId="6234" priority="254">
      <formula>AND(L$9&gt;=14/24,L$9&lt;20/24)</formula>
    </cfRule>
    <cfRule type="expression" dxfId="6233" priority="255">
      <formula>AND(L$9&gt;=8/24,L$9&lt;14/24)</formula>
    </cfRule>
    <cfRule type="expression" dxfId="6232" priority="256">
      <formula>L$9&lt;8/24</formula>
    </cfRule>
  </conditionalFormatting>
  <conditionalFormatting sqref="L47:V47">
    <cfRule type="expression" dxfId="6231" priority="249">
      <formula>L$9&gt;=20/24</formula>
    </cfRule>
    <cfRule type="expression" dxfId="6230" priority="250">
      <formula>AND(L$9&gt;=14/24,L$9&lt;20/24)</formula>
    </cfRule>
    <cfRule type="expression" dxfId="6229" priority="251">
      <formula>AND(L$9&gt;=8/24,L$9&lt;14/24)</formula>
    </cfRule>
    <cfRule type="expression" dxfId="6228" priority="252">
      <formula>L$9&lt;8/24</formula>
    </cfRule>
  </conditionalFormatting>
  <conditionalFormatting sqref="L48:V48">
    <cfRule type="expression" dxfId="6227" priority="245">
      <formula>L$9&gt;=20/24</formula>
    </cfRule>
    <cfRule type="expression" dxfId="6226" priority="246">
      <formula>AND(L$9&gt;=14/24,L$9&lt;20/24)</formula>
    </cfRule>
    <cfRule type="expression" dxfId="6225" priority="247">
      <formula>AND(L$9&gt;=8/24,L$9&lt;14/24)</formula>
    </cfRule>
    <cfRule type="expression" dxfId="6224" priority="248">
      <formula>L$9&lt;8/24</formula>
    </cfRule>
  </conditionalFormatting>
  <conditionalFormatting sqref="L43:V46">
    <cfRule type="expression" dxfId="6223" priority="241">
      <formula>L$9&gt;=20/24</formula>
    </cfRule>
    <cfRule type="expression" dxfId="6222" priority="242">
      <formula>AND(L$9&gt;=14/24,L$9&lt;20/24)</formula>
    </cfRule>
    <cfRule type="expression" dxfId="6221" priority="243">
      <formula>AND(L$9&gt;=8/24,L$9&lt;14/24)</formula>
    </cfRule>
    <cfRule type="expression" dxfId="6220" priority="244">
      <formula>L$9&lt;8/24</formula>
    </cfRule>
  </conditionalFormatting>
  <conditionalFormatting sqref="T35:AF35">
    <cfRule type="expression" dxfId="6219" priority="237">
      <formula>T$9&gt;=20/24</formula>
    </cfRule>
    <cfRule type="expression" dxfId="6218" priority="238">
      <formula>AND(T$9&gt;=14/24,T$9&lt;20/24)</formula>
    </cfRule>
    <cfRule type="expression" dxfId="6217" priority="239">
      <formula>AND(T$9&gt;=8/24,T$9&lt;14/24)</formula>
    </cfRule>
    <cfRule type="expression" dxfId="6216" priority="240">
      <formula>T$9&lt;8/24</formula>
    </cfRule>
  </conditionalFormatting>
  <conditionalFormatting sqref="W30:Z31 W33:AF33">
    <cfRule type="expression" dxfId="6215" priority="233">
      <formula>W$9&gt;=20/24</formula>
    </cfRule>
    <cfRule type="expression" dxfId="6214" priority="234">
      <formula>AND(W$9&gt;=14/24,W$9&lt;20/24)</formula>
    </cfRule>
    <cfRule type="expression" dxfId="6213" priority="235">
      <formula>AND(W$9&gt;=8/24,W$9&lt;14/24)</formula>
    </cfRule>
    <cfRule type="expression" dxfId="6212" priority="236">
      <formula>W$9&lt;8/24</formula>
    </cfRule>
  </conditionalFormatting>
  <conditionalFormatting sqref="S40:T41 U41:AA41 S43:AF46">
    <cfRule type="expression" dxfId="6211" priority="229">
      <formula>S$9&gt;=20/24</formula>
    </cfRule>
    <cfRule type="expression" dxfId="6210" priority="230">
      <formula>AND(S$9&gt;=14/24,S$9&lt;20/24)</formula>
    </cfRule>
    <cfRule type="expression" dxfId="6209" priority="231">
      <formula>AND(S$9&gt;=8/24,S$9&lt;14/24)</formula>
    </cfRule>
    <cfRule type="expression" dxfId="6208" priority="232">
      <formula>S$9&lt;8/24</formula>
    </cfRule>
  </conditionalFormatting>
  <conditionalFormatting sqref="S47:AF47">
    <cfRule type="expression" dxfId="6207" priority="225">
      <formula>S$9&gt;=20/24</formula>
    </cfRule>
    <cfRule type="expression" dxfId="6206" priority="226">
      <formula>AND(S$9&gt;=14/24,S$9&lt;20/24)</formula>
    </cfRule>
    <cfRule type="expression" dxfId="6205" priority="227">
      <formula>AND(S$9&gt;=8/24,S$9&lt;14/24)</formula>
    </cfRule>
    <cfRule type="expression" dxfId="6204" priority="228">
      <formula>S$9&lt;8/24</formula>
    </cfRule>
  </conditionalFormatting>
  <conditionalFormatting sqref="S48:AF48">
    <cfRule type="expression" dxfId="6203" priority="221">
      <formula>S$9&gt;=20/24</formula>
    </cfRule>
    <cfRule type="expression" dxfId="6202" priority="222">
      <formula>AND(S$9&gt;=14/24,S$9&lt;20/24)</formula>
    </cfRule>
    <cfRule type="expression" dxfId="6201" priority="223">
      <formula>AND(S$9&gt;=8/24,S$9&lt;14/24)</formula>
    </cfRule>
    <cfRule type="expression" dxfId="6200" priority="224">
      <formula>S$9&lt;8/24</formula>
    </cfRule>
  </conditionalFormatting>
  <conditionalFormatting sqref="R58:AF65">
    <cfRule type="expression" dxfId="6199" priority="217">
      <formula>R$9&gt;=20/24</formula>
    </cfRule>
    <cfRule type="expression" dxfId="6198" priority="218">
      <formula>AND(R$9&gt;=14/24,R$9&lt;20/24)</formula>
    </cfRule>
    <cfRule type="expression" dxfId="6197" priority="219">
      <formula>AND(R$9&gt;=8/24,R$9&lt;14/24)</formula>
    </cfRule>
    <cfRule type="expression" dxfId="6196" priority="220">
      <formula>R$9&lt;8/24</formula>
    </cfRule>
  </conditionalFormatting>
  <conditionalFormatting sqref="AA92:AF95">
    <cfRule type="expression" dxfId="6195" priority="213">
      <formula>AA$9&gt;=20/24</formula>
    </cfRule>
    <cfRule type="expression" dxfId="6194" priority="214">
      <formula>AND(AA$9&gt;=14/24,AA$9&lt;20/24)</formula>
    </cfRule>
    <cfRule type="expression" dxfId="6193" priority="215">
      <formula>AND(AA$9&gt;=8/24,AA$9&lt;14/24)</formula>
    </cfRule>
    <cfRule type="expression" dxfId="6192" priority="216">
      <formula>AA$9&lt;8/24</formula>
    </cfRule>
  </conditionalFormatting>
  <conditionalFormatting sqref="B60:H60 H61:H65 I60:K65">
    <cfRule type="expression" dxfId="6191" priority="209">
      <formula>B$9&gt;=20/24</formula>
    </cfRule>
    <cfRule type="expression" dxfId="6190" priority="210">
      <formula>AND(B$9&gt;=14/24,B$9&lt;20/24)</formula>
    </cfRule>
    <cfRule type="expression" dxfId="6189" priority="211">
      <formula>AND(B$9&gt;=8/24,B$9&lt;14/24)</formula>
    </cfRule>
    <cfRule type="expression" dxfId="6188" priority="212">
      <formula>B$9&lt;8/24</formula>
    </cfRule>
  </conditionalFormatting>
  <conditionalFormatting sqref="T92:T95 V92:Z95">
    <cfRule type="expression" dxfId="6187" priority="205">
      <formula>T$9&gt;=20/24</formula>
    </cfRule>
    <cfRule type="expression" dxfId="6186" priority="206">
      <formula>AND(T$9&gt;=14/24,T$9&lt;20/24)</formula>
    </cfRule>
    <cfRule type="expression" dxfId="6185" priority="207">
      <formula>AND(T$9&gt;=8/24,T$9&lt;14/24)</formula>
    </cfRule>
    <cfRule type="expression" dxfId="6184" priority="208">
      <formula>T$9&lt;8/24</formula>
    </cfRule>
  </conditionalFormatting>
  <conditionalFormatting sqref="AG49 B11:U13 V12:V13 V11:AC11 Y15:Z15 W17:Z31 Y12:AC13 AD11:AF13 AA15:AF31 B33:AF41 B43:AF54 B15:V31">
    <cfRule type="expression" dxfId="6183" priority="204">
      <formula>B11&gt;$AG11</formula>
    </cfRule>
  </conditionalFormatting>
  <conditionalFormatting sqref="A98:A154 A82:A95 A11:A13 A15:A31 A43:A70 A78:A80 A72:A76 A33:A41 A167:A198">
    <cfRule type="expression" dxfId="6182" priority="203">
      <formula>$AH11=0</formula>
    </cfRule>
  </conditionalFormatting>
  <conditionalFormatting sqref="AA96:AF96">
    <cfRule type="expression" dxfId="6181" priority="199">
      <formula>AA$9&gt;=20/24</formula>
    </cfRule>
    <cfRule type="expression" dxfId="6180" priority="200">
      <formula>AND(AA$9&gt;=14/24,AA$9&lt;20/24)</formula>
    </cfRule>
    <cfRule type="expression" dxfId="6179" priority="201">
      <formula>AND(AA$9&gt;=8/24,AA$9&lt;14/24)</formula>
    </cfRule>
    <cfRule type="expression" dxfId="6178" priority="202">
      <formula>AA$9&lt;8/24</formula>
    </cfRule>
  </conditionalFormatting>
  <conditionalFormatting sqref="T96 V96:Z96">
    <cfRule type="expression" dxfId="6177" priority="195">
      <formula>T$9&gt;=20/24</formula>
    </cfRule>
    <cfRule type="expression" dxfId="6176" priority="196">
      <formula>AND(T$9&gt;=14/24,T$9&lt;20/24)</formula>
    </cfRule>
    <cfRule type="expression" dxfId="6175" priority="197">
      <formula>AND(T$9&gt;=8/24,T$9&lt;14/24)</formula>
    </cfRule>
    <cfRule type="expression" dxfId="6174" priority="198">
      <formula>T$9&lt;8/24</formula>
    </cfRule>
  </conditionalFormatting>
  <conditionalFormatting sqref="A96">
    <cfRule type="expression" dxfId="6173" priority="194">
      <formula>$AH96=0</formula>
    </cfRule>
  </conditionalFormatting>
  <conditionalFormatting sqref="K34:AF34">
    <cfRule type="expression" dxfId="6172" priority="190">
      <formula>K$9&gt;=20/24</formula>
    </cfRule>
    <cfRule type="expression" dxfId="6171" priority="191">
      <formula>AND(K$9&gt;=14/24,K$9&lt;20/24)</formula>
    </cfRule>
    <cfRule type="expression" dxfId="6170" priority="192">
      <formula>AND(K$9&gt;=8/24,K$9&lt;14/24)</formula>
    </cfRule>
    <cfRule type="expression" dxfId="6169" priority="193">
      <formula>K$9&lt;8/24</formula>
    </cfRule>
  </conditionalFormatting>
  <conditionalFormatting sqref="W34:AF34">
    <cfRule type="expression" dxfId="6168" priority="186">
      <formula>W$9&gt;=20/24</formula>
    </cfRule>
    <cfRule type="expression" dxfId="6167" priority="187">
      <formula>AND(W$9&gt;=14/24,W$9&lt;20/24)</formula>
    </cfRule>
    <cfRule type="expression" dxfId="6166" priority="188">
      <formula>AND(W$9&gt;=8/24,W$9&lt;14/24)</formula>
    </cfRule>
    <cfRule type="expression" dxfId="6165" priority="189">
      <formula>W$9&lt;8/24</formula>
    </cfRule>
  </conditionalFormatting>
  <conditionalFormatting sqref="B34:J34">
    <cfRule type="expression" dxfId="6164" priority="182">
      <formula>B$9&gt;=20/24</formula>
    </cfRule>
    <cfRule type="expression" dxfId="6163" priority="183">
      <formula>AND(B$9&gt;=14/24,B$9&lt;20/24)</formula>
    </cfRule>
    <cfRule type="expression" dxfId="6162" priority="184">
      <formula>AND(B$9&gt;=8/24,B$9&lt;14/24)</formula>
    </cfRule>
    <cfRule type="expression" dxfId="6161" priority="185">
      <formula>B$9&lt;8/24</formula>
    </cfRule>
  </conditionalFormatting>
  <conditionalFormatting sqref="D61:G65">
    <cfRule type="expression" dxfId="6160" priority="178">
      <formula>D$9&gt;=20/24</formula>
    </cfRule>
    <cfRule type="expression" dxfId="6159" priority="179">
      <formula>AND(D$9&gt;=14/24,D$9&lt;20/24)</formula>
    </cfRule>
    <cfRule type="expression" dxfId="6158" priority="180">
      <formula>AND(D$9&gt;=8/24,D$9&lt;14/24)</formula>
    </cfRule>
    <cfRule type="expression" dxfId="6157" priority="181">
      <formula>D$9&lt;8/24</formula>
    </cfRule>
  </conditionalFormatting>
  <conditionalFormatting sqref="L60:L65 M60:N64">
    <cfRule type="expression" dxfId="6156" priority="174">
      <formula>L$9&gt;=20/24</formula>
    </cfRule>
    <cfRule type="expression" dxfId="6155" priority="175">
      <formula>AND(L$9&gt;=14/24,L$9&lt;20/24)</formula>
    </cfRule>
    <cfRule type="expression" dxfId="6154" priority="176">
      <formula>AND(L$9&gt;=8/24,L$9&lt;14/24)</formula>
    </cfRule>
    <cfRule type="expression" dxfId="6153" priority="177">
      <formula>L$9&lt;8/24</formula>
    </cfRule>
  </conditionalFormatting>
  <conditionalFormatting sqref="AL31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A32:AF32">
    <cfRule type="expression" dxfId="6152" priority="169">
      <formula>AA$9&gt;=20/24</formula>
    </cfRule>
    <cfRule type="expression" dxfId="6151" priority="170">
      <formula>AND(AA$9&gt;=14/24,AA$9&lt;20/24)</formula>
    </cfRule>
    <cfRule type="expression" dxfId="6150" priority="171">
      <formula>AND(AA$9&gt;=8/24,AA$9&lt;14/24)</formula>
    </cfRule>
    <cfRule type="expression" dxfId="6149" priority="172">
      <formula>AA$9&lt;8/24</formula>
    </cfRule>
  </conditionalFormatting>
  <conditionalFormatting sqref="L32:V32">
    <cfRule type="expression" dxfId="6148" priority="165">
      <formula>L$9&gt;=20/24</formula>
    </cfRule>
    <cfRule type="expression" dxfId="6147" priority="166">
      <formula>AND(L$9&gt;=14/24,L$9&lt;20/24)</formula>
    </cfRule>
    <cfRule type="expression" dxfId="6146" priority="167">
      <formula>AND(L$9&gt;=8/24,L$9&lt;14/24)</formula>
    </cfRule>
    <cfRule type="expression" dxfId="6145" priority="168">
      <formula>L$9&lt;8/24</formula>
    </cfRule>
  </conditionalFormatting>
  <conditionalFormatting sqref="W32:Z32">
    <cfRule type="expression" dxfId="6144" priority="161">
      <formula>W$9&gt;=20/24</formula>
    </cfRule>
    <cfRule type="expression" dxfId="6143" priority="162">
      <formula>AND(W$9&gt;=14/24,W$9&lt;20/24)</formula>
    </cfRule>
    <cfRule type="expression" dxfId="6142" priority="163">
      <formula>AND(W$9&gt;=8/24,W$9&lt;14/24)</formula>
    </cfRule>
    <cfRule type="expression" dxfId="6141" priority="164">
      <formula>W$9&lt;8/24</formula>
    </cfRule>
  </conditionalFormatting>
  <conditionalFormatting sqref="B32:AF32">
    <cfRule type="expression" dxfId="6140" priority="160">
      <formula>B32&gt;$AG32</formula>
    </cfRule>
  </conditionalFormatting>
  <conditionalFormatting sqref="A32">
    <cfRule type="expression" dxfId="6139" priority="159">
      <formula>$AH32=0</formula>
    </cfRule>
  </conditionalFormatting>
  <conditionalFormatting sqref="B81:AF81">
    <cfRule type="expression" dxfId="6138" priority="155">
      <formula>B$9&gt;=20/24</formula>
    </cfRule>
    <cfRule type="expression" dxfId="6137" priority="156">
      <formula>AND(B$9&gt;=14/24,B$9&lt;20/24)</formula>
    </cfRule>
    <cfRule type="expression" dxfId="6136" priority="157">
      <formula>AND(B$9&gt;=8/24,B$9&lt;14/24)</formula>
    </cfRule>
    <cfRule type="expression" dxfId="6135" priority="158">
      <formula>B$9&lt;8/24</formula>
    </cfRule>
  </conditionalFormatting>
  <conditionalFormatting sqref="A81">
    <cfRule type="expression" dxfId="6134" priority="154">
      <formula>$AH81=0</formula>
    </cfRule>
  </conditionalFormatting>
  <conditionalFormatting sqref="Y14:AF14">
    <cfRule type="expression" dxfId="6133" priority="150">
      <formula>Y$9&gt;=20/24</formula>
    </cfRule>
    <cfRule type="expression" dxfId="6132" priority="151">
      <formula>AND(Y$9&gt;=14/24,Y$9&lt;20/24)</formula>
    </cfRule>
    <cfRule type="expression" dxfId="6131" priority="152">
      <formula>AND(Y$9&gt;=8/24,Y$9&lt;14/24)</formula>
    </cfRule>
    <cfRule type="expression" dxfId="6130" priority="153">
      <formula>Y$9&lt;8/24</formula>
    </cfRule>
  </conditionalFormatting>
  <conditionalFormatting sqref="L14:V14">
    <cfRule type="expression" dxfId="6129" priority="146">
      <formula>L$9&gt;=20/24</formula>
    </cfRule>
    <cfRule type="expression" dxfId="6128" priority="147">
      <formula>AND(L$9&gt;=14/24,L$9&lt;20/24)</formula>
    </cfRule>
    <cfRule type="expression" dxfId="6127" priority="148">
      <formula>AND(L$9&gt;=8/24,L$9&lt;14/24)</formula>
    </cfRule>
    <cfRule type="expression" dxfId="6126" priority="149">
      <formula>L$9&lt;8/24</formula>
    </cfRule>
  </conditionalFormatting>
  <conditionalFormatting sqref="B14:V14 Y14:AF14">
    <cfRule type="expression" dxfId="6125" priority="145">
      <formula>B14&gt;$AG14</formula>
    </cfRule>
  </conditionalFormatting>
  <conditionalFormatting sqref="A14">
    <cfRule type="expression" dxfId="6124" priority="144">
      <formula>$AH14=0</formula>
    </cfRule>
  </conditionalFormatting>
  <conditionalFormatting sqref="A161:A166">
    <cfRule type="expression" dxfId="6123" priority="143">
      <formula>$AH161=0</formula>
    </cfRule>
  </conditionalFormatting>
  <conditionalFormatting sqref="A155:A160">
    <cfRule type="expression" dxfId="6122" priority="142">
      <formula>$AH155=0</formula>
    </cfRule>
  </conditionalFormatting>
  <conditionalFormatting sqref="L42:R42">
    <cfRule type="expression" dxfId="6121" priority="134">
      <formula>L$9&gt;=20/24</formula>
    </cfRule>
    <cfRule type="expression" dxfId="6120" priority="135">
      <formula>AND(L$9&gt;=14/24,L$9&lt;20/24)</formula>
    </cfRule>
    <cfRule type="expression" dxfId="6119" priority="136">
      <formula>AND(L$9&gt;=8/24,L$9&lt;14/24)</formula>
    </cfRule>
    <cfRule type="expression" dxfId="6118" priority="137">
      <formula>L$9&lt;8/24</formula>
    </cfRule>
  </conditionalFormatting>
  <conditionalFormatting sqref="S42:AF42">
    <cfRule type="expression" dxfId="6117" priority="130">
      <formula>S$9&gt;=20/24</formula>
    </cfRule>
    <cfRule type="expression" dxfId="6116" priority="131">
      <formula>AND(S$9&gt;=14/24,S$9&lt;20/24)</formula>
    </cfRule>
    <cfRule type="expression" dxfId="6115" priority="132">
      <formula>AND(S$9&gt;=8/24,S$9&lt;14/24)</formula>
    </cfRule>
    <cfRule type="expression" dxfId="6114" priority="133">
      <formula>S$9&lt;8/24</formula>
    </cfRule>
  </conditionalFormatting>
  <conditionalFormatting sqref="B42:AF42">
    <cfRule type="expression" dxfId="6113" priority="129">
      <formula>B42&gt;$AG42</formula>
    </cfRule>
  </conditionalFormatting>
  <conditionalFormatting sqref="A42">
    <cfRule type="expression" dxfId="6112" priority="128">
      <formula>$AH42=0</formula>
    </cfRule>
  </conditionalFormatting>
  <conditionalFormatting sqref="B77:AF77">
    <cfRule type="expression" dxfId="6111" priority="124">
      <formula>B$9&gt;=20/24</formula>
    </cfRule>
    <cfRule type="expression" dxfId="6110" priority="125">
      <formula>AND(B$9&gt;=14/24,B$9&lt;20/24)</formula>
    </cfRule>
    <cfRule type="expression" dxfId="6109" priority="126">
      <formula>AND(B$9&gt;=8/24,B$9&lt;14/24)</formula>
    </cfRule>
    <cfRule type="expression" dxfId="6108" priority="127">
      <formula>B$9&lt;8/24</formula>
    </cfRule>
  </conditionalFormatting>
  <conditionalFormatting sqref="A77">
    <cfRule type="expression" dxfId="6107" priority="123">
      <formula>$AH77=0</formula>
    </cfRule>
  </conditionalFormatting>
  <conditionalFormatting sqref="B71:AG71">
    <cfRule type="expression" dxfId="6106" priority="119">
      <formula>B$9&gt;=20/24</formula>
    </cfRule>
    <cfRule type="expression" dxfId="6105" priority="120">
      <formula>AND(B$9&gt;=14/24,B$9&lt;20/24)</formula>
    </cfRule>
    <cfRule type="expression" dxfId="6104" priority="121">
      <formula>AND(B$9&gt;=8/24,B$9&lt;14/24)</formula>
    </cfRule>
    <cfRule type="expression" dxfId="6103" priority="122">
      <formula>B$9&lt;8/24</formula>
    </cfRule>
  </conditionalFormatting>
  <conditionalFormatting sqref="A71">
    <cfRule type="expression" dxfId="6102" priority="118">
      <formula>$AH71=0</formula>
    </cfRule>
  </conditionalFormatting>
  <conditionalFormatting sqref="AL32:AL33 AL7:AL30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R92:S95">
    <cfRule type="expression" dxfId="6101" priority="90">
      <formula>R$9&gt;=20/24</formula>
    </cfRule>
    <cfRule type="expression" dxfId="6100" priority="91">
      <formula>AND(R$9&gt;=14/24,R$9&lt;20/24)</formula>
    </cfRule>
    <cfRule type="expression" dxfId="6099" priority="92">
      <formula>AND(R$9&gt;=8/24,R$9&lt;14/24)</formula>
    </cfRule>
    <cfRule type="expression" dxfId="6098" priority="93">
      <formula>R$9&lt;8/24</formula>
    </cfRule>
  </conditionalFormatting>
  <conditionalFormatting sqref="T83:T89 V83:W89">
    <cfRule type="expression" dxfId="6097" priority="110">
      <formula>T$9&gt;=20/24</formula>
    </cfRule>
    <cfRule type="expression" dxfId="6096" priority="111">
      <formula>AND(T$9&gt;=14/24,T$9&lt;20/24)</formula>
    </cfRule>
    <cfRule type="expression" dxfId="6095" priority="112">
      <formula>AND(T$9&gt;=8/24,T$9&lt;14/24)</formula>
    </cfRule>
    <cfRule type="expression" dxfId="6094" priority="113">
      <formula>T$9&lt;8/24</formula>
    </cfRule>
  </conditionalFormatting>
  <conditionalFormatting sqref="R83:S89 B82:Q89">
    <cfRule type="expression" dxfId="6093" priority="106">
      <formula>B$9&gt;=20/24</formula>
    </cfRule>
    <cfRule type="expression" dxfId="6092" priority="107">
      <formula>AND(B$9&gt;=14/24,B$9&lt;20/24)</formula>
    </cfRule>
    <cfRule type="expression" dxfId="6091" priority="108">
      <formula>AND(B$9&gt;=8/24,B$9&lt;14/24)</formula>
    </cfRule>
    <cfRule type="expression" dxfId="6090" priority="109">
      <formula>B$9&lt;8/24</formula>
    </cfRule>
  </conditionalFormatting>
  <conditionalFormatting sqref="R82:S82">
    <cfRule type="expression" dxfId="6089" priority="102">
      <formula>R$9&gt;=20/24</formula>
    </cfRule>
    <cfRule type="expression" dxfId="6088" priority="103">
      <formula>AND(R$9&gt;=14/24,R$9&lt;20/24)</formula>
    </cfRule>
    <cfRule type="expression" dxfId="6087" priority="104">
      <formula>AND(R$9&gt;=8/24,R$9&lt;14/24)</formula>
    </cfRule>
    <cfRule type="expression" dxfId="6086" priority="105">
      <formula>R$9&lt;8/24</formula>
    </cfRule>
  </conditionalFormatting>
  <conditionalFormatting sqref="D92:E92 B92:C95 D93:L95">
    <cfRule type="expression" dxfId="6085" priority="98">
      <formula>B$9&gt;=20/24</formula>
    </cfRule>
    <cfRule type="expression" dxfId="6084" priority="99">
      <formula>AND(B$9&gt;=14/24,B$9&lt;20/24)</formula>
    </cfRule>
    <cfRule type="expression" dxfId="6083" priority="100">
      <formula>AND(B$9&gt;=8/24,B$9&lt;14/24)</formula>
    </cfRule>
    <cfRule type="expression" dxfId="6082" priority="101">
      <formula>B$9&lt;8/24</formula>
    </cfRule>
  </conditionalFormatting>
  <conditionalFormatting sqref="M93:Q95 N92:Q92">
    <cfRule type="expression" dxfId="6081" priority="94">
      <formula>M$9&gt;=20/24</formula>
    </cfRule>
    <cfRule type="expression" dxfId="6080" priority="95">
      <formula>AND(M$9&gt;=14/24,M$9&lt;20/24)</formula>
    </cfRule>
    <cfRule type="expression" dxfId="6079" priority="96">
      <formula>AND(M$9&gt;=8/24,M$9&lt;14/24)</formula>
    </cfRule>
    <cfRule type="expression" dxfId="6078" priority="97">
      <formula>M$9&lt;8/24</formula>
    </cfRule>
  </conditionalFormatting>
  <conditionalFormatting sqref="B96:L96">
    <cfRule type="expression" dxfId="6077" priority="86">
      <formula>B$9&gt;=20/24</formula>
    </cfRule>
    <cfRule type="expression" dxfId="6076" priority="87">
      <formula>AND(B$9&gt;=14/24,B$9&lt;20/24)</formula>
    </cfRule>
    <cfRule type="expression" dxfId="6075" priority="88">
      <formula>AND(B$9&gt;=8/24,B$9&lt;14/24)</formula>
    </cfRule>
    <cfRule type="expression" dxfId="6074" priority="89">
      <formula>B$9&lt;8/24</formula>
    </cfRule>
  </conditionalFormatting>
  <conditionalFormatting sqref="M96:Q96">
    <cfRule type="expression" dxfId="6073" priority="82">
      <formula>M$9&gt;=20/24</formula>
    </cfRule>
    <cfRule type="expression" dxfId="6072" priority="83">
      <formula>AND(M$9&gt;=14/24,M$9&lt;20/24)</formula>
    </cfRule>
    <cfRule type="expression" dxfId="6071" priority="84">
      <formula>AND(M$9&gt;=8/24,M$9&lt;14/24)</formula>
    </cfRule>
    <cfRule type="expression" dxfId="6070" priority="85">
      <formula>M$9&lt;8/24</formula>
    </cfRule>
  </conditionalFormatting>
  <conditionalFormatting sqref="R96:S96">
    <cfRule type="expression" dxfId="6069" priority="78">
      <formula>R$9&gt;=20/24</formula>
    </cfRule>
    <cfRule type="expression" dxfId="6068" priority="79">
      <formula>AND(R$9&gt;=14/24,R$9&lt;20/24)</formula>
    </cfRule>
    <cfRule type="expression" dxfId="6067" priority="80">
      <formula>AND(R$9&gt;=8/24,R$9&lt;14/24)</formula>
    </cfRule>
    <cfRule type="expression" dxfId="6066" priority="81">
      <formula>R$9&lt;8/24</formula>
    </cfRule>
  </conditionalFormatting>
  <conditionalFormatting sqref="L92:M92">
    <cfRule type="expression" dxfId="6065" priority="74">
      <formula>L$9&gt;=20/24</formula>
    </cfRule>
    <cfRule type="expression" dxfId="6064" priority="75">
      <formula>AND(L$9&gt;=14/24,L$9&lt;20/24)</formula>
    </cfRule>
    <cfRule type="expression" dxfId="6063" priority="76">
      <formula>AND(L$9&gt;=8/24,L$9&lt;14/24)</formula>
    </cfRule>
    <cfRule type="expression" dxfId="6062" priority="77">
      <formula>L$9&lt;8/24</formula>
    </cfRule>
  </conditionalFormatting>
  <conditionalFormatting sqref="F92:K92">
    <cfRule type="expression" dxfId="6061" priority="70">
      <formula>F$9&gt;=20/24</formula>
    </cfRule>
    <cfRule type="expression" dxfId="6060" priority="71">
      <formula>AND(F$9&gt;=14/24,F$9&lt;20/24)</formula>
    </cfRule>
    <cfRule type="expression" dxfId="6059" priority="72">
      <formula>AND(F$9&gt;=8/24,F$9&lt;14/24)</formula>
    </cfRule>
    <cfRule type="expression" dxfId="6058" priority="73">
      <formula>F$9&lt;8/24</formula>
    </cfRule>
  </conditionalFormatting>
  <conditionalFormatting sqref="T92 V92:W92">
    <cfRule type="expression" dxfId="6057" priority="66">
      <formula>T$9&gt;=20/24</formula>
    </cfRule>
    <cfRule type="expression" dxfId="6056" priority="67">
      <formula>AND(T$9&gt;=14/24,T$9&lt;20/24)</formula>
    </cfRule>
    <cfRule type="expression" dxfId="6055" priority="68">
      <formula>AND(T$9&gt;=8/24,T$9&lt;14/24)</formula>
    </cfRule>
    <cfRule type="expression" dxfId="6054" priority="69">
      <formula>T$9&lt;8/24</formula>
    </cfRule>
  </conditionalFormatting>
  <conditionalFormatting sqref="M92:S92">
    <cfRule type="expression" dxfId="6053" priority="62">
      <formula>M$9&gt;=20/24</formula>
    </cfRule>
    <cfRule type="expression" dxfId="6052" priority="63">
      <formula>AND(M$9&gt;=14/24,M$9&lt;20/24)</formula>
    </cfRule>
    <cfRule type="expression" dxfId="6051" priority="64">
      <formula>AND(M$9&gt;=8/24,M$9&lt;14/24)</formula>
    </cfRule>
    <cfRule type="expression" dxfId="6050" priority="65">
      <formula>M$9&lt;8/24</formula>
    </cfRule>
  </conditionalFormatting>
  <conditionalFormatting sqref="AA97:AF97">
    <cfRule type="expression" dxfId="6049" priority="58">
      <formula>AA$9&gt;=20/24</formula>
    </cfRule>
    <cfRule type="expression" dxfId="6048" priority="59">
      <formula>AND(AA$9&gt;=14/24,AA$9&lt;20/24)</formula>
    </cfRule>
    <cfRule type="expression" dxfId="6047" priority="60">
      <formula>AND(AA$9&gt;=8/24,AA$9&lt;14/24)</formula>
    </cfRule>
    <cfRule type="expression" dxfId="6046" priority="61">
      <formula>AA$9&lt;8/24</formula>
    </cfRule>
  </conditionalFormatting>
  <conditionalFormatting sqref="T97 V97:Z97">
    <cfRule type="expression" dxfId="6045" priority="54">
      <formula>T$9&gt;=20/24</formula>
    </cfRule>
    <cfRule type="expression" dxfId="6044" priority="55">
      <formula>AND(T$9&gt;=14/24,T$9&lt;20/24)</formula>
    </cfRule>
    <cfRule type="expression" dxfId="6043" priority="56">
      <formula>AND(T$9&gt;=8/24,T$9&lt;14/24)</formula>
    </cfRule>
    <cfRule type="expression" dxfId="6042" priority="57">
      <formula>T$9&lt;8/24</formula>
    </cfRule>
  </conditionalFormatting>
  <conditionalFormatting sqref="A97">
    <cfRule type="expression" dxfId="6041" priority="53">
      <formula>$AH97=0</formula>
    </cfRule>
  </conditionalFormatting>
  <conditionalFormatting sqref="B97:L97">
    <cfRule type="expression" dxfId="6040" priority="49">
      <formula>B$9&gt;=20/24</formula>
    </cfRule>
    <cfRule type="expression" dxfId="6039" priority="50">
      <formula>AND(B$9&gt;=14/24,B$9&lt;20/24)</formula>
    </cfRule>
    <cfRule type="expression" dxfId="6038" priority="51">
      <formula>AND(B$9&gt;=8/24,B$9&lt;14/24)</formula>
    </cfRule>
    <cfRule type="expression" dxfId="6037" priority="52">
      <formula>B$9&lt;8/24</formula>
    </cfRule>
  </conditionalFormatting>
  <conditionalFormatting sqref="M97:Q97">
    <cfRule type="expression" dxfId="6036" priority="45">
      <formula>M$9&gt;=20/24</formula>
    </cfRule>
    <cfRule type="expression" dxfId="6035" priority="46">
      <formula>AND(M$9&gt;=14/24,M$9&lt;20/24)</formula>
    </cfRule>
    <cfRule type="expression" dxfId="6034" priority="47">
      <formula>AND(M$9&gt;=8/24,M$9&lt;14/24)</formula>
    </cfRule>
    <cfRule type="expression" dxfId="6033" priority="48">
      <formula>M$9&lt;8/24</formula>
    </cfRule>
  </conditionalFormatting>
  <conditionalFormatting sqref="R97:S97">
    <cfRule type="expression" dxfId="6032" priority="41">
      <formula>R$9&gt;=20/24</formula>
    </cfRule>
    <cfRule type="expression" dxfId="6031" priority="42">
      <formula>AND(R$9&gt;=14/24,R$9&lt;20/24)</formula>
    </cfRule>
    <cfRule type="expression" dxfId="6030" priority="43">
      <formula>AND(R$9&gt;=8/24,R$9&lt;14/24)</formula>
    </cfRule>
    <cfRule type="expression" dxfId="6029" priority="44">
      <formula>R$9&lt;8/24</formula>
    </cfRule>
  </conditionalFormatting>
  <conditionalFormatting sqref="W12:X15">
    <cfRule type="expression" dxfId="6028" priority="37">
      <formula>W$9&gt;=20/24</formula>
    </cfRule>
    <cfRule type="expression" dxfId="6027" priority="38">
      <formula>AND(W$9&gt;=14/24,W$9&lt;20/24)</formula>
    </cfRule>
    <cfRule type="expression" dxfId="6026" priority="39">
      <formula>AND(W$9&gt;=8/24,W$9&lt;14/24)</formula>
    </cfRule>
    <cfRule type="expression" dxfId="6025" priority="40">
      <formula>W$9&lt;8/24</formula>
    </cfRule>
  </conditionalFormatting>
  <conditionalFormatting sqref="W16:Z16">
    <cfRule type="expression" dxfId="6024" priority="33">
      <formula>W$9&gt;=20/24</formula>
    </cfRule>
    <cfRule type="expression" dxfId="6023" priority="34">
      <formula>AND(W$9&gt;=14/24,W$9&lt;20/24)</formula>
    </cfRule>
    <cfRule type="expression" dxfId="6022" priority="35">
      <formula>AND(W$9&gt;=8/24,W$9&lt;14/24)</formula>
    </cfRule>
    <cfRule type="expression" dxfId="6021" priority="36">
      <formula>W$9&lt;8/24</formula>
    </cfRule>
  </conditionalFormatting>
  <conditionalFormatting sqref="W12:X12">
    <cfRule type="expression" dxfId="6020" priority="29">
      <formula>W$9&gt;=20/24</formula>
    </cfRule>
    <cfRule type="expression" dxfId="6019" priority="30">
      <formula>AND(W$9&gt;=14/24,W$9&lt;20/24)</formula>
    </cfRule>
    <cfRule type="expression" dxfId="6018" priority="31">
      <formula>AND(W$9&gt;=8/24,W$9&lt;14/24)</formula>
    </cfRule>
    <cfRule type="expression" dxfId="6017" priority="32">
      <formula>W$9&lt;8/24</formula>
    </cfRule>
  </conditionalFormatting>
  <conditionalFormatting sqref="AA56:AF57">
    <cfRule type="expression" dxfId="6016" priority="25">
      <formula>AA$9&gt;=20/24</formula>
    </cfRule>
    <cfRule type="expression" dxfId="6015" priority="26">
      <formula>AND(AA$9&gt;=14/24,AA$9&lt;20/24)</formula>
    </cfRule>
    <cfRule type="expression" dxfId="6014" priority="27">
      <formula>AND(AA$9&gt;=8/24,AA$9&lt;14/24)</formula>
    </cfRule>
    <cfRule type="expression" dxfId="6013" priority="28">
      <formula>AA$9&lt;8/24</formula>
    </cfRule>
  </conditionalFormatting>
  <conditionalFormatting sqref="U83:U89">
    <cfRule type="expression" dxfId="6012" priority="21">
      <formula>U$9&gt;=20/24</formula>
    </cfRule>
    <cfRule type="expression" dxfId="6011" priority="22">
      <formula>AND(U$9&gt;=14/24,U$9&lt;20/24)</formula>
    </cfRule>
    <cfRule type="expression" dxfId="6010" priority="23">
      <formula>AND(U$9&gt;=8/24,U$9&lt;14/24)</formula>
    </cfRule>
    <cfRule type="expression" dxfId="6009" priority="24">
      <formula>U$9&lt;8/24</formula>
    </cfRule>
  </conditionalFormatting>
  <conditionalFormatting sqref="U82">
    <cfRule type="expression" dxfId="6008" priority="17">
      <formula>U$9&gt;=20/24</formula>
    </cfRule>
    <cfRule type="expression" dxfId="6007" priority="18">
      <formula>AND(U$9&gt;=14/24,U$9&lt;20/24)</formula>
    </cfRule>
    <cfRule type="expression" dxfId="6006" priority="19">
      <formula>AND(U$9&gt;=8/24,U$9&lt;14/24)</formula>
    </cfRule>
    <cfRule type="expression" dxfId="6005" priority="20">
      <formula>U$9&lt;8/24</formula>
    </cfRule>
  </conditionalFormatting>
  <conditionalFormatting sqref="U92:U95">
    <cfRule type="expression" dxfId="6004" priority="13">
      <formula>U$9&gt;=20/24</formula>
    </cfRule>
    <cfRule type="expression" dxfId="6003" priority="14">
      <formula>AND(U$9&gt;=14/24,U$9&lt;20/24)</formula>
    </cfRule>
    <cfRule type="expression" dxfId="6002" priority="15">
      <formula>AND(U$9&gt;=8/24,U$9&lt;14/24)</formula>
    </cfRule>
    <cfRule type="expression" dxfId="6001" priority="16">
      <formula>U$9&lt;8/24</formula>
    </cfRule>
  </conditionalFormatting>
  <conditionalFormatting sqref="U96">
    <cfRule type="expression" dxfId="6000" priority="9">
      <formula>U$9&gt;=20/24</formula>
    </cfRule>
    <cfRule type="expression" dxfId="5999" priority="10">
      <formula>AND(U$9&gt;=14/24,U$9&lt;20/24)</formula>
    </cfRule>
    <cfRule type="expression" dxfId="5998" priority="11">
      <formula>AND(U$9&gt;=8/24,U$9&lt;14/24)</formula>
    </cfRule>
    <cfRule type="expression" dxfId="5997" priority="12">
      <formula>U$9&lt;8/24</formula>
    </cfRule>
  </conditionalFormatting>
  <conditionalFormatting sqref="U92">
    <cfRule type="expression" dxfId="5996" priority="5">
      <formula>U$9&gt;=20/24</formula>
    </cfRule>
    <cfRule type="expression" dxfId="5995" priority="6">
      <formula>AND(U$9&gt;=14/24,U$9&lt;20/24)</formula>
    </cfRule>
    <cfRule type="expression" dxfId="5994" priority="7">
      <formula>AND(U$9&gt;=8/24,U$9&lt;14/24)</formula>
    </cfRule>
    <cfRule type="expression" dxfId="5993" priority="8">
      <formula>U$9&lt;8/24</formula>
    </cfRule>
  </conditionalFormatting>
  <conditionalFormatting sqref="U97">
    <cfRule type="expression" dxfId="5992" priority="1">
      <formula>U$9&gt;=20/24</formula>
    </cfRule>
    <cfRule type="expression" dxfId="5991" priority="2">
      <formula>AND(U$9&gt;=14/24,U$9&lt;20/24)</formula>
    </cfRule>
    <cfRule type="expression" dxfId="5990" priority="3">
      <formula>AND(U$9&gt;=8/24,U$9&lt;14/24)</formula>
    </cfRule>
    <cfRule type="expression" dxfId="5989" priority="4">
      <formula>U$9&lt;8/24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AD39" sqref="AD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2078/07/15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-23.9</v>
      </c>
      <c r="C5" s="32">
        <f t="shared" ref="C5:AF5" si="0">C66</f>
        <v>-23.9</v>
      </c>
      <c r="D5" s="32">
        <f t="shared" si="0"/>
        <v>-39</v>
      </c>
      <c r="E5" s="32">
        <f t="shared" si="0"/>
        <v>-30</v>
      </c>
      <c r="F5" s="32">
        <f t="shared" si="0"/>
        <v>0</v>
      </c>
      <c r="G5" s="32">
        <f t="shared" si="0"/>
        <v>-13</v>
      </c>
      <c r="H5" s="32">
        <f t="shared" si="0"/>
        <v>-14</v>
      </c>
      <c r="I5" s="32">
        <f t="shared" si="0"/>
        <v>-2</v>
      </c>
      <c r="J5" s="32">
        <f t="shared" si="0"/>
        <v>-21.5</v>
      </c>
      <c r="K5" s="32">
        <f t="shared" si="0"/>
        <v>-1</v>
      </c>
      <c r="L5" s="32">
        <f t="shared" si="0"/>
        <v>-15.9</v>
      </c>
      <c r="M5" s="32">
        <f t="shared" si="0"/>
        <v>-1.5</v>
      </c>
      <c r="N5" s="32">
        <f t="shared" si="0"/>
        <v>-31.7</v>
      </c>
      <c r="O5" s="32">
        <f t="shared" si="0"/>
        <v>0</v>
      </c>
      <c r="P5" s="32">
        <f t="shared" si="0"/>
        <v>-10.4</v>
      </c>
      <c r="Q5" s="32">
        <f t="shared" si="0"/>
        <v>-14.9</v>
      </c>
      <c r="R5" s="32">
        <f t="shared" si="0"/>
        <v>-6.2</v>
      </c>
      <c r="S5" s="32">
        <f t="shared" si="0"/>
        <v>-6.3</v>
      </c>
      <c r="T5" s="32">
        <f t="shared" si="0"/>
        <v>11.4</v>
      </c>
      <c r="U5" s="32">
        <f t="shared" si="0"/>
        <v>-5</v>
      </c>
      <c r="V5" s="32">
        <f t="shared" si="0"/>
        <v>-23.6</v>
      </c>
      <c r="W5" s="32">
        <f t="shared" si="0"/>
        <v>-8.1999999999999993</v>
      </c>
      <c r="X5" s="32">
        <f t="shared" si="0"/>
        <v>-15.6</v>
      </c>
      <c r="Y5" s="32">
        <f t="shared" si="0"/>
        <v>-7.6</v>
      </c>
      <c r="Z5" s="32">
        <f t="shared" si="0"/>
        <v>-7.6</v>
      </c>
      <c r="AA5" s="32">
        <f t="shared" si="0"/>
        <v>-25</v>
      </c>
      <c r="AB5" s="32">
        <f t="shared" si="0"/>
        <v>-15</v>
      </c>
      <c r="AC5" s="32">
        <f t="shared" si="0"/>
        <v>-8</v>
      </c>
      <c r="AD5" s="32">
        <f t="shared" si="0"/>
        <v>-9</v>
      </c>
      <c r="AE5" s="32">
        <f t="shared" si="0"/>
        <v>-12</v>
      </c>
      <c r="AF5" s="32">
        <f t="shared" si="0"/>
        <v>-20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Load=815</v>
      </c>
      <c r="B7" s="37">
        <f t="shared" ref="B7:AF7" si="1">B73</f>
        <v>844.74</v>
      </c>
      <c r="C7" s="37">
        <f t="shared" si="1"/>
        <v>825.74</v>
      </c>
      <c r="D7" s="37">
        <f t="shared" si="1"/>
        <v>814.64</v>
      </c>
      <c r="E7" s="37">
        <f t="shared" si="1"/>
        <v>823.64</v>
      </c>
      <c r="F7" s="37">
        <f t="shared" si="1"/>
        <v>864.74</v>
      </c>
      <c r="G7" s="37">
        <f t="shared" si="1"/>
        <v>926.44</v>
      </c>
      <c r="H7" s="37">
        <f t="shared" si="1"/>
        <v>976.74000000000012</v>
      </c>
      <c r="I7" s="37">
        <f t="shared" si="1"/>
        <v>1096.24</v>
      </c>
      <c r="J7" s="37">
        <f t="shared" si="1"/>
        <v>1135.1400000000001</v>
      </c>
      <c r="K7" s="37">
        <f t="shared" si="1"/>
        <v>1174.54</v>
      </c>
      <c r="L7" s="37">
        <f>L73</f>
        <v>1197.24</v>
      </c>
      <c r="M7" s="37">
        <f t="shared" si="1"/>
        <v>1199.44</v>
      </c>
      <c r="N7" s="37">
        <f t="shared" si="1"/>
        <v>1111.8400000000001</v>
      </c>
      <c r="O7" s="37">
        <f t="shared" si="1"/>
        <v>1122.04</v>
      </c>
      <c r="P7" s="37">
        <f t="shared" si="1"/>
        <v>1103.3400000000001</v>
      </c>
      <c r="Q7" s="37">
        <f t="shared" si="1"/>
        <v>1080.94</v>
      </c>
      <c r="R7" s="37">
        <f t="shared" si="1"/>
        <v>1072.54</v>
      </c>
      <c r="S7" s="37">
        <f t="shared" si="1"/>
        <v>1083.6400000000001</v>
      </c>
      <c r="T7" s="37">
        <f t="shared" si="1"/>
        <v>1122.1400000000001</v>
      </c>
      <c r="U7" s="37">
        <f t="shared" si="1"/>
        <v>1185.04</v>
      </c>
      <c r="V7" s="37">
        <f t="shared" si="1"/>
        <v>1309.8399999999999</v>
      </c>
      <c r="W7" s="37">
        <f t="shared" si="1"/>
        <v>1409.8400000000001</v>
      </c>
      <c r="X7" s="37">
        <f t="shared" si="1"/>
        <v>1337.04</v>
      </c>
      <c r="Y7" s="37">
        <f t="shared" si="1"/>
        <v>1239.3399999999999</v>
      </c>
      <c r="Z7" s="37">
        <f t="shared" si="1"/>
        <v>1199.3399999999999</v>
      </c>
      <c r="AA7" s="37">
        <f t="shared" si="1"/>
        <v>1129.8399999999999</v>
      </c>
      <c r="AB7" s="37">
        <f t="shared" si="1"/>
        <v>1090.1400000000001</v>
      </c>
      <c r="AC7" s="37">
        <f t="shared" si="1"/>
        <v>1059.94</v>
      </c>
      <c r="AD7" s="37">
        <f t="shared" si="1"/>
        <v>912.04</v>
      </c>
      <c r="AE7" s="37">
        <f t="shared" si="1"/>
        <v>842.33999999999992</v>
      </c>
      <c r="AF7" s="37">
        <f t="shared" si="1"/>
        <v>833.7399999999999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70</v>
      </c>
      <c r="D11" s="49">
        <v>70</v>
      </c>
      <c r="E11" s="49">
        <v>70</v>
      </c>
      <c r="F11" s="49">
        <v>70</v>
      </c>
      <c r="G11" s="49">
        <v>70</v>
      </c>
      <c r="H11" s="49">
        <v>70</v>
      </c>
      <c r="I11" s="49">
        <v>100</v>
      </c>
      <c r="J11" s="49">
        <v>150</v>
      </c>
      <c r="K11" s="49">
        <v>155</v>
      </c>
      <c r="L11" s="49">
        <v>215</v>
      </c>
      <c r="M11" s="49">
        <v>200</v>
      </c>
      <c r="N11" s="49">
        <v>155</v>
      </c>
      <c r="O11" s="49">
        <v>145</v>
      </c>
      <c r="P11" s="49">
        <v>140</v>
      </c>
      <c r="Q11" s="49">
        <v>121.7</v>
      </c>
      <c r="R11" s="52">
        <v>140.9</v>
      </c>
      <c r="S11" s="52">
        <v>150</v>
      </c>
      <c r="T11" s="52">
        <v>160</v>
      </c>
      <c r="U11" s="52">
        <v>200</v>
      </c>
      <c r="V11" s="52">
        <v>330</v>
      </c>
      <c r="W11" s="52">
        <v>340</v>
      </c>
      <c r="X11" s="52">
        <v>290</v>
      </c>
      <c r="Y11" s="52">
        <v>230</v>
      </c>
      <c r="Z11" s="54">
        <v>190</v>
      </c>
      <c r="AA11" s="54">
        <v>150</v>
      </c>
      <c r="AB11" s="54">
        <v>120</v>
      </c>
      <c r="AC11" s="54">
        <v>120</v>
      </c>
      <c r="AD11" s="54">
        <v>100</v>
      </c>
      <c r="AE11" s="49">
        <v>80</v>
      </c>
      <c r="AF11" s="49">
        <v>80</v>
      </c>
      <c r="AG11" s="55">
        <v>456</v>
      </c>
      <c r="AH11" s="56">
        <f>MAX(B11:AF11)</f>
        <v>340</v>
      </c>
      <c r="AI11" s="57">
        <f>MIN(B11:AF11)</f>
        <v>70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50</v>
      </c>
      <c r="C12" s="49">
        <v>50</v>
      </c>
      <c r="D12" s="49">
        <v>50</v>
      </c>
      <c r="E12" s="49">
        <v>50</v>
      </c>
      <c r="F12" s="49">
        <v>50</v>
      </c>
      <c r="G12" s="49">
        <v>50</v>
      </c>
      <c r="H12" s="49">
        <v>50</v>
      </c>
      <c r="I12" s="49">
        <v>50</v>
      </c>
      <c r="J12" s="49">
        <v>50</v>
      </c>
      <c r="K12" s="49">
        <v>60</v>
      </c>
      <c r="L12" s="49">
        <v>40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60">
        <v>40</v>
      </c>
      <c r="S12" s="60">
        <v>40</v>
      </c>
      <c r="T12" s="60">
        <v>40</v>
      </c>
      <c r="U12" s="60">
        <v>40</v>
      </c>
      <c r="V12" s="60">
        <v>40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40</v>
      </c>
      <c r="AE12" s="49">
        <v>40</v>
      </c>
      <c r="AF12" s="49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25.2</v>
      </c>
      <c r="C13" s="49">
        <v>25.2</v>
      </c>
      <c r="D13" s="49">
        <v>25.2</v>
      </c>
      <c r="E13" s="49">
        <v>25.2</v>
      </c>
      <c r="F13" s="49">
        <v>25.2</v>
      </c>
      <c r="G13" s="49">
        <v>25.2</v>
      </c>
      <c r="H13" s="49">
        <v>25.2</v>
      </c>
      <c r="I13" s="49">
        <v>25</v>
      </c>
      <c r="J13" s="49">
        <v>25</v>
      </c>
      <c r="K13" s="49">
        <v>25</v>
      </c>
      <c r="L13" s="49">
        <v>25.4</v>
      </c>
      <c r="M13" s="49">
        <v>25.4</v>
      </c>
      <c r="N13" s="49">
        <v>25.4</v>
      </c>
      <c r="O13" s="49">
        <v>25.4</v>
      </c>
      <c r="P13" s="49">
        <v>25.4</v>
      </c>
      <c r="Q13" s="49">
        <v>25.4</v>
      </c>
      <c r="R13" s="62">
        <v>25.4</v>
      </c>
      <c r="S13" s="62">
        <v>25.4</v>
      </c>
      <c r="T13" s="62">
        <v>25.2</v>
      </c>
      <c r="U13" s="62">
        <v>25.2</v>
      </c>
      <c r="V13" s="62">
        <v>25.2</v>
      </c>
      <c r="W13" s="62">
        <v>25.2</v>
      </c>
      <c r="X13" s="62">
        <v>25.4</v>
      </c>
      <c r="Y13" s="62">
        <v>25.4</v>
      </c>
      <c r="Z13" s="62">
        <v>25.4</v>
      </c>
      <c r="AA13" s="62">
        <v>25.4</v>
      </c>
      <c r="AB13" s="62">
        <v>25.4</v>
      </c>
      <c r="AC13" s="62">
        <v>25.4</v>
      </c>
      <c r="AD13" s="62">
        <v>25.4</v>
      </c>
      <c r="AE13" s="49">
        <v>25.2</v>
      </c>
      <c r="AF13" s="49">
        <v>25.2</v>
      </c>
      <c r="AG13" s="61">
        <v>52.4</v>
      </c>
      <c r="AH13" s="56">
        <f t="shared" si="2"/>
        <v>25.4</v>
      </c>
      <c r="AI13" s="57">
        <f t="shared" si="3"/>
        <v>25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36</v>
      </c>
      <c r="C14" s="63">
        <v>36</v>
      </c>
      <c r="D14" s="63">
        <v>36</v>
      </c>
      <c r="E14" s="63">
        <v>36</v>
      </c>
      <c r="F14" s="63">
        <v>36</v>
      </c>
      <c r="G14" s="63">
        <v>36</v>
      </c>
      <c r="H14" s="63">
        <v>36</v>
      </c>
      <c r="I14" s="63">
        <v>42</v>
      </c>
      <c r="J14" s="63">
        <v>42</v>
      </c>
      <c r="K14" s="63">
        <v>42</v>
      </c>
      <c r="L14" s="49">
        <v>45.6</v>
      </c>
      <c r="M14" s="49">
        <v>45.6</v>
      </c>
      <c r="N14" s="49">
        <v>36.700000000000003</v>
      </c>
      <c r="O14" s="49">
        <v>36.700000000000003</v>
      </c>
      <c r="P14" s="49">
        <v>36.700000000000003</v>
      </c>
      <c r="Q14" s="49">
        <v>37.1</v>
      </c>
      <c r="R14" s="62">
        <v>37.1</v>
      </c>
      <c r="S14" s="62">
        <v>37.1</v>
      </c>
      <c r="T14" s="62">
        <v>37.1</v>
      </c>
      <c r="U14" s="62">
        <v>37.1</v>
      </c>
      <c r="V14" s="62">
        <v>46</v>
      </c>
      <c r="W14" s="62">
        <v>46</v>
      </c>
      <c r="X14" s="62">
        <v>43.4</v>
      </c>
      <c r="Y14" s="62">
        <v>41.9</v>
      </c>
      <c r="Z14" s="62">
        <v>41.9</v>
      </c>
      <c r="AA14" s="62">
        <v>42.1</v>
      </c>
      <c r="AB14" s="62">
        <v>42.1</v>
      </c>
      <c r="AC14" s="62">
        <v>42.1</v>
      </c>
      <c r="AD14" s="62">
        <v>41</v>
      </c>
      <c r="AE14" s="63">
        <v>36.200000000000003</v>
      </c>
      <c r="AF14" s="63">
        <v>36.5</v>
      </c>
      <c r="AG14" s="64">
        <v>45</v>
      </c>
      <c r="AH14" s="56">
        <f t="shared" si="2"/>
        <v>46</v>
      </c>
      <c r="AI14" s="57">
        <f t="shared" si="3"/>
        <v>36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20</v>
      </c>
      <c r="C15" s="49">
        <v>20</v>
      </c>
      <c r="D15" s="49">
        <v>20</v>
      </c>
      <c r="E15" s="49">
        <v>20</v>
      </c>
      <c r="F15" s="49">
        <v>20</v>
      </c>
      <c r="G15" s="49">
        <v>20</v>
      </c>
      <c r="H15" s="49">
        <v>26</v>
      </c>
      <c r="I15" s="49">
        <v>26</v>
      </c>
      <c r="J15" s="49">
        <v>26</v>
      </c>
      <c r="K15" s="49">
        <v>26</v>
      </c>
      <c r="L15" s="49">
        <v>26</v>
      </c>
      <c r="M15" s="49">
        <v>26</v>
      </c>
      <c r="N15" s="49">
        <v>26</v>
      </c>
      <c r="O15" s="49">
        <v>26</v>
      </c>
      <c r="P15" s="49">
        <v>26</v>
      </c>
      <c r="Q15" s="49">
        <v>26</v>
      </c>
      <c r="R15" s="65">
        <v>26</v>
      </c>
      <c r="S15" s="65">
        <v>26</v>
      </c>
      <c r="T15" s="65">
        <v>26</v>
      </c>
      <c r="U15" s="65">
        <v>26</v>
      </c>
      <c r="V15" s="65">
        <v>26</v>
      </c>
      <c r="W15" s="65">
        <v>26</v>
      </c>
      <c r="X15" s="65">
        <v>26</v>
      </c>
      <c r="Y15" s="65">
        <v>26</v>
      </c>
      <c r="Z15" s="65">
        <v>26</v>
      </c>
      <c r="AA15" s="65">
        <v>23</v>
      </c>
      <c r="AB15" s="65">
        <v>23</v>
      </c>
      <c r="AC15" s="65">
        <v>23</v>
      </c>
      <c r="AD15" s="65">
        <v>23</v>
      </c>
      <c r="AE15" s="49">
        <v>23</v>
      </c>
      <c r="AF15" s="49">
        <v>23</v>
      </c>
      <c r="AG15" s="61">
        <v>45</v>
      </c>
      <c r="AH15" s="56">
        <f t="shared" si="2"/>
        <v>26</v>
      </c>
      <c r="AI15" s="57">
        <f t="shared" si="3"/>
        <v>20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20</v>
      </c>
      <c r="C16" s="49">
        <v>20</v>
      </c>
      <c r="D16" s="49">
        <v>20</v>
      </c>
      <c r="E16" s="49">
        <v>20</v>
      </c>
      <c r="F16" s="49">
        <v>20</v>
      </c>
      <c r="G16" s="49">
        <v>20</v>
      </c>
      <c r="H16" s="49">
        <v>20</v>
      </c>
      <c r="I16" s="49">
        <v>25</v>
      </c>
      <c r="J16" s="49">
        <v>25</v>
      </c>
      <c r="K16" s="49">
        <v>25</v>
      </c>
      <c r="L16" s="49">
        <v>25</v>
      </c>
      <c r="M16" s="49">
        <v>25</v>
      </c>
      <c r="N16" s="49">
        <v>25</v>
      </c>
      <c r="O16" s="49">
        <v>25</v>
      </c>
      <c r="P16" s="49">
        <v>25</v>
      </c>
      <c r="Q16" s="49">
        <v>25</v>
      </c>
      <c r="R16" s="62">
        <v>25</v>
      </c>
      <c r="S16" s="62">
        <v>25</v>
      </c>
      <c r="T16" s="62">
        <v>25</v>
      </c>
      <c r="U16" s="62">
        <v>25</v>
      </c>
      <c r="V16" s="62">
        <v>25</v>
      </c>
      <c r="W16" s="62">
        <v>25</v>
      </c>
      <c r="X16" s="62">
        <v>25</v>
      </c>
      <c r="Y16" s="62">
        <v>25</v>
      </c>
      <c r="Z16" s="62">
        <v>25</v>
      </c>
      <c r="AA16" s="62">
        <v>25</v>
      </c>
      <c r="AB16" s="62">
        <v>25</v>
      </c>
      <c r="AC16" s="62">
        <v>25</v>
      </c>
      <c r="AD16" s="62">
        <v>25</v>
      </c>
      <c r="AE16" s="49">
        <v>25</v>
      </c>
      <c r="AF16" s="49">
        <v>25</v>
      </c>
      <c r="AG16" s="61">
        <v>42</v>
      </c>
      <c r="AH16" s="56">
        <f t="shared" si="2"/>
        <v>25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25</v>
      </c>
      <c r="J17" s="49">
        <v>25</v>
      </c>
      <c r="K17" s="49">
        <v>25</v>
      </c>
      <c r="L17" s="49">
        <v>25</v>
      </c>
      <c r="M17" s="49">
        <v>25</v>
      </c>
      <c r="N17" s="49">
        <v>25</v>
      </c>
      <c r="O17" s="49">
        <v>25</v>
      </c>
      <c r="P17" s="49">
        <v>25</v>
      </c>
      <c r="Q17" s="49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20</v>
      </c>
      <c r="AF17" s="49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25.3</v>
      </c>
      <c r="C18" s="49">
        <v>25.3</v>
      </c>
      <c r="D18" s="49">
        <v>25.3</v>
      </c>
      <c r="E18" s="49">
        <v>25.3</v>
      </c>
      <c r="F18" s="49">
        <v>22.5</v>
      </c>
      <c r="G18" s="49">
        <v>22.5</v>
      </c>
      <c r="H18" s="49">
        <v>22.5</v>
      </c>
      <c r="I18" s="49">
        <v>22.5</v>
      </c>
      <c r="J18" s="49">
        <v>25</v>
      </c>
      <c r="K18" s="49">
        <v>25</v>
      </c>
      <c r="L18" s="49">
        <v>25</v>
      </c>
      <c r="M18" s="49">
        <v>25</v>
      </c>
      <c r="N18" s="49">
        <v>25</v>
      </c>
      <c r="O18" s="49">
        <v>25</v>
      </c>
      <c r="P18" s="49">
        <v>25</v>
      </c>
      <c r="Q18" s="49">
        <v>25</v>
      </c>
      <c r="R18" s="50">
        <v>23.7</v>
      </c>
      <c r="S18" s="50">
        <v>23.7</v>
      </c>
      <c r="T18" s="50">
        <v>23.8</v>
      </c>
      <c r="U18" s="50">
        <v>23.8</v>
      </c>
      <c r="V18" s="50">
        <v>23.8</v>
      </c>
      <c r="W18" s="50">
        <v>25.7</v>
      </c>
      <c r="X18" s="50">
        <v>25.7</v>
      </c>
      <c r="Y18" s="50">
        <v>22.6</v>
      </c>
      <c r="Z18" s="50">
        <v>22.6</v>
      </c>
      <c r="AA18" s="50">
        <v>22.6</v>
      </c>
      <c r="AB18" s="50">
        <v>22.6</v>
      </c>
      <c r="AC18" s="50">
        <v>22.6</v>
      </c>
      <c r="AD18" s="50">
        <v>22.6</v>
      </c>
      <c r="AE18" s="49">
        <v>22.6</v>
      </c>
      <c r="AF18" s="49">
        <v>22.6</v>
      </c>
      <c r="AG18" s="61">
        <v>30</v>
      </c>
      <c r="AH18" s="56">
        <f t="shared" si="2"/>
        <v>25.7</v>
      </c>
      <c r="AI18" s="57">
        <f t="shared" si="3"/>
        <v>22.5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49">
        <v>6.2</v>
      </c>
      <c r="M19" s="49">
        <v>6.2</v>
      </c>
      <c r="N19" s="49">
        <v>6.2</v>
      </c>
      <c r="O19" s="49">
        <v>6.2</v>
      </c>
      <c r="P19" s="49">
        <v>6.2</v>
      </c>
      <c r="Q19" s="49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49">
        <v>6.2</v>
      </c>
      <c r="AF19" s="49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49">
        <v>11</v>
      </c>
      <c r="M20" s="49">
        <v>11</v>
      </c>
      <c r="N20" s="49">
        <v>11</v>
      </c>
      <c r="O20" s="49">
        <v>11</v>
      </c>
      <c r="P20" s="49">
        <v>11</v>
      </c>
      <c r="Q20" s="49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18</v>
      </c>
      <c r="C21" s="49">
        <v>18</v>
      </c>
      <c r="D21" s="49">
        <v>18</v>
      </c>
      <c r="E21" s="49">
        <v>18</v>
      </c>
      <c r="F21" s="49">
        <v>18</v>
      </c>
      <c r="G21" s="49">
        <v>18</v>
      </c>
      <c r="H21" s="49">
        <v>18</v>
      </c>
      <c r="I21" s="49">
        <v>22</v>
      </c>
      <c r="J21" s="49">
        <v>22</v>
      </c>
      <c r="K21" s="49">
        <v>22</v>
      </c>
      <c r="L21" s="49">
        <v>22</v>
      </c>
      <c r="M21" s="49">
        <v>22</v>
      </c>
      <c r="N21" s="49">
        <v>22</v>
      </c>
      <c r="O21" s="49">
        <v>22</v>
      </c>
      <c r="P21" s="49">
        <v>22</v>
      </c>
      <c r="Q21" s="49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49">
        <v>22</v>
      </c>
      <c r="AF21" s="49">
        <v>22</v>
      </c>
      <c r="AG21" s="61">
        <v>25</v>
      </c>
      <c r="AH21" s="56">
        <f t="shared" si="2"/>
        <v>22</v>
      </c>
      <c r="AI21" s="57">
        <f t="shared" si="3"/>
        <v>18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23.1</v>
      </c>
      <c r="C22" s="49">
        <v>23.1</v>
      </c>
      <c r="D22" s="49">
        <v>23.1</v>
      </c>
      <c r="E22" s="49">
        <v>23.1</v>
      </c>
      <c r="F22" s="49">
        <v>23.1</v>
      </c>
      <c r="G22" s="49">
        <v>23.1</v>
      </c>
      <c r="H22" s="49">
        <v>23.1</v>
      </c>
      <c r="I22" s="49">
        <v>23.1</v>
      </c>
      <c r="J22" s="49">
        <v>23.1</v>
      </c>
      <c r="K22" s="49">
        <v>23.1</v>
      </c>
      <c r="L22" s="49">
        <v>23.1</v>
      </c>
      <c r="M22" s="49">
        <v>23.1</v>
      </c>
      <c r="N22" s="49">
        <v>23.1</v>
      </c>
      <c r="O22" s="49">
        <v>23.1</v>
      </c>
      <c r="P22" s="49">
        <v>23.1</v>
      </c>
      <c r="Q22" s="49">
        <v>23.1</v>
      </c>
      <c r="R22" s="50">
        <v>23.1</v>
      </c>
      <c r="S22" s="50">
        <v>23.1</v>
      </c>
      <c r="T22" s="50">
        <v>23.1</v>
      </c>
      <c r="U22" s="50">
        <v>23.1</v>
      </c>
      <c r="V22" s="50">
        <v>23.1</v>
      </c>
      <c r="W22" s="50">
        <v>23.1</v>
      </c>
      <c r="X22" s="50">
        <v>23.1</v>
      </c>
      <c r="Y22" s="50">
        <v>23.1</v>
      </c>
      <c r="Z22" s="50">
        <v>23.1</v>
      </c>
      <c r="AA22" s="50">
        <v>22</v>
      </c>
      <c r="AB22" s="50">
        <v>22</v>
      </c>
      <c r="AC22" s="50">
        <v>22</v>
      </c>
      <c r="AD22" s="50">
        <v>22</v>
      </c>
      <c r="AE22" s="49">
        <v>22</v>
      </c>
      <c r="AF22" s="49">
        <v>22</v>
      </c>
      <c r="AG22" s="61">
        <v>25</v>
      </c>
      <c r="AH22" s="56">
        <f t="shared" si="2"/>
        <v>23.1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19</v>
      </c>
      <c r="C23" s="49">
        <v>19</v>
      </c>
      <c r="D23" s="49">
        <v>19</v>
      </c>
      <c r="E23" s="49">
        <v>19</v>
      </c>
      <c r="F23" s="49">
        <v>19</v>
      </c>
      <c r="G23" s="49">
        <v>19</v>
      </c>
      <c r="H23" s="49">
        <v>22</v>
      </c>
      <c r="I23" s="49">
        <v>22</v>
      </c>
      <c r="J23" s="49">
        <v>22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49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49">
        <v>22</v>
      </c>
      <c r="AF23" s="49">
        <v>22</v>
      </c>
      <c r="AG23" s="61">
        <v>25</v>
      </c>
      <c r="AH23" s="56">
        <f t="shared" si="2"/>
        <v>22</v>
      </c>
      <c r="AI23" s="57">
        <f t="shared" si="3"/>
        <v>19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22</v>
      </c>
      <c r="J24" s="49">
        <v>22</v>
      </c>
      <c r="K24" s="49">
        <v>22</v>
      </c>
      <c r="L24" s="49">
        <v>22</v>
      </c>
      <c r="M24" s="49">
        <v>22</v>
      </c>
      <c r="N24" s="49">
        <v>22</v>
      </c>
      <c r="O24" s="49">
        <v>22</v>
      </c>
      <c r="P24" s="49">
        <v>22</v>
      </c>
      <c r="Q24" s="49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49">
        <v>22</v>
      </c>
      <c r="AF24" s="49">
        <v>22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49">
        <v>0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4</v>
      </c>
      <c r="S25" s="50">
        <v>4</v>
      </c>
      <c r="T25" s="50">
        <v>4</v>
      </c>
      <c r="U25" s="50">
        <v>4</v>
      </c>
      <c r="V25" s="50">
        <v>4</v>
      </c>
      <c r="W25" s="50">
        <v>4</v>
      </c>
      <c r="X25" s="50">
        <v>4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49">
        <v>4</v>
      </c>
      <c r="AF25" s="49">
        <v>4</v>
      </c>
      <c r="AG25" s="61">
        <v>20</v>
      </c>
      <c r="AH25" s="56">
        <f>MAX(B25:AF25)</f>
        <v>4</v>
      </c>
      <c r="AI25" s="57">
        <f>MIN(B25:AF25)</f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49">
        <v>12</v>
      </c>
      <c r="M26" s="49">
        <v>12</v>
      </c>
      <c r="N26" s="49">
        <v>12</v>
      </c>
      <c r="O26" s="49">
        <v>12</v>
      </c>
      <c r="P26" s="49">
        <v>12</v>
      </c>
      <c r="Q26" s="49">
        <v>12</v>
      </c>
      <c r="R26" s="50">
        <v>12</v>
      </c>
      <c r="S26" s="50">
        <v>12</v>
      </c>
      <c r="T26" s="50">
        <v>12</v>
      </c>
      <c r="U26" s="50">
        <v>12</v>
      </c>
      <c r="V26" s="50">
        <v>12</v>
      </c>
      <c r="W26" s="50">
        <v>12</v>
      </c>
      <c r="X26" s="50">
        <v>12</v>
      </c>
      <c r="Y26" s="50">
        <v>12</v>
      </c>
      <c r="Z26" s="50">
        <v>12</v>
      </c>
      <c r="AA26" s="50">
        <v>12</v>
      </c>
      <c r="AB26" s="50">
        <v>12</v>
      </c>
      <c r="AC26" s="50">
        <v>12</v>
      </c>
      <c r="AD26" s="50">
        <v>12</v>
      </c>
      <c r="AE26" s="49">
        <v>12</v>
      </c>
      <c r="AF26" s="49">
        <v>12</v>
      </c>
      <c r="AG26" s="61">
        <v>23.5</v>
      </c>
      <c r="AH26" s="56">
        <f t="shared" si="2"/>
        <v>12</v>
      </c>
      <c r="AI26" s="57">
        <f t="shared" si="3"/>
        <v>12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6.8</v>
      </c>
      <c r="C27" s="49">
        <v>6.8</v>
      </c>
      <c r="D27" s="49">
        <v>6.8</v>
      </c>
      <c r="E27" s="49">
        <v>6.8</v>
      </c>
      <c r="F27" s="49">
        <v>6.8</v>
      </c>
      <c r="G27" s="49">
        <v>6.8</v>
      </c>
      <c r="H27" s="49">
        <v>6.8</v>
      </c>
      <c r="I27" s="49">
        <v>6.8</v>
      </c>
      <c r="J27" s="49">
        <v>6.8</v>
      </c>
      <c r="K27" s="49">
        <v>6.8</v>
      </c>
      <c r="L27" s="49">
        <v>6.8</v>
      </c>
      <c r="M27" s="49">
        <v>6.8</v>
      </c>
      <c r="N27" s="49">
        <v>6.8</v>
      </c>
      <c r="O27" s="49">
        <v>6.8</v>
      </c>
      <c r="P27" s="49">
        <v>6.8</v>
      </c>
      <c r="Q27" s="49">
        <v>6.8</v>
      </c>
      <c r="R27" s="49">
        <v>6.8</v>
      </c>
      <c r="S27" s="49">
        <v>6.8</v>
      </c>
      <c r="T27" s="49">
        <v>6.8</v>
      </c>
      <c r="U27" s="49">
        <v>6.8</v>
      </c>
      <c r="V27" s="49">
        <v>6.8</v>
      </c>
      <c r="W27" s="49">
        <v>6.8</v>
      </c>
      <c r="X27" s="49">
        <v>6.8</v>
      </c>
      <c r="Y27" s="49">
        <v>6.8</v>
      </c>
      <c r="Z27" s="49">
        <v>6.8</v>
      </c>
      <c r="AA27" s="49">
        <v>6.8</v>
      </c>
      <c r="AB27" s="49">
        <v>6.8</v>
      </c>
      <c r="AC27" s="49">
        <v>6.8</v>
      </c>
      <c r="AD27" s="49">
        <v>6.8</v>
      </c>
      <c r="AE27" s="49">
        <v>6.8</v>
      </c>
      <c r="AF27" s="49">
        <v>6.8</v>
      </c>
      <c r="AG27" s="61">
        <v>22.2</v>
      </c>
      <c r="AH27" s="56">
        <f t="shared" si="2"/>
        <v>6.8</v>
      </c>
      <c r="AI27" s="57">
        <f t="shared" si="3"/>
        <v>6.8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49">
        <v>0</v>
      </c>
      <c r="AF28" s="49">
        <v>0</v>
      </c>
      <c r="AG28" s="61">
        <v>22.1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49">
        <v>12</v>
      </c>
      <c r="M29" s="49">
        <v>12</v>
      </c>
      <c r="N29" s="49">
        <v>12</v>
      </c>
      <c r="O29" s="49">
        <v>12</v>
      </c>
      <c r="P29" s="49">
        <v>12</v>
      </c>
      <c r="Q29" s="49">
        <v>12</v>
      </c>
      <c r="R29" s="49">
        <v>12</v>
      </c>
      <c r="S29" s="49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49">
        <v>12</v>
      </c>
      <c r="AF29" s="49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63">
        <v>0</v>
      </c>
      <c r="AF30" s="63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63">
        <v>0</v>
      </c>
      <c r="AF31" s="63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8.9</v>
      </c>
      <c r="C32" s="63">
        <v>8.9</v>
      </c>
      <c r="D32" s="63">
        <v>8.9</v>
      </c>
      <c r="E32" s="63">
        <v>8.9</v>
      </c>
      <c r="F32" s="63">
        <v>8.9</v>
      </c>
      <c r="G32" s="63">
        <v>8.9</v>
      </c>
      <c r="H32" s="63">
        <v>8.9</v>
      </c>
      <c r="I32" s="63">
        <v>8.9</v>
      </c>
      <c r="J32" s="63">
        <v>8.9</v>
      </c>
      <c r="K32" s="63">
        <v>8.9</v>
      </c>
      <c r="L32" s="49">
        <v>8.9</v>
      </c>
      <c r="M32" s="49">
        <v>8.9</v>
      </c>
      <c r="N32" s="49">
        <v>8.9</v>
      </c>
      <c r="O32" s="49">
        <v>8.9</v>
      </c>
      <c r="P32" s="49">
        <v>8.9</v>
      </c>
      <c r="Q32" s="49">
        <v>8.9</v>
      </c>
      <c r="R32" s="49">
        <v>8.9</v>
      </c>
      <c r="S32" s="49">
        <v>8.9</v>
      </c>
      <c r="T32" s="50">
        <v>8.9</v>
      </c>
      <c r="U32" s="50">
        <v>8.9</v>
      </c>
      <c r="V32" s="50">
        <v>8.9</v>
      </c>
      <c r="W32" s="50">
        <v>8.9</v>
      </c>
      <c r="X32" s="50">
        <v>8.9</v>
      </c>
      <c r="Y32" s="50">
        <v>8.9</v>
      </c>
      <c r="Z32" s="50">
        <v>8.9</v>
      </c>
      <c r="AA32" s="50">
        <v>8.9</v>
      </c>
      <c r="AB32" s="50">
        <v>8.9</v>
      </c>
      <c r="AC32" s="50">
        <v>8.9</v>
      </c>
      <c r="AD32" s="50">
        <v>8.9</v>
      </c>
      <c r="AE32" s="63">
        <v>8</v>
      </c>
      <c r="AF32" s="63">
        <v>8</v>
      </c>
      <c r="AG32" s="69">
        <v>20</v>
      </c>
      <c r="AH32" s="56">
        <f t="shared" si="2"/>
        <v>8.9</v>
      </c>
      <c r="AI32" s="57">
        <f t="shared" si="3"/>
        <v>8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49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63">
        <v>0</v>
      </c>
      <c r="AF33" s="63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220</v>
      </c>
      <c r="C34" s="63">
        <v>220</v>
      </c>
      <c r="D34" s="63">
        <v>220</v>
      </c>
      <c r="E34" s="63">
        <v>220</v>
      </c>
      <c r="F34" s="63">
        <v>220</v>
      </c>
      <c r="G34" s="63">
        <v>220</v>
      </c>
      <c r="H34" s="63">
        <v>220</v>
      </c>
      <c r="I34" s="63">
        <v>220</v>
      </c>
      <c r="J34" s="63">
        <v>220</v>
      </c>
      <c r="K34" s="63">
        <v>220</v>
      </c>
      <c r="L34" s="49">
        <v>220</v>
      </c>
      <c r="M34" s="49">
        <v>220</v>
      </c>
      <c r="N34" s="49">
        <v>220</v>
      </c>
      <c r="O34" s="49">
        <v>220</v>
      </c>
      <c r="P34" s="49">
        <v>220</v>
      </c>
      <c r="Q34" s="49">
        <v>220</v>
      </c>
      <c r="R34" s="49">
        <v>220</v>
      </c>
      <c r="S34" s="63">
        <v>220</v>
      </c>
      <c r="T34" s="63">
        <v>220</v>
      </c>
      <c r="U34" s="63">
        <v>220</v>
      </c>
      <c r="V34" s="63">
        <v>220</v>
      </c>
      <c r="W34" s="63">
        <v>220</v>
      </c>
      <c r="X34" s="63">
        <v>220</v>
      </c>
      <c r="Y34" s="63">
        <v>220</v>
      </c>
      <c r="Z34" s="63">
        <v>220</v>
      </c>
      <c r="AA34" s="63">
        <v>220</v>
      </c>
      <c r="AB34" s="63">
        <v>220</v>
      </c>
      <c r="AC34" s="63">
        <v>220</v>
      </c>
      <c r="AD34" s="63">
        <v>220</v>
      </c>
      <c r="AE34" s="63">
        <v>220</v>
      </c>
      <c r="AF34" s="63">
        <v>220</v>
      </c>
      <c r="AG34" s="69">
        <v>85</v>
      </c>
      <c r="AH34" s="56">
        <f t="shared" si="2"/>
        <v>220</v>
      </c>
      <c r="AI34" s="57">
        <f t="shared" si="3"/>
        <v>220</v>
      </c>
      <c r="AK34" s="58"/>
    </row>
    <row r="35" spans="1:88" ht="15.75" thickBot="1" x14ac:dyDescent="0.3">
      <c r="A35" s="71" t="s">
        <v>43</v>
      </c>
      <c r="B35" s="63">
        <v>104.19999999999999</v>
      </c>
      <c r="C35" s="63">
        <f>46.3+61.4</f>
        <v>107.69999999999999</v>
      </c>
      <c r="D35" s="63">
        <v>109</v>
      </c>
      <c r="E35" s="63">
        <v>107.8</v>
      </c>
      <c r="F35" s="63">
        <v>108</v>
      </c>
      <c r="G35" s="63">
        <v>108</v>
      </c>
      <c r="H35" s="63">
        <v>106</v>
      </c>
      <c r="I35" s="63">
        <v>115.2</v>
      </c>
      <c r="J35" s="63">
        <f>74.9+48.6</f>
        <v>123.5</v>
      </c>
      <c r="K35" s="63">
        <v>125</v>
      </c>
      <c r="L35" s="49">
        <v>121.5</v>
      </c>
      <c r="M35" s="49">
        <v>121.5</v>
      </c>
      <c r="N35" s="49">
        <v>125.4</v>
      </c>
      <c r="O35" s="49">
        <v>125.4</v>
      </c>
      <c r="P35" s="49">
        <v>125.4</v>
      </c>
      <c r="Q35" s="49">
        <v>124.8</v>
      </c>
      <c r="R35" s="72">
        <v>124.6</v>
      </c>
      <c r="S35" s="72">
        <v>124.7</v>
      </c>
      <c r="T35" s="72">
        <v>122.9</v>
      </c>
      <c r="U35" s="72">
        <v>122.9</v>
      </c>
      <c r="V35" s="72">
        <v>119.2</v>
      </c>
      <c r="W35" s="72">
        <v>118.9</v>
      </c>
      <c r="X35" s="72">
        <v>118.9</v>
      </c>
      <c r="Y35" s="72">
        <v>119.3</v>
      </c>
      <c r="Z35" s="72">
        <v>119.3</v>
      </c>
      <c r="AA35" s="72">
        <f>73.6+47.6</f>
        <v>121.19999999999999</v>
      </c>
      <c r="AB35" s="72">
        <f>74+47</f>
        <v>121</v>
      </c>
      <c r="AC35" s="72">
        <f>69+48</f>
        <v>117</v>
      </c>
      <c r="AD35" s="72">
        <f>74.6+52.7</f>
        <v>127.3</v>
      </c>
      <c r="AE35" s="63">
        <f>73.9+52.9</f>
        <v>126.80000000000001</v>
      </c>
      <c r="AF35" s="63">
        <f>74.3+53.2</f>
        <v>127.5</v>
      </c>
      <c r="AG35" s="69">
        <v>240</v>
      </c>
      <c r="AH35" s="56">
        <f t="shared" si="2"/>
        <v>127.5</v>
      </c>
      <c r="AI35" s="57">
        <f t="shared" si="3"/>
        <v>104.19999999999999</v>
      </c>
      <c r="AK35" s="58"/>
    </row>
    <row r="36" spans="1:88" ht="15.75" thickBot="1" x14ac:dyDescent="0.3">
      <c r="A36" s="73" t="s">
        <v>44</v>
      </c>
      <c r="B36" s="74">
        <f t="shared" ref="B36:AF36" si="4">SUM(B11:B34)</f>
        <v>625.5</v>
      </c>
      <c r="C36" s="74">
        <f t="shared" si="4"/>
        <v>625.5</v>
      </c>
      <c r="D36" s="74">
        <f t="shared" si="4"/>
        <v>625.5</v>
      </c>
      <c r="E36" s="74">
        <f t="shared" si="4"/>
        <v>625.5</v>
      </c>
      <c r="F36" s="74">
        <f t="shared" si="4"/>
        <v>622.70000000000005</v>
      </c>
      <c r="G36" s="74">
        <f t="shared" si="4"/>
        <v>622.70000000000005</v>
      </c>
      <c r="H36" s="74">
        <f t="shared" si="4"/>
        <v>631.70000000000005</v>
      </c>
      <c r="I36" s="74">
        <f t="shared" si="4"/>
        <v>685.5</v>
      </c>
      <c r="J36" s="74">
        <f t="shared" si="4"/>
        <v>738</v>
      </c>
      <c r="K36" s="74">
        <f t="shared" si="4"/>
        <v>753</v>
      </c>
      <c r="L36" s="74">
        <f t="shared" si="4"/>
        <v>792.99999999999989</v>
      </c>
      <c r="M36" s="74">
        <f t="shared" si="4"/>
        <v>801.99999999999989</v>
      </c>
      <c r="N36" s="74">
        <f t="shared" si="4"/>
        <v>748.1</v>
      </c>
      <c r="O36" s="74">
        <f t="shared" si="4"/>
        <v>738.1</v>
      </c>
      <c r="P36" s="74">
        <f t="shared" si="4"/>
        <v>733.1</v>
      </c>
      <c r="Q36" s="74">
        <f t="shared" si="4"/>
        <v>715.2</v>
      </c>
      <c r="R36" s="74">
        <f t="shared" si="4"/>
        <v>713.09999999999991</v>
      </c>
      <c r="S36" s="74">
        <f t="shared" si="4"/>
        <v>722.2</v>
      </c>
      <c r="T36" s="74">
        <f t="shared" si="4"/>
        <v>732.1</v>
      </c>
      <c r="U36" s="74">
        <f t="shared" si="4"/>
        <v>772.1</v>
      </c>
      <c r="V36" s="74">
        <f t="shared" si="4"/>
        <v>911</v>
      </c>
      <c r="W36" s="74">
        <f t="shared" si="4"/>
        <v>942.90000000000009</v>
      </c>
      <c r="X36" s="74">
        <f t="shared" si="4"/>
        <v>890.5</v>
      </c>
      <c r="Y36" s="74">
        <f t="shared" si="4"/>
        <v>825.89999999999986</v>
      </c>
      <c r="Z36" s="74">
        <f t="shared" si="4"/>
        <v>785.9</v>
      </c>
      <c r="AA36" s="74">
        <f t="shared" si="4"/>
        <v>742</v>
      </c>
      <c r="AB36" s="74">
        <f t="shared" si="4"/>
        <v>712</v>
      </c>
      <c r="AC36" s="74">
        <f t="shared" si="4"/>
        <v>712</v>
      </c>
      <c r="AD36" s="74">
        <f t="shared" si="4"/>
        <v>670.9</v>
      </c>
      <c r="AE36" s="74">
        <f t="shared" si="4"/>
        <v>640</v>
      </c>
      <c r="AF36" s="74">
        <f t="shared" si="4"/>
        <v>640.29999999999995</v>
      </c>
      <c r="AG36" s="69">
        <f>SUM(AG11:AG35)</f>
        <v>1431.83</v>
      </c>
      <c r="AH36" s="56">
        <f t="shared" si="2"/>
        <v>942.90000000000009</v>
      </c>
      <c r="AI36" s="57">
        <f t="shared" si="3"/>
        <v>622.70000000000005</v>
      </c>
      <c r="AK36" s="58"/>
    </row>
    <row r="37" spans="1:88" x14ac:dyDescent="0.25">
      <c r="A37" s="59" t="s">
        <v>45</v>
      </c>
      <c r="B37" s="63">
        <v>80</v>
      </c>
      <c r="C37" s="63">
        <v>60</v>
      </c>
      <c r="D37" s="63">
        <v>60</v>
      </c>
      <c r="E37" s="63">
        <v>60</v>
      </c>
      <c r="F37" s="63">
        <v>60</v>
      </c>
      <c r="G37" s="63">
        <v>96</v>
      </c>
      <c r="H37" s="63">
        <v>112</v>
      </c>
      <c r="I37" s="63">
        <v>144.30000000000001</v>
      </c>
      <c r="J37" s="63">
        <v>144.30000000000001</v>
      </c>
      <c r="K37" s="63">
        <v>145.19999999999999</v>
      </c>
      <c r="L37" s="52">
        <v>141.1</v>
      </c>
      <c r="M37" s="52">
        <v>141.4</v>
      </c>
      <c r="N37" s="52">
        <v>136.4</v>
      </c>
      <c r="O37" s="52">
        <v>126.7</v>
      </c>
      <c r="P37" s="52">
        <v>121.4</v>
      </c>
      <c r="Q37" s="52">
        <v>121.4</v>
      </c>
      <c r="R37" s="50">
        <v>121.4</v>
      </c>
      <c r="S37" s="50">
        <v>121.4</v>
      </c>
      <c r="T37" s="50">
        <v>121.5</v>
      </c>
      <c r="U37" s="50">
        <v>145.6</v>
      </c>
      <c r="V37" s="50">
        <v>145.6</v>
      </c>
      <c r="W37" s="50">
        <v>145.6</v>
      </c>
      <c r="X37" s="50">
        <v>145.6</v>
      </c>
      <c r="Y37" s="50">
        <v>145.69999999999999</v>
      </c>
      <c r="Z37" s="50">
        <v>145.69999999999999</v>
      </c>
      <c r="AA37" s="50">
        <v>145.69999999999999</v>
      </c>
      <c r="AB37" s="50">
        <v>126.4</v>
      </c>
      <c r="AC37" s="50">
        <v>126.4</v>
      </c>
      <c r="AD37" s="50">
        <v>81</v>
      </c>
      <c r="AE37" s="49">
        <v>61.3</v>
      </c>
      <c r="AF37" s="49">
        <v>60.5</v>
      </c>
      <c r="AG37" s="64">
        <v>144</v>
      </c>
      <c r="AH37" s="56">
        <f t="shared" si="2"/>
        <v>145.69999999999999</v>
      </c>
      <c r="AI37" s="57">
        <f t="shared" si="3"/>
        <v>60</v>
      </c>
      <c r="AK37" s="58"/>
    </row>
    <row r="38" spans="1:88" x14ac:dyDescent="0.25">
      <c r="A38" s="68" t="s">
        <v>46</v>
      </c>
      <c r="B38" s="63">
        <v>45</v>
      </c>
      <c r="C38" s="63">
        <v>45</v>
      </c>
      <c r="D38" s="63">
        <v>46.7</v>
      </c>
      <c r="E38" s="63">
        <v>46.7</v>
      </c>
      <c r="F38" s="63">
        <v>56</v>
      </c>
      <c r="G38" s="63">
        <v>70</v>
      </c>
      <c r="H38" s="63">
        <v>70</v>
      </c>
      <c r="I38" s="63">
        <v>70</v>
      </c>
      <c r="J38" s="63">
        <v>70</v>
      </c>
      <c r="K38" s="63">
        <v>71.400000000000006</v>
      </c>
      <c r="L38" s="52">
        <v>71</v>
      </c>
      <c r="M38" s="52">
        <v>65.400000000000006</v>
      </c>
      <c r="N38" s="52">
        <v>67.3</v>
      </c>
      <c r="O38" s="52">
        <v>65.400000000000006</v>
      </c>
      <c r="P38" s="52">
        <v>65.099999999999994</v>
      </c>
      <c r="Q38" s="52">
        <v>65.099999999999994</v>
      </c>
      <c r="R38" s="52">
        <v>53.1</v>
      </c>
      <c r="S38" s="52">
        <v>52.9</v>
      </c>
      <c r="T38" s="52">
        <v>53</v>
      </c>
      <c r="U38" s="52">
        <v>69.099999999999994</v>
      </c>
      <c r="V38" s="52">
        <v>69.099999999999994</v>
      </c>
      <c r="W38" s="52">
        <v>69.099999999999994</v>
      </c>
      <c r="X38" s="52">
        <v>69.099999999999994</v>
      </c>
      <c r="Y38" s="52">
        <v>71.3</v>
      </c>
      <c r="Z38" s="52">
        <v>71.3</v>
      </c>
      <c r="AA38" s="52">
        <v>61.4</v>
      </c>
      <c r="AB38" s="52">
        <v>61.6</v>
      </c>
      <c r="AC38" s="52">
        <v>50</v>
      </c>
      <c r="AD38" s="52">
        <v>25.4</v>
      </c>
      <c r="AE38" s="63">
        <v>25.2</v>
      </c>
      <c r="AF38" s="63">
        <v>25.2</v>
      </c>
      <c r="AG38" s="69">
        <v>70</v>
      </c>
      <c r="AH38" s="56">
        <f t="shared" si="2"/>
        <v>71.400000000000006</v>
      </c>
      <c r="AI38" s="57">
        <f t="shared" si="3"/>
        <v>25.2</v>
      </c>
      <c r="AK38" s="58"/>
    </row>
    <row r="39" spans="1:88" x14ac:dyDescent="0.25">
      <c r="A39" s="68" t="s">
        <v>47</v>
      </c>
      <c r="B39" s="63">
        <v>35</v>
      </c>
      <c r="C39" s="63">
        <v>35</v>
      </c>
      <c r="D39" s="63">
        <v>35.5</v>
      </c>
      <c r="E39" s="63">
        <v>35.5</v>
      </c>
      <c r="F39" s="63">
        <v>40</v>
      </c>
      <c r="G39" s="63">
        <v>46</v>
      </c>
      <c r="H39" s="63">
        <v>52</v>
      </c>
      <c r="I39" s="63">
        <v>69</v>
      </c>
      <c r="J39" s="63">
        <v>69</v>
      </c>
      <c r="K39" s="63">
        <v>70.2</v>
      </c>
      <c r="L39" s="52">
        <v>70.2</v>
      </c>
      <c r="M39" s="52">
        <v>63.3</v>
      </c>
      <c r="N39" s="52">
        <v>62.9</v>
      </c>
      <c r="O39" s="52">
        <v>63</v>
      </c>
      <c r="P39" s="52">
        <v>66.599999999999994</v>
      </c>
      <c r="Q39" s="52">
        <v>66.599999999999994</v>
      </c>
      <c r="R39" s="52">
        <v>68.7</v>
      </c>
      <c r="S39" s="52">
        <v>61.2</v>
      </c>
      <c r="T39" s="52">
        <v>70.900000000000006</v>
      </c>
      <c r="U39" s="52">
        <v>70</v>
      </c>
      <c r="V39" s="52">
        <v>70</v>
      </c>
      <c r="W39" s="52">
        <v>70</v>
      </c>
      <c r="X39" s="52">
        <v>70</v>
      </c>
      <c r="Y39" s="52">
        <v>61.4</v>
      </c>
      <c r="Z39" s="52">
        <v>61.4</v>
      </c>
      <c r="AA39" s="52">
        <v>61.8</v>
      </c>
      <c r="AB39" s="52">
        <v>61.6</v>
      </c>
      <c r="AC39" s="52">
        <v>56</v>
      </c>
      <c r="AD39" s="52">
        <v>36.9</v>
      </c>
      <c r="AE39" s="63">
        <v>36.9</v>
      </c>
      <c r="AF39" s="63">
        <v>36.9</v>
      </c>
      <c r="AG39" s="69">
        <v>69</v>
      </c>
      <c r="AH39" s="56">
        <f t="shared" si="2"/>
        <v>70.900000000000006</v>
      </c>
      <c r="AI39" s="57">
        <f t="shared" si="3"/>
        <v>35</v>
      </c>
      <c r="AK39" s="58"/>
    </row>
    <row r="40" spans="1:88" x14ac:dyDescent="0.25">
      <c r="A40" s="68" t="s">
        <v>48</v>
      </c>
      <c r="B40" s="63">
        <v>10</v>
      </c>
      <c r="C40" s="63">
        <v>10</v>
      </c>
      <c r="D40" s="63">
        <v>11.3</v>
      </c>
      <c r="E40" s="63">
        <v>11.3</v>
      </c>
      <c r="F40" s="63">
        <v>11.3</v>
      </c>
      <c r="G40" s="63">
        <v>30</v>
      </c>
      <c r="H40" s="63">
        <v>50.6</v>
      </c>
      <c r="I40" s="63">
        <v>54.3</v>
      </c>
      <c r="J40" s="63">
        <v>60</v>
      </c>
      <c r="K40" s="63">
        <v>60.4</v>
      </c>
      <c r="L40" s="52">
        <v>60.4</v>
      </c>
      <c r="M40" s="52">
        <v>51.4</v>
      </c>
      <c r="N40" s="52">
        <v>51.4</v>
      </c>
      <c r="O40" s="52">
        <v>51.4</v>
      </c>
      <c r="P40" s="52">
        <v>50.1</v>
      </c>
      <c r="Q40" s="52">
        <v>50.1</v>
      </c>
      <c r="R40" s="52">
        <v>50.6</v>
      </c>
      <c r="S40" s="52">
        <v>60</v>
      </c>
      <c r="T40" s="52">
        <v>60.9</v>
      </c>
      <c r="U40" s="52">
        <v>60.9</v>
      </c>
      <c r="V40" s="52">
        <v>60.9</v>
      </c>
      <c r="W40" s="52">
        <v>60.9</v>
      </c>
      <c r="X40" s="52">
        <v>60.9</v>
      </c>
      <c r="Y40" s="52">
        <v>61.4</v>
      </c>
      <c r="Z40" s="52">
        <v>61.4</v>
      </c>
      <c r="AA40" s="52">
        <v>61.4</v>
      </c>
      <c r="AB40" s="52">
        <v>61</v>
      </c>
      <c r="AC40" s="52">
        <v>41</v>
      </c>
      <c r="AD40" s="52">
        <v>25.7</v>
      </c>
      <c r="AE40" s="63">
        <v>25.7</v>
      </c>
      <c r="AF40" s="63">
        <v>25.7</v>
      </c>
      <c r="AG40" s="69">
        <v>60</v>
      </c>
      <c r="AH40" s="56">
        <f t="shared" si="2"/>
        <v>61.4</v>
      </c>
      <c r="AI40" s="57">
        <f t="shared" si="3"/>
        <v>10</v>
      </c>
      <c r="AK40" s="58"/>
    </row>
    <row r="41" spans="1:88" x14ac:dyDescent="0.25">
      <c r="A41" s="68" t="s">
        <v>49</v>
      </c>
      <c r="B41" s="63">
        <v>25</v>
      </c>
      <c r="C41" s="63">
        <v>25</v>
      </c>
      <c r="D41" s="63">
        <v>25</v>
      </c>
      <c r="E41" s="63">
        <v>25</v>
      </c>
      <c r="F41" s="63">
        <v>25</v>
      </c>
      <c r="G41" s="63">
        <v>25</v>
      </c>
      <c r="H41" s="63">
        <v>25</v>
      </c>
      <c r="I41" s="63">
        <v>25</v>
      </c>
      <c r="J41" s="63">
        <v>25</v>
      </c>
      <c r="K41" s="63">
        <v>25</v>
      </c>
      <c r="L41" s="52">
        <v>25.1</v>
      </c>
      <c r="M41" s="52">
        <v>25.1</v>
      </c>
      <c r="N41" s="52">
        <v>25.1</v>
      </c>
      <c r="O41" s="52">
        <v>25.1</v>
      </c>
      <c r="P41" s="52">
        <v>25.1</v>
      </c>
      <c r="Q41" s="52">
        <v>25.1</v>
      </c>
      <c r="R41" s="50">
        <v>24.5</v>
      </c>
      <c r="S41" s="50">
        <v>24.9</v>
      </c>
      <c r="T41" s="50">
        <v>24.9</v>
      </c>
      <c r="U41" s="50">
        <v>24.9</v>
      </c>
      <c r="V41" s="50">
        <v>29.4</v>
      </c>
      <c r="W41" s="50">
        <v>29.4</v>
      </c>
      <c r="X41" s="50">
        <v>29.4</v>
      </c>
      <c r="Y41" s="52">
        <v>29.8</v>
      </c>
      <c r="Z41" s="52">
        <v>29.8</v>
      </c>
      <c r="AA41" s="52">
        <v>29.7</v>
      </c>
      <c r="AB41" s="52">
        <v>29.7</v>
      </c>
      <c r="AC41" s="52">
        <v>29.7</v>
      </c>
      <c r="AD41" s="52">
        <v>25.2</v>
      </c>
      <c r="AE41" s="63">
        <v>15.1</v>
      </c>
      <c r="AF41" s="63">
        <v>15.2</v>
      </c>
      <c r="AG41" s="69">
        <v>30</v>
      </c>
      <c r="AH41" s="56">
        <f t="shared" si="2"/>
        <v>29.8</v>
      </c>
      <c r="AI41" s="57">
        <f t="shared" si="3"/>
        <v>15.1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75">
        <v>16</v>
      </c>
      <c r="C43" s="75">
        <v>16</v>
      </c>
      <c r="D43" s="75">
        <v>15.5</v>
      </c>
      <c r="E43" s="75">
        <v>15.5</v>
      </c>
      <c r="F43" s="75">
        <v>15.6</v>
      </c>
      <c r="G43" s="75">
        <v>15.6</v>
      </c>
      <c r="H43" s="75">
        <v>15.3</v>
      </c>
      <c r="I43" s="75">
        <v>16</v>
      </c>
      <c r="J43" s="75">
        <v>16.2</v>
      </c>
      <c r="K43" s="75">
        <v>16.2</v>
      </c>
      <c r="L43" s="52">
        <v>16.2</v>
      </c>
      <c r="M43" s="52">
        <v>16.2</v>
      </c>
      <c r="N43" s="52">
        <v>16.2</v>
      </c>
      <c r="O43" s="52">
        <v>16.2</v>
      </c>
      <c r="P43" s="52">
        <v>16.2</v>
      </c>
      <c r="Q43" s="52">
        <v>16.2</v>
      </c>
      <c r="R43" s="50">
        <v>15.2</v>
      </c>
      <c r="S43" s="50">
        <v>15.2</v>
      </c>
      <c r="T43" s="50">
        <v>15.3</v>
      </c>
      <c r="U43" s="50">
        <v>15.3</v>
      </c>
      <c r="V43" s="50">
        <v>15.3</v>
      </c>
      <c r="W43" s="50">
        <v>15.3</v>
      </c>
      <c r="X43" s="50">
        <v>15.3</v>
      </c>
      <c r="Y43" s="50">
        <v>15.3</v>
      </c>
      <c r="Z43" s="50">
        <v>15.3</v>
      </c>
      <c r="AA43" s="50">
        <v>16.7</v>
      </c>
      <c r="AB43" s="50">
        <v>16.7</v>
      </c>
      <c r="AC43" s="50">
        <v>16.7</v>
      </c>
      <c r="AD43" s="50">
        <v>16.7</v>
      </c>
      <c r="AE43" s="63">
        <v>16.899999999999999</v>
      </c>
      <c r="AF43" s="63">
        <v>16.7</v>
      </c>
      <c r="AG43" s="69">
        <v>24</v>
      </c>
      <c r="AH43" s="56">
        <f t="shared" si="2"/>
        <v>16.899999999999999</v>
      </c>
      <c r="AI43" s="57">
        <f t="shared" si="3"/>
        <v>15.2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63">
        <v>0</v>
      </c>
      <c r="AF44" s="63">
        <v>0</v>
      </c>
      <c r="AG44" s="69">
        <v>15</v>
      </c>
      <c r="AH44" s="56">
        <f t="shared" si="2"/>
        <v>0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7</v>
      </c>
      <c r="C45" s="63">
        <v>8</v>
      </c>
      <c r="D45" s="63">
        <v>9</v>
      </c>
      <c r="E45" s="63">
        <v>9</v>
      </c>
      <c r="F45" s="63">
        <v>9</v>
      </c>
      <c r="G45" s="63">
        <v>9</v>
      </c>
      <c r="H45" s="63">
        <v>9</v>
      </c>
      <c r="I45" s="63">
        <v>9</v>
      </c>
      <c r="J45" s="63">
        <v>9</v>
      </c>
      <c r="K45" s="63">
        <v>9</v>
      </c>
      <c r="L45" s="52">
        <v>9</v>
      </c>
      <c r="M45" s="52">
        <v>9</v>
      </c>
      <c r="N45" s="52">
        <v>9</v>
      </c>
      <c r="O45" s="52">
        <v>9</v>
      </c>
      <c r="P45" s="52">
        <v>9</v>
      </c>
      <c r="Q45" s="52">
        <v>9</v>
      </c>
      <c r="R45" s="52">
        <v>9</v>
      </c>
      <c r="S45" s="50">
        <v>9</v>
      </c>
      <c r="T45" s="50">
        <v>9</v>
      </c>
      <c r="U45" s="50">
        <v>9</v>
      </c>
      <c r="V45" s="50">
        <v>9</v>
      </c>
      <c r="W45" s="50">
        <v>9</v>
      </c>
      <c r="X45" s="50">
        <v>9</v>
      </c>
      <c r="Y45" s="50">
        <v>9</v>
      </c>
      <c r="Z45" s="50">
        <v>9</v>
      </c>
      <c r="AA45" s="50">
        <v>9</v>
      </c>
      <c r="AB45" s="50">
        <v>9</v>
      </c>
      <c r="AC45" s="50">
        <v>9</v>
      </c>
      <c r="AD45" s="50">
        <v>9</v>
      </c>
      <c r="AE45" s="63">
        <v>9</v>
      </c>
      <c r="AF45" s="63">
        <v>9</v>
      </c>
      <c r="AG45" s="69">
        <v>14.1</v>
      </c>
      <c r="AH45" s="56">
        <f t="shared" si="2"/>
        <v>9</v>
      </c>
      <c r="AI45" s="57">
        <f t="shared" si="3"/>
        <v>7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75">
        <v>12</v>
      </c>
      <c r="C46" s="75">
        <v>12</v>
      </c>
      <c r="D46" s="75">
        <v>12</v>
      </c>
      <c r="E46" s="75">
        <v>12</v>
      </c>
      <c r="F46" s="75">
        <v>12</v>
      </c>
      <c r="G46" s="75">
        <v>12</v>
      </c>
      <c r="H46" s="75">
        <v>12</v>
      </c>
      <c r="I46" s="75">
        <v>12</v>
      </c>
      <c r="J46" s="75">
        <v>12</v>
      </c>
      <c r="K46" s="75">
        <v>12</v>
      </c>
      <c r="L46" s="52">
        <v>14</v>
      </c>
      <c r="M46" s="52">
        <v>14</v>
      </c>
      <c r="N46" s="52">
        <v>14</v>
      </c>
      <c r="O46" s="52">
        <v>14</v>
      </c>
      <c r="P46" s="52">
        <v>14</v>
      </c>
      <c r="Q46" s="52">
        <v>14</v>
      </c>
      <c r="R46" s="52">
        <v>10</v>
      </c>
      <c r="S46" s="52">
        <v>10</v>
      </c>
      <c r="T46" s="52">
        <v>10</v>
      </c>
      <c r="U46" s="52">
        <v>10</v>
      </c>
      <c r="V46" s="52">
        <v>10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3">
        <v>8</v>
      </c>
      <c r="AF46" s="63">
        <v>8</v>
      </c>
      <c r="AG46" s="69">
        <v>14</v>
      </c>
      <c r="AH46" s="56">
        <f t="shared" si="2"/>
        <v>14</v>
      </c>
      <c r="AI46" s="57">
        <f t="shared" si="3"/>
        <v>8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2">
        <v>9.6</v>
      </c>
      <c r="M47" s="52">
        <v>9.6</v>
      </c>
      <c r="N47" s="52">
        <v>9.6</v>
      </c>
      <c r="O47" s="52">
        <v>9.6</v>
      </c>
      <c r="P47" s="52">
        <v>9.6</v>
      </c>
      <c r="Q47" s="52">
        <v>9.6</v>
      </c>
      <c r="R47" s="52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52">
        <v>0</v>
      </c>
      <c r="R48" s="52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3.1</v>
      </c>
      <c r="AE48" s="63">
        <v>3.1</v>
      </c>
      <c r="AF48" s="63">
        <v>3.1</v>
      </c>
      <c r="AG48" s="69">
        <v>6.2</v>
      </c>
      <c r="AH48" s="56">
        <f t="shared" si="2"/>
        <v>3.1</v>
      </c>
      <c r="AI48" s="57">
        <f t="shared" si="3"/>
        <v>0</v>
      </c>
      <c r="AK48" s="58"/>
    </row>
    <row r="49" spans="1:37" ht="15.75" thickBot="1" x14ac:dyDescent="0.3">
      <c r="A49" s="70" t="s">
        <v>57</v>
      </c>
      <c r="B49" s="78"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 t="shared" ref="B50:AF50" si="6">SUM(B37:B49)</f>
        <v>243.14</v>
      </c>
      <c r="C50" s="74">
        <f t="shared" si="6"/>
        <v>224.14</v>
      </c>
      <c r="D50" s="74">
        <f t="shared" si="6"/>
        <v>228.14</v>
      </c>
      <c r="E50" s="74">
        <f t="shared" si="6"/>
        <v>228.14</v>
      </c>
      <c r="F50" s="74">
        <f t="shared" si="6"/>
        <v>242.04</v>
      </c>
      <c r="G50" s="74">
        <f t="shared" si="6"/>
        <v>316.74000000000007</v>
      </c>
      <c r="H50" s="74">
        <f t="shared" si="6"/>
        <v>359.04000000000008</v>
      </c>
      <c r="I50" s="74">
        <f t="shared" si="6"/>
        <v>412.74000000000007</v>
      </c>
      <c r="J50" s="74">
        <f t="shared" si="6"/>
        <v>418.64000000000004</v>
      </c>
      <c r="K50" s="74">
        <f t="shared" si="6"/>
        <v>422.54</v>
      </c>
      <c r="L50" s="74">
        <f t="shared" si="6"/>
        <v>420.14000000000004</v>
      </c>
      <c r="M50" s="74">
        <f t="shared" si="6"/>
        <v>398.94000000000005</v>
      </c>
      <c r="N50" s="74">
        <f t="shared" si="6"/>
        <v>395.44</v>
      </c>
      <c r="O50" s="74">
        <f t="shared" si="6"/>
        <v>383.94000000000005</v>
      </c>
      <c r="P50" s="74">
        <f t="shared" si="6"/>
        <v>380.64000000000004</v>
      </c>
      <c r="Q50" s="74">
        <f t="shared" si="6"/>
        <v>380.64000000000004</v>
      </c>
      <c r="R50" s="74">
        <f t="shared" si="6"/>
        <v>365.64000000000004</v>
      </c>
      <c r="S50" s="74">
        <f t="shared" si="6"/>
        <v>367.74</v>
      </c>
      <c r="T50" s="74">
        <f t="shared" si="6"/>
        <v>378.64000000000004</v>
      </c>
      <c r="U50" s="74">
        <f t="shared" si="6"/>
        <v>417.94</v>
      </c>
      <c r="V50" s="74">
        <f t="shared" si="6"/>
        <v>422.44</v>
      </c>
      <c r="W50" s="74">
        <f t="shared" si="6"/>
        <v>426.44</v>
      </c>
      <c r="X50" s="74">
        <f t="shared" si="6"/>
        <v>426.44</v>
      </c>
      <c r="Y50" s="74">
        <f t="shared" si="6"/>
        <v>421.04</v>
      </c>
      <c r="Z50" s="74">
        <f t="shared" si="6"/>
        <v>421.04</v>
      </c>
      <c r="AA50" s="74">
        <f t="shared" si="6"/>
        <v>412.84</v>
      </c>
      <c r="AB50" s="74">
        <f t="shared" si="6"/>
        <v>393.14000000000004</v>
      </c>
      <c r="AC50" s="74">
        <f t="shared" si="6"/>
        <v>355.94</v>
      </c>
      <c r="AD50" s="74">
        <f t="shared" si="6"/>
        <v>250.13999999999996</v>
      </c>
      <c r="AE50" s="74">
        <f t="shared" si="6"/>
        <v>214.33999999999997</v>
      </c>
      <c r="AF50" s="74">
        <f t="shared" si="6"/>
        <v>213.43999999999994</v>
      </c>
      <c r="AG50" s="79">
        <f>SUM(AG37:AG49)</f>
        <v>489.91</v>
      </c>
      <c r="AH50" s="56">
        <f t="shared" si="2"/>
        <v>426.44</v>
      </c>
      <c r="AI50" s="57">
        <f t="shared" si="3"/>
        <v>213.43999999999994</v>
      </c>
      <c r="AK50" s="58"/>
    </row>
    <row r="51" spans="1:37" x14ac:dyDescent="0.25">
      <c r="A51" s="59" t="s">
        <v>59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29.9</v>
      </c>
      <c r="X51" s="50">
        <v>14.1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29.9</v>
      </c>
      <c r="AI51" s="57">
        <f t="shared" si="3"/>
        <v>0</v>
      </c>
      <c r="AK51" s="58"/>
    </row>
    <row r="52" spans="1:37" x14ac:dyDescent="0.25">
      <c r="A52" s="68" t="s">
        <v>60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50">
        <v>0</v>
      </c>
      <c r="S52" s="50">
        <v>0</v>
      </c>
      <c r="T52" s="50">
        <v>0</v>
      </c>
      <c r="U52" s="52">
        <v>0</v>
      </c>
      <c r="V52" s="52">
        <v>0</v>
      </c>
      <c r="W52" s="52">
        <v>13.8</v>
      </c>
      <c r="X52" s="52">
        <v>15.8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15.8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75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50">
        <v>0</v>
      </c>
      <c r="S53" s="50">
        <v>0</v>
      </c>
      <c r="T53" s="50">
        <v>0</v>
      </c>
      <c r="U53" s="82">
        <v>0</v>
      </c>
      <c r="V53" s="82">
        <v>0</v>
      </c>
      <c r="W53" s="82">
        <v>5</v>
      </c>
      <c r="X53" s="82">
        <v>5.8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5.8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48.7</v>
      </c>
      <c r="X54" s="74">
        <f t="shared" si="7"/>
        <v>35.699999999999996</v>
      </c>
      <c r="Y54" s="74">
        <f t="shared" si="7"/>
        <v>0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48.7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0">
        <v>0</v>
      </c>
      <c r="C56" s="50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84">
        <v>0</v>
      </c>
      <c r="Y56" s="84">
        <v>0</v>
      </c>
      <c r="Z56" s="84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0">
        <v>-23.9</v>
      </c>
      <c r="C57" s="50">
        <v>-23.9</v>
      </c>
      <c r="D57" s="52">
        <v>-39</v>
      </c>
      <c r="E57" s="52">
        <v>-30</v>
      </c>
      <c r="F57" s="52">
        <v>0</v>
      </c>
      <c r="G57" s="50">
        <v>-13</v>
      </c>
      <c r="H57" s="50">
        <v>-14</v>
      </c>
      <c r="I57" s="50">
        <v>-2</v>
      </c>
      <c r="J57" s="50">
        <v>-21.5</v>
      </c>
      <c r="K57" s="50">
        <v>-1</v>
      </c>
      <c r="L57" s="50">
        <v>-15.9</v>
      </c>
      <c r="M57" s="50">
        <v>-1.5</v>
      </c>
      <c r="N57" s="50">
        <v>-31.7</v>
      </c>
      <c r="O57" s="50">
        <v>0</v>
      </c>
      <c r="P57" s="50">
        <v>-10.4</v>
      </c>
      <c r="Q57" s="50">
        <v>-14.9</v>
      </c>
      <c r="R57" s="52">
        <v>-6.2</v>
      </c>
      <c r="S57" s="52">
        <v>-6.3</v>
      </c>
      <c r="T57" s="52">
        <v>11.4</v>
      </c>
      <c r="U57" s="52">
        <v>-5</v>
      </c>
      <c r="V57" s="52">
        <v>-23.6</v>
      </c>
      <c r="W57" s="85">
        <v>-8.1999999999999993</v>
      </c>
      <c r="X57" s="85">
        <v>-15.6</v>
      </c>
      <c r="Y57" s="85">
        <v>-7.6</v>
      </c>
      <c r="Z57" s="85">
        <v>-7.6</v>
      </c>
      <c r="AA57" s="52">
        <v>-25</v>
      </c>
      <c r="AB57" s="52">
        <v>-15</v>
      </c>
      <c r="AC57" s="52">
        <v>-8</v>
      </c>
      <c r="AD57" s="52">
        <v>-9</v>
      </c>
      <c r="AE57" s="52">
        <v>-12</v>
      </c>
      <c r="AF57" s="52">
        <v>-20</v>
      </c>
      <c r="AG57" s="86"/>
      <c r="AH57" s="56">
        <f t="shared" si="2"/>
        <v>11.4</v>
      </c>
      <c r="AI57" s="57">
        <f t="shared" si="3"/>
        <v>-39</v>
      </c>
      <c r="AK57" s="58"/>
    </row>
    <row r="58" spans="1:37" x14ac:dyDescent="0.25">
      <c r="A58" s="68" t="s">
        <v>66</v>
      </c>
      <c r="B58" s="50">
        <v>0</v>
      </c>
      <c r="C58" s="5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50">
        <v>0</v>
      </c>
      <c r="C59" s="5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50">
        <v>0</v>
      </c>
      <c r="C60" s="50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50">
        <v>0</v>
      </c>
      <c r="C61" s="50">
        <v>0</v>
      </c>
      <c r="D61" s="60">
        <v>0</v>
      </c>
      <c r="E61" s="60">
        <v>0</v>
      </c>
      <c r="F61" s="60">
        <v>0</v>
      </c>
      <c r="G61" s="6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50">
        <v>0</v>
      </c>
      <c r="C62" s="5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50">
        <v>0</v>
      </c>
      <c r="C63" s="5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50">
        <v>0</v>
      </c>
      <c r="C64" s="5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50">
        <v>0</v>
      </c>
      <c r="C65" s="50">
        <v>0</v>
      </c>
      <c r="D65" s="60">
        <v>0</v>
      </c>
      <c r="E65" s="60">
        <v>0</v>
      </c>
      <c r="F65" s="60">
        <v>0</v>
      </c>
      <c r="G65" s="6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-23.9</v>
      </c>
      <c r="C66" s="74">
        <f t="shared" ref="C66:AF66" si="8">SUM(C55:C65)</f>
        <v>-23.9</v>
      </c>
      <c r="D66" s="74">
        <f t="shared" si="8"/>
        <v>-39</v>
      </c>
      <c r="E66" s="74">
        <f t="shared" si="8"/>
        <v>-30</v>
      </c>
      <c r="F66" s="74">
        <f t="shared" si="8"/>
        <v>0</v>
      </c>
      <c r="G66" s="74">
        <f t="shared" si="8"/>
        <v>-13</v>
      </c>
      <c r="H66" s="74">
        <f t="shared" si="8"/>
        <v>-14</v>
      </c>
      <c r="I66" s="74">
        <f t="shared" si="8"/>
        <v>-2</v>
      </c>
      <c r="J66" s="74">
        <f t="shared" si="8"/>
        <v>-21.5</v>
      </c>
      <c r="K66" s="74">
        <f t="shared" si="8"/>
        <v>-1</v>
      </c>
      <c r="L66" s="74">
        <f t="shared" si="8"/>
        <v>-15.9</v>
      </c>
      <c r="M66" s="74">
        <f t="shared" si="8"/>
        <v>-1.5</v>
      </c>
      <c r="N66" s="74">
        <f t="shared" si="8"/>
        <v>-31.7</v>
      </c>
      <c r="O66" s="74">
        <f t="shared" si="8"/>
        <v>0</v>
      </c>
      <c r="P66" s="74">
        <f t="shared" si="8"/>
        <v>-10.4</v>
      </c>
      <c r="Q66" s="74">
        <f t="shared" si="8"/>
        <v>-14.9</v>
      </c>
      <c r="R66" s="74">
        <f t="shared" si="8"/>
        <v>-6.2</v>
      </c>
      <c r="S66" s="74">
        <f t="shared" si="8"/>
        <v>-6.3</v>
      </c>
      <c r="T66" s="74">
        <f t="shared" si="8"/>
        <v>11.4</v>
      </c>
      <c r="U66" s="74">
        <f t="shared" si="8"/>
        <v>-5</v>
      </c>
      <c r="V66" s="74">
        <f t="shared" si="8"/>
        <v>-23.6</v>
      </c>
      <c r="W66" s="74">
        <f t="shared" si="8"/>
        <v>-8.1999999999999993</v>
      </c>
      <c r="X66" s="74">
        <f t="shared" si="8"/>
        <v>-15.6</v>
      </c>
      <c r="Y66" s="74">
        <f t="shared" si="8"/>
        <v>-7.6</v>
      </c>
      <c r="Z66" s="74">
        <f t="shared" si="8"/>
        <v>-7.6</v>
      </c>
      <c r="AA66" s="74">
        <f t="shared" si="8"/>
        <v>-25</v>
      </c>
      <c r="AB66" s="74">
        <f t="shared" si="8"/>
        <v>-15</v>
      </c>
      <c r="AC66" s="74">
        <f t="shared" si="8"/>
        <v>-8</v>
      </c>
      <c r="AD66" s="74">
        <f t="shared" si="8"/>
        <v>-9</v>
      </c>
      <c r="AE66" s="74">
        <f t="shared" si="8"/>
        <v>-12</v>
      </c>
      <c r="AF66" s="74">
        <f t="shared" si="8"/>
        <v>-20</v>
      </c>
      <c r="AG66" s="79">
        <f>SUM(AG55:AG65)</f>
        <v>0</v>
      </c>
      <c r="AH66" s="56">
        <f t="shared" si="2"/>
        <v>11.4</v>
      </c>
      <c r="AI66" s="57">
        <f t="shared" si="3"/>
        <v>-39</v>
      </c>
      <c r="AK66" s="58"/>
    </row>
    <row r="67" spans="1:88" x14ac:dyDescent="0.25">
      <c r="A67" s="59" t="s">
        <v>242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243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244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844.74</v>
      </c>
      <c r="C71" s="90">
        <f t="shared" ref="C71:AG71" si="10">C66+C54+C50+C36+C70</f>
        <v>825.74</v>
      </c>
      <c r="D71" s="90">
        <f t="shared" si="10"/>
        <v>814.64</v>
      </c>
      <c r="E71" s="90">
        <f t="shared" si="10"/>
        <v>823.64</v>
      </c>
      <c r="F71" s="90">
        <f t="shared" si="10"/>
        <v>864.74</v>
      </c>
      <c r="G71" s="90">
        <f t="shared" si="10"/>
        <v>926.44</v>
      </c>
      <c r="H71" s="90">
        <f t="shared" si="10"/>
        <v>976.74000000000012</v>
      </c>
      <c r="I71" s="90">
        <f t="shared" si="10"/>
        <v>1096.24</v>
      </c>
      <c r="J71" s="90">
        <f t="shared" si="10"/>
        <v>1135.1400000000001</v>
      </c>
      <c r="K71" s="90">
        <f t="shared" si="10"/>
        <v>1174.54</v>
      </c>
      <c r="L71" s="90">
        <f t="shared" si="10"/>
        <v>1197.24</v>
      </c>
      <c r="M71" s="90">
        <f t="shared" si="10"/>
        <v>1199.44</v>
      </c>
      <c r="N71" s="90">
        <f t="shared" si="10"/>
        <v>1111.8400000000001</v>
      </c>
      <c r="O71" s="90">
        <f t="shared" si="10"/>
        <v>1122.04</v>
      </c>
      <c r="P71" s="90">
        <f t="shared" si="10"/>
        <v>1103.3400000000001</v>
      </c>
      <c r="Q71" s="90">
        <f t="shared" si="10"/>
        <v>1080.94</v>
      </c>
      <c r="R71" s="90">
        <f t="shared" si="10"/>
        <v>1072.54</v>
      </c>
      <c r="S71" s="90">
        <f t="shared" si="10"/>
        <v>1083.6400000000001</v>
      </c>
      <c r="T71" s="90">
        <f t="shared" si="10"/>
        <v>1122.1400000000001</v>
      </c>
      <c r="U71" s="90">
        <f t="shared" si="10"/>
        <v>1185.04</v>
      </c>
      <c r="V71" s="90">
        <f t="shared" si="10"/>
        <v>1309.8399999999999</v>
      </c>
      <c r="W71" s="90">
        <f t="shared" si="10"/>
        <v>1409.8400000000001</v>
      </c>
      <c r="X71" s="90">
        <f t="shared" si="10"/>
        <v>1337.04</v>
      </c>
      <c r="Y71" s="90">
        <f t="shared" si="10"/>
        <v>1239.3399999999999</v>
      </c>
      <c r="Z71" s="90">
        <f t="shared" si="10"/>
        <v>1199.3399999999999</v>
      </c>
      <c r="AA71" s="90">
        <f t="shared" si="10"/>
        <v>1129.8399999999999</v>
      </c>
      <c r="AB71" s="90">
        <f t="shared" si="10"/>
        <v>1090.1400000000001</v>
      </c>
      <c r="AC71" s="90">
        <f t="shared" si="10"/>
        <v>1059.94</v>
      </c>
      <c r="AD71" s="90">
        <f t="shared" si="10"/>
        <v>912.04</v>
      </c>
      <c r="AE71" s="90">
        <f t="shared" si="10"/>
        <v>842.33999999999992</v>
      </c>
      <c r="AF71" s="90">
        <f t="shared" si="10"/>
        <v>833.7399999999999</v>
      </c>
      <c r="AG71" s="90">
        <f t="shared" si="10"/>
        <v>2083.14</v>
      </c>
      <c r="AH71" s="56">
        <f t="shared" si="2"/>
        <v>1409.8400000000001</v>
      </c>
      <c r="AI71" s="57">
        <f t="shared" si="3"/>
        <v>814.64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79"/>
      <c r="AH72" s="56">
        <f t="shared" si="2"/>
        <v>0</v>
      </c>
      <c r="AI72" s="57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B71+B72</f>
        <v>844.74</v>
      </c>
      <c r="C73" s="90">
        <f t="shared" ref="C73:AF73" si="11">C70+C66+C54+C50+C36+C72</f>
        <v>825.74</v>
      </c>
      <c r="D73" s="90">
        <f t="shared" si="11"/>
        <v>814.64</v>
      </c>
      <c r="E73" s="90">
        <f t="shared" si="11"/>
        <v>823.64</v>
      </c>
      <c r="F73" s="90">
        <f t="shared" si="11"/>
        <v>864.74</v>
      </c>
      <c r="G73" s="90">
        <f t="shared" si="11"/>
        <v>926.44</v>
      </c>
      <c r="H73" s="90">
        <f t="shared" si="11"/>
        <v>976.74000000000012</v>
      </c>
      <c r="I73" s="90">
        <f t="shared" si="11"/>
        <v>1096.24</v>
      </c>
      <c r="J73" s="90">
        <f t="shared" si="11"/>
        <v>1135.1400000000001</v>
      </c>
      <c r="K73" s="90">
        <f t="shared" si="11"/>
        <v>1174.54</v>
      </c>
      <c r="L73" s="90">
        <f t="shared" si="11"/>
        <v>1197.24</v>
      </c>
      <c r="M73" s="90">
        <f t="shared" si="11"/>
        <v>1199.44</v>
      </c>
      <c r="N73" s="90">
        <f t="shared" si="11"/>
        <v>1111.8400000000001</v>
      </c>
      <c r="O73" s="90">
        <f t="shared" si="11"/>
        <v>1122.04</v>
      </c>
      <c r="P73" s="90">
        <f t="shared" si="11"/>
        <v>1103.3400000000001</v>
      </c>
      <c r="Q73" s="90">
        <f t="shared" si="11"/>
        <v>1080.94</v>
      </c>
      <c r="R73" s="90">
        <f t="shared" si="11"/>
        <v>1072.54</v>
      </c>
      <c r="S73" s="90">
        <f t="shared" si="11"/>
        <v>1083.6400000000001</v>
      </c>
      <c r="T73" s="90">
        <f t="shared" si="11"/>
        <v>1122.1400000000001</v>
      </c>
      <c r="U73" s="90">
        <f t="shared" si="11"/>
        <v>1185.04</v>
      </c>
      <c r="V73" s="90">
        <f t="shared" si="11"/>
        <v>1309.8399999999999</v>
      </c>
      <c r="W73" s="90">
        <f t="shared" si="11"/>
        <v>1409.8400000000001</v>
      </c>
      <c r="X73" s="90">
        <f t="shared" si="11"/>
        <v>1337.04</v>
      </c>
      <c r="Y73" s="90">
        <f t="shared" si="11"/>
        <v>1239.3399999999999</v>
      </c>
      <c r="Z73" s="90">
        <f t="shared" si="11"/>
        <v>1199.3399999999999</v>
      </c>
      <c r="AA73" s="90">
        <f t="shared" si="11"/>
        <v>1129.8399999999999</v>
      </c>
      <c r="AB73" s="90">
        <f t="shared" si="11"/>
        <v>1090.1400000000001</v>
      </c>
      <c r="AC73" s="90">
        <f t="shared" si="11"/>
        <v>1059.94</v>
      </c>
      <c r="AD73" s="90">
        <f t="shared" si="11"/>
        <v>912.04</v>
      </c>
      <c r="AE73" s="90">
        <f t="shared" si="11"/>
        <v>842.33999999999992</v>
      </c>
      <c r="AF73" s="90">
        <f t="shared" si="11"/>
        <v>833.7399999999999</v>
      </c>
      <c r="AG73" s="79">
        <f>AG70+AG66+AG54+AG50+AG36+AG72</f>
        <v>2083.14</v>
      </c>
      <c r="AH73" s="56">
        <f t="shared" si="2"/>
        <v>1409.8400000000001</v>
      </c>
      <c r="AI73" s="57">
        <f t="shared" si="3"/>
        <v>814.64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23.9</v>
      </c>
      <c r="C77" s="60">
        <f t="shared" ref="C77:AF77" si="15">IF(C57&lt;0,C57*-1,0)</f>
        <v>23.9</v>
      </c>
      <c r="D77" s="60">
        <f t="shared" si="15"/>
        <v>39</v>
      </c>
      <c r="E77" s="60">
        <f t="shared" si="15"/>
        <v>30</v>
      </c>
      <c r="F77" s="60">
        <f t="shared" si="15"/>
        <v>0</v>
      </c>
      <c r="G77" s="60">
        <f t="shared" si="15"/>
        <v>13</v>
      </c>
      <c r="H77" s="60">
        <f t="shared" si="15"/>
        <v>14</v>
      </c>
      <c r="I77" s="60">
        <f t="shared" si="15"/>
        <v>2</v>
      </c>
      <c r="J77" s="60">
        <f t="shared" si="15"/>
        <v>21.5</v>
      </c>
      <c r="K77" s="60">
        <f t="shared" si="15"/>
        <v>1</v>
      </c>
      <c r="L77" s="60">
        <f t="shared" si="15"/>
        <v>15.9</v>
      </c>
      <c r="M77" s="60">
        <f t="shared" si="15"/>
        <v>1.5</v>
      </c>
      <c r="N77" s="60">
        <f t="shared" si="15"/>
        <v>31.7</v>
      </c>
      <c r="O77" s="60">
        <f t="shared" si="15"/>
        <v>0</v>
      </c>
      <c r="P77" s="60">
        <f t="shared" si="15"/>
        <v>10.4</v>
      </c>
      <c r="Q77" s="60">
        <f t="shared" si="15"/>
        <v>14.9</v>
      </c>
      <c r="R77" s="60">
        <f t="shared" si="15"/>
        <v>6.2</v>
      </c>
      <c r="S77" s="60">
        <f t="shared" si="15"/>
        <v>6.3</v>
      </c>
      <c r="T77" s="60">
        <f t="shared" si="15"/>
        <v>0</v>
      </c>
      <c r="U77" s="60">
        <f t="shared" si="15"/>
        <v>5</v>
      </c>
      <c r="V77" s="60">
        <f t="shared" si="15"/>
        <v>23.6</v>
      </c>
      <c r="W77" s="60">
        <f t="shared" si="15"/>
        <v>8.1999999999999993</v>
      </c>
      <c r="X77" s="60">
        <f t="shared" si="15"/>
        <v>15.6</v>
      </c>
      <c r="Y77" s="60">
        <f t="shared" si="15"/>
        <v>7.6</v>
      </c>
      <c r="Z77" s="60">
        <f t="shared" si="15"/>
        <v>7.6</v>
      </c>
      <c r="AA77" s="60">
        <f t="shared" si="15"/>
        <v>25</v>
      </c>
      <c r="AB77" s="60">
        <f t="shared" si="15"/>
        <v>15</v>
      </c>
      <c r="AC77" s="60">
        <f t="shared" si="15"/>
        <v>8</v>
      </c>
      <c r="AD77" s="60">
        <f t="shared" si="15"/>
        <v>9</v>
      </c>
      <c r="AE77" s="60">
        <f t="shared" si="15"/>
        <v>12</v>
      </c>
      <c r="AF77" s="60">
        <f t="shared" si="15"/>
        <v>20</v>
      </c>
      <c r="AG77" s="93"/>
      <c r="AH77" s="56">
        <f t="shared" ref="AH77:AH89" si="16">MAX(B77:AF77)</f>
        <v>39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 t="shared" ref="B80:AG80" si="19">SUM(B74:B79)</f>
        <v>23.9</v>
      </c>
      <c r="C80" s="74">
        <f t="shared" si="19"/>
        <v>23.9</v>
      </c>
      <c r="D80" s="74">
        <f t="shared" si="19"/>
        <v>39</v>
      </c>
      <c r="E80" s="74">
        <f t="shared" si="19"/>
        <v>30</v>
      </c>
      <c r="F80" s="74">
        <f t="shared" si="19"/>
        <v>0</v>
      </c>
      <c r="G80" s="74">
        <f t="shared" si="19"/>
        <v>13</v>
      </c>
      <c r="H80" s="74">
        <f t="shared" si="19"/>
        <v>14</v>
      </c>
      <c r="I80" s="74">
        <f t="shared" si="19"/>
        <v>2</v>
      </c>
      <c r="J80" s="74">
        <f t="shared" si="19"/>
        <v>21.5</v>
      </c>
      <c r="K80" s="74">
        <f t="shared" si="19"/>
        <v>1</v>
      </c>
      <c r="L80" s="74">
        <f t="shared" si="19"/>
        <v>15.9</v>
      </c>
      <c r="M80" s="74">
        <f t="shared" si="19"/>
        <v>1.5</v>
      </c>
      <c r="N80" s="74">
        <f t="shared" si="19"/>
        <v>31.7</v>
      </c>
      <c r="O80" s="74">
        <f t="shared" si="19"/>
        <v>0</v>
      </c>
      <c r="P80" s="74">
        <f t="shared" si="19"/>
        <v>10.4</v>
      </c>
      <c r="Q80" s="74">
        <f t="shared" si="19"/>
        <v>14.9</v>
      </c>
      <c r="R80" s="74">
        <f t="shared" si="19"/>
        <v>6.2</v>
      </c>
      <c r="S80" s="74">
        <f t="shared" si="19"/>
        <v>6.3</v>
      </c>
      <c r="T80" s="74">
        <f t="shared" si="19"/>
        <v>0</v>
      </c>
      <c r="U80" s="74">
        <f t="shared" si="19"/>
        <v>5</v>
      </c>
      <c r="V80" s="74">
        <f t="shared" si="19"/>
        <v>23.6</v>
      </c>
      <c r="W80" s="74">
        <f t="shared" si="19"/>
        <v>8.1999999999999993</v>
      </c>
      <c r="X80" s="74">
        <f t="shared" si="19"/>
        <v>15.6</v>
      </c>
      <c r="Y80" s="74">
        <f t="shared" si="19"/>
        <v>7.6</v>
      </c>
      <c r="Z80" s="74">
        <f t="shared" si="19"/>
        <v>7.6</v>
      </c>
      <c r="AA80" s="74">
        <f t="shared" si="19"/>
        <v>25</v>
      </c>
      <c r="AB80" s="74">
        <f t="shared" si="19"/>
        <v>15</v>
      </c>
      <c r="AC80" s="74">
        <f t="shared" si="19"/>
        <v>8</v>
      </c>
      <c r="AD80" s="74">
        <f t="shared" si="19"/>
        <v>9</v>
      </c>
      <c r="AE80" s="74">
        <f t="shared" si="19"/>
        <v>12</v>
      </c>
      <c r="AF80" s="74">
        <f t="shared" si="19"/>
        <v>20</v>
      </c>
      <c r="AG80" s="79">
        <f t="shared" si="19"/>
        <v>0</v>
      </c>
      <c r="AH80" s="56">
        <f t="shared" si="16"/>
        <v>39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 t="shared" ref="B81:AG81" si="20">SUM(B68:B80)</f>
        <v>1737.2800000000002</v>
      </c>
      <c r="C81" s="74">
        <f t="shared" si="20"/>
        <v>1699.2800000000002</v>
      </c>
      <c r="D81" s="74">
        <f t="shared" si="20"/>
        <v>1707.28</v>
      </c>
      <c r="E81" s="74">
        <f t="shared" si="20"/>
        <v>1707.28</v>
      </c>
      <c r="F81" s="74">
        <f t="shared" si="20"/>
        <v>1729.48</v>
      </c>
      <c r="G81" s="74">
        <f t="shared" si="20"/>
        <v>1878.88</v>
      </c>
      <c r="H81" s="74">
        <f t="shared" si="20"/>
        <v>1981.4800000000002</v>
      </c>
      <c r="I81" s="74">
        <f t="shared" si="20"/>
        <v>2196.48</v>
      </c>
      <c r="J81" s="74">
        <f t="shared" si="20"/>
        <v>2313.2800000000002</v>
      </c>
      <c r="K81" s="74">
        <f t="shared" si="20"/>
        <v>2351.08</v>
      </c>
      <c r="L81" s="74">
        <f t="shared" si="20"/>
        <v>2426.2800000000002</v>
      </c>
      <c r="M81" s="74">
        <f t="shared" si="20"/>
        <v>2401.88</v>
      </c>
      <c r="N81" s="74">
        <f t="shared" si="20"/>
        <v>2287.08</v>
      </c>
      <c r="O81" s="74">
        <f t="shared" si="20"/>
        <v>2244.08</v>
      </c>
      <c r="P81" s="74">
        <f t="shared" si="20"/>
        <v>2227.4800000000005</v>
      </c>
      <c r="Q81" s="74">
        <f t="shared" si="20"/>
        <v>2191.6800000000003</v>
      </c>
      <c r="R81" s="74">
        <f t="shared" si="20"/>
        <v>2157.4799999999996</v>
      </c>
      <c r="S81" s="74">
        <f t="shared" si="20"/>
        <v>2179.8800000000006</v>
      </c>
      <c r="T81" s="74">
        <f t="shared" si="20"/>
        <v>2244.2800000000002</v>
      </c>
      <c r="U81" s="74">
        <f t="shared" si="20"/>
        <v>2380.08</v>
      </c>
      <c r="V81" s="74">
        <f t="shared" si="20"/>
        <v>2666.8799999999997</v>
      </c>
      <c r="W81" s="74">
        <f t="shared" si="20"/>
        <v>2836.08</v>
      </c>
      <c r="X81" s="74">
        <f t="shared" si="20"/>
        <v>2705.2799999999997</v>
      </c>
      <c r="Y81" s="74">
        <f t="shared" si="20"/>
        <v>2493.8799999999997</v>
      </c>
      <c r="Z81" s="74">
        <f t="shared" si="20"/>
        <v>2413.8799999999997</v>
      </c>
      <c r="AA81" s="74">
        <f t="shared" si="20"/>
        <v>2309.6799999999998</v>
      </c>
      <c r="AB81" s="74">
        <f t="shared" si="20"/>
        <v>2210.2800000000002</v>
      </c>
      <c r="AC81" s="74">
        <f t="shared" si="20"/>
        <v>2135.88</v>
      </c>
      <c r="AD81" s="74">
        <f t="shared" si="20"/>
        <v>1842.08</v>
      </c>
      <c r="AE81" s="74">
        <f t="shared" si="20"/>
        <v>1708.6799999999998</v>
      </c>
      <c r="AF81" s="74">
        <f t="shared" si="20"/>
        <v>1707.4799999999998</v>
      </c>
      <c r="AG81" s="79">
        <f t="shared" si="20"/>
        <v>4238.08</v>
      </c>
      <c r="AH81" s="56">
        <f t="shared" si="16"/>
        <v>2836.08</v>
      </c>
      <c r="AI81" s="57">
        <f t="shared" si="17"/>
        <v>1699.2800000000002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6">
        <v>50</v>
      </c>
      <c r="C82" s="96">
        <v>49.954000000000001</v>
      </c>
      <c r="D82" s="96">
        <v>49.970999999999997</v>
      </c>
      <c r="E82" s="96">
        <v>49.970999999999997</v>
      </c>
      <c r="F82" s="96">
        <v>49.976999999999997</v>
      </c>
      <c r="G82" s="96">
        <v>49.917999999999999</v>
      </c>
      <c r="H82" s="96" t="s">
        <v>259</v>
      </c>
      <c r="I82" s="96">
        <v>49.936</v>
      </c>
      <c r="J82" s="96">
        <v>49.972000000000001</v>
      </c>
      <c r="K82" s="96">
        <v>49.904000000000003</v>
      </c>
      <c r="L82" s="96">
        <v>50.07</v>
      </c>
      <c r="M82" s="96">
        <v>50.04</v>
      </c>
      <c r="N82" s="96">
        <v>49.93</v>
      </c>
      <c r="O82" s="96">
        <v>50.04</v>
      </c>
      <c r="P82" s="96">
        <v>50.04</v>
      </c>
      <c r="Q82" s="96">
        <v>49.96</v>
      </c>
      <c r="R82" s="96">
        <v>49.98</v>
      </c>
      <c r="S82" s="96">
        <v>49.972000000000001</v>
      </c>
      <c r="T82" s="96">
        <v>49.970999999999997</v>
      </c>
      <c r="U82" s="96">
        <v>49.972000000000001</v>
      </c>
      <c r="V82" s="96">
        <v>49.972000000000001</v>
      </c>
      <c r="W82" s="96">
        <v>50.011000000000003</v>
      </c>
      <c r="X82" s="96">
        <v>50.052999999999997</v>
      </c>
      <c r="Y82" s="96">
        <v>50.021000000000001</v>
      </c>
      <c r="Z82" s="96">
        <v>50.021000000000001</v>
      </c>
      <c r="AA82" s="96">
        <v>50.04</v>
      </c>
      <c r="AB82" s="96">
        <v>49.991</v>
      </c>
      <c r="AC82" s="96">
        <v>49.997999999999998</v>
      </c>
      <c r="AD82" s="96">
        <v>49.98</v>
      </c>
      <c r="AE82" s="96">
        <v>49.98</v>
      </c>
      <c r="AF82" s="97">
        <v>50.02</v>
      </c>
      <c r="AG82" s="98"/>
      <c r="AH82" s="56">
        <f t="shared" si="16"/>
        <v>50.07</v>
      </c>
      <c r="AI82" s="57">
        <f t="shared" si="17"/>
        <v>49.904000000000003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52">
        <v>126.5</v>
      </c>
      <c r="C83" s="52">
        <v>126.6</v>
      </c>
      <c r="D83" s="52">
        <v>126.2</v>
      </c>
      <c r="E83" s="52">
        <v>126.2</v>
      </c>
      <c r="F83" s="52">
        <v>125.8</v>
      </c>
      <c r="G83" s="52">
        <v>124.4</v>
      </c>
      <c r="H83" s="52">
        <v>124.5</v>
      </c>
      <c r="I83" s="52">
        <v>124</v>
      </c>
      <c r="J83" s="52">
        <v>124.5</v>
      </c>
      <c r="K83" s="52">
        <v>123</v>
      </c>
      <c r="L83" s="52">
        <v>122.7</v>
      </c>
      <c r="M83" s="52">
        <v>123.4</v>
      </c>
      <c r="N83" s="52">
        <v>123.2</v>
      </c>
      <c r="O83" s="52">
        <v>123.6</v>
      </c>
      <c r="P83" s="52">
        <v>121.8</v>
      </c>
      <c r="Q83" s="52">
        <v>124</v>
      </c>
      <c r="R83" s="52">
        <v>123.7</v>
      </c>
      <c r="S83" s="52">
        <v>123.6</v>
      </c>
      <c r="T83" s="100">
        <v>123.2</v>
      </c>
      <c r="U83" s="52">
        <v>123.6</v>
      </c>
      <c r="V83" s="52">
        <v>123.6</v>
      </c>
      <c r="W83" s="52">
        <v>123.6</v>
      </c>
      <c r="X83" s="100">
        <v>126.6</v>
      </c>
      <c r="Y83" s="100">
        <v>126.9</v>
      </c>
      <c r="Z83" s="100">
        <v>126.9</v>
      </c>
      <c r="AA83" s="52">
        <v>126.5</v>
      </c>
      <c r="AB83" s="52">
        <v>126.5</v>
      </c>
      <c r="AC83" s="52">
        <v>126.3</v>
      </c>
      <c r="AD83" s="52">
        <v>126.5</v>
      </c>
      <c r="AE83" s="52">
        <v>126.2</v>
      </c>
      <c r="AF83" s="101">
        <v>126.5</v>
      </c>
      <c r="AG83" s="102"/>
      <c r="AH83" s="56">
        <f t="shared" si="16"/>
        <v>126.9</v>
      </c>
      <c r="AI83" s="57">
        <f t="shared" si="17"/>
        <v>121.8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52">
        <v>130.6</v>
      </c>
      <c r="C84" s="52">
        <v>130.6</v>
      </c>
      <c r="D84" s="52">
        <v>130.30000000000001</v>
      </c>
      <c r="E84" s="52">
        <v>130.30000000000001</v>
      </c>
      <c r="F84" s="52">
        <v>129.80000000000001</v>
      </c>
      <c r="G84" s="52">
        <v>128.69999999999999</v>
      </c>
      <c r="H84" s="52">
        <v>128.30000000000001</v>
      </c>
      <c r="I84" s="52">
        <v>127.3</v>
      </c>
      <c r="J84" s="52">
        <v>127.3</v>
      </c>
      <c r="K84" s="52">
        <v>125.9</v>
      </c>
      <c r="L84" s="52">
        <v>125.9</v>
      </c>
      <c r="M84" s="52">
        <v>126.4</v>
      </c>
      <c r="N84" s="52">
        <v>126.2</v>
      </c>
      <c r="O84" s="52">
        <v>127.1</v>
      </c>
      <c r="P84" s="52">
        <v>125.6</v>
      </c>
      <c r="Q84" s="52">
        <v>127.2</v>
      </c>
      <c r="R84" s="52">
        <v>127.1</v>
      </c>
      <c r="S84" s="52">
        <v>127.1</v>
      </c>
      <c r="T84" s="100">
        <v>126.7</v>
      </c>
      <c r="U84" s="52">
        <v>127.1</v>
      </c>
      <c r="V84" s="52">
        <v>127.1</v>
      </c>
      <c r="W84" s="52">
        <v>127.1</v>
      </c>
      <c r="X84" s="100">
        <v>128.80000000000001</v>
      </c>
      <c r="Y84" s="100">
        <v>129</v>
      </c>
      <c r="Z84" s="100">
        <v>129</v>
      </c>
      <c r="AA84" s="52">
        <v>129.4</v>
      </c>
      <c r="AB84" s="52">
        <v>129.69999999999999</v>
      </c>
      <c r="AC84" s="52">
        <v>129.80000000000001</v>
      </c>
      <c r="AD84" s="52">
        <v>130.4</v>
      </c>
      <c r="AE84" s="52">
        <v>129.9</v>
      </c>
      <c r="AF84" s="101">
        <v>130.19999999999999</v>
      </c>
      <c r="AG84" s="102"/>
      <c r="AH84" s="56">
        <f t="shared" si="16"/>
        <v>130.6</v>
      </c>
      <c r="AI84" s="57">
        <f t="shared" si="17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52">
        <v>128.19999999999999</v>
      </c>
      <c r="C85" s="52">
        <v>129.5</v>
      </c>
      <c r="D85" s="52">
        <v>128.9</v>
      </c>
      <c r="E85" s="52">
        <v>128.9</v>
      </c>
      <c r="F85" s="52">
        <v>130.19999999999999</v>
      </c>
      <c r="G85" s="52">
        <v>129.30000000000001</v>
      </c>
      <c r="H85" s="52">
        <v>127.9</v>
      </c>
      <c r="I85" s="52">
        <v>125.4</v>
      </c>
      <c r="J85" s="52">
        <v>126.6</v>
      </c>
      <c r="K85" s="52">
        <v>125.4</v>
      </c>
      <c r="L85" s="52">
        <v>125.3</v>
      </c>
      <c r="M85" s="52">
        <v>126.1</v>
      </c>
      <c r="N85" s="52">
        <v>127.2</v>
      </c>
      <c r="O85" s="52">
        <v>127.1</v>
      </c>
      <c r="P85" s="52">
        <v>127.8</v>
      </c>
      <c r="Q85" s="52">
        <v>127.7</v>
      </c>
      <c r="R85" s="52">
        <v>128</v>
      </c>
      <c r="S85" s="52">
        <v>127.2</v>
      </c>
      <c r="T85" s="52">
        <v>127.4</v>
      </c>
      <c r="U85" s="52">
        <v>127.2</v>
      </c>
      <c r="V85" s="52">
        <v>127.2</v>
      </c>
      <c r="W85" s="52">
        <v>127.2</v>
      </c>
      <c r="X85" s="100">
        <v>129.9</v>
      </c>
      <c r="Y85" s="100">
        <v>128.80000000000001</v>
      </c>
      <c r="Z85" s="100">
        <v>128.80000000000001</v>
      </c>
      <c r="AA85" s="52">
        <v>129.30000000000001</v>
      </c>
      <c r="AB85" s="52">
        <v>129.19999999999999</v>
      </c>
      <c r="AC85" s="52">
        <v>130.6</v>
      </c>
      <c r="AD85" s="52">
        <v>131.1</v>
      </c>
      <c r="AE85" s="52">
        <v>127.9</v>
      </c>
      <c r="AF85" s="101">
        <v>129.6</v>
      </c>
      <c r="AG85" s="102"/>
      <c r="AH85" s="56">
        <f t="shared" si="16"/>
        <v>131.1</v>
      </c>
      <c r="AI85" s="57">
        <f t="shared" si="17"/>
        <v>125.3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52">
        <v>132.4</v>
      </c>
      <c r="C86" s="52">
        <v>133.4</v>
      </c>
      <c r="D86" s="52">
        <v>133.30000000000001</v>
      </c>
      <c r="E86" s="52">
        <v>133.30000000000001</v>
      </c>
      <c r="F86" s="52">
        <v>133.6</v>
      </c>
      <c r="G86" s="52">
        <v>132.69999999999999</v>
      </c>
      <c r="H86" s="52">
        <v>131.30000000000001</v>
      </c>
      <c r="I86" s="52">
        <v>128.6</v>
      </c>
      <c r="J86" s="52">
        <v>130.6</v>
      </c>
      <c r="K86" s="52">
        <v>128.5</v>
      </c>
      <c r="L86" s="52">
        <v>128.19999999999999</v>
      </c>
      <c r="M86" s="52">
        <v>128.9</v>
      </c>
      <c r="N86" s="52">
        <v>130</v>
      </c>
      <c r="O86" s="52">
        <v>129.30000000000001</v>
      </c>
      <c r="P86" s="52">
        <v>130.80000000000001</v>
      </c>
      <c r="Q86" s="52">
        <v>131.69999999999999</v>
      </c>
      <c r="R86" s="52">
        <v>130.9</v>
      </c>
      <c r="S86" s="52">
        <v>129.69999999999999</v>
      </c>
      <c r="T86" s="52">
        <v>129.5</v>
      </c>
      <c r="U86" s="52">
        <v>129.69999999999999</v>
      </c>
      <c r="V86" s="52">
        <v>129.69999999999999</v>
      </c>
      <c r="W86" s="52">
        <v>129.69999999999999</v>
      </c>
      <c r="X86" s="100">
        <v>132.4</v>
      </c>
      <c r="Y86" s="100">
        <v>130.4</v>
      </c>
      <c r="Z86" s="100">
        <v>130.4</v>
      </c>
      <c r="AA86" s="52">
        <v>131.19999999999999</v>
      </c>
      <c r="AB86" s="52">
        <v>131.19999999999999</v>
      </c>
      <c r="AC86" s="52">
        <v>132.80000000000001</v>
      </c>
      <c r="AD86" s="52">
        <v>133.6</v>
      </c>
      <c r="AE86" s="52">
        <v>131.5</v>
      </c>
      <c r="AF86" s="101">
        <v>132.4</v>
      </c>
      <c r="AG86" s="102"/>
      <c r="AH86" s="56">
        <f t="shared" si="16"/>
        <v>133.6</v>
      </c>
      <c r="AI86" s="57">
        <f t="shared" si="17"/>
        <v>128.19999999999999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4">
        <v>132.4</v>
      </c>
      <c r="C87" s="104">
        <v>134</v>
      </c>
      <c r="D87" s="104">
        <v>131.19999999999999</v>
      </c>
      <c r="E87" s="104">
        <v>131.19999999999999</v>
      </c>
      <c r="F87" s="104">
        <v>131</v>
      </c>
      <c r="G87" s="104">
        <v>131.6</v>
      </c>
      <c r="H87" s="104">
        <v>130.30000000000001</v>
      </c>
      <c r="I87" s="104">
        <v>134.4</v>
      </c>
      <c r="J87" s="104">
        <v>132.69999999999999</v>
      </c>
      <c r="K87" s="104">
        <v>131.9</v>
      </c>
      <c r="L87" s="104">
        <v>133.1</v>
      </c>
      <c r="M87" s="104">
        <v>134.19999999999999</v>
      </c>
      <c r="N87" s="104">
        <v>133.6</v>
      </c>
      <c r="O87" s="104">
        <v>126.6</v>
      </c>
      <c r="P87" s="104">
        <v>134.4</v>
      </c>
      <c r="Q87" s="104">
        <v>135</v>
      </c>
      <c r="R87" s="104">
        <v>134.19999999999999</v>
      </c>
      <c r="S87" s="104">
        <v>133.80000000000001</v>
      </c>
      <c r="T87" s="104">
        <v>131.69999999999999</v>
      </c>
      <c r="U87" s="104">
        <v>133.80000000000001</v>
      </c>
      <c r="V87" s="104">
        <v>133.80000000000001</v>
      </c>
      <c r="W87" s="104">
        <v>133.80000000000001</v>
      </c>
      <c r="X87" s="100">
        <v>134.30000000000001</v>
      </c>
      <c r="Y87" s="100">
        <v>133.4</v>
      </c>
      <c r="Z87" s="100">
        <v>133.4</v>
      </c>
      <c r="AA87" s="104">
        <v>134.80000000000001</v>
      </c>
      <c r="AB87" s="104">
        <v>136.30000000000001</v>
      </c>
      <c r="AC87" s="104">
        <v>134.6</v>
      </c>
      <c r="AD87" s="104">
        <v>134.6</v>
      </c>
      <c r="AE87" s="104">
        <v>132.9</v>
      </c>
      <c r="AF87" s="105">
        <v>131.19999999999999</v>
      </c>
      <c r="AG87" s="106"/>
      <c r="AH87" s="56">
        <f t="shared" si="16"/>
        <v>136.30000000000001</v>
      </c>
      <c r="AI87" s="57">
        <f t="shared" si="17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52">
        <v>132.6</v>
      </c>
      <c r="C88" s="52">
        <v>135</v>
      </c>
      <c r="D88" s="52">
        <v>132.80000000000001</v>
      </c>
      <c r="E88" s="52">
        <v>132.80000000000001</v>
      </c>
      <c r="F88" s="52">
        <v>131.9</v>
      </c>
      <c r="G88" s="52">
        <v>130.9</v>
      </c>
      <c r="H88" s="52">
        <v>128.9</v>
      </c>
      <c r="I88" s="52">
        <v>129.69999999999999</v>
      </c>
      <c r="J88" s="52">
        <v>127.5</v>
      </c>
      <c r="K88" s="52">
        <v>128</v>
      </c>
      <c r="L88" s="52">
        <v>128.1</v>
      </c>
      <c r="M88" s="52">
        <v>130.9</v>
      </c>
      <c r="N88" s="52">
        <v>129.80000000000001</v>
      </c>
      <c r="O88" s="52">
        <v>132.19999999999999</v>
      </c>
      <c r="P88" s="52">
        <v>134.19999999999999</v>
      </c>
      <c r="Q88" s="52">
        <v>134.19999999999999</v>
      </c>
      <c r="R88" s="52">
        <v>132.6</v>
      </c>
      <c r="S88" s="52">
        <v>131.69999999999999</v>
      </c>
      <c r="T88" s="52">
        <v>128.5</v>
      </c>
      <c r="U88" s="52">
        <v>131.69999999999999</v>
      </c>
      <c r="V88" s="52">
        <v>131.69999999999999</v>
      </c>
      <c r="W88" s="52">
        <v>131.69999999999999</v>
      </c>
      <c r="X88" s="100">
        <v>133</v>
      </c>
      <c r="Y88" s="100">
        <v>133.69999999999999</v>
      </c>
      <c r="Z88" s="100">
        <v>133.69999999999999</v>
      </c>
      <c r="AA88" s="52">
        <v>136</v>
      </c>
      <c r="AB88" s="52">
        <v>137.1</v>
      </c>
      <c r="AC88" s="52">
        <v>136.30000000000001</v>
      </c>
      <c r="AD88" s="52">
        <v>135.4</v>
      </c>
      <c r="AE88" s="52">
        <v>134.5</v>
      </c>
      <c r="AF88" s="101">
        <v>133</v>
      </c>
      <c r="AG88" s="102"/>
      <c r="AH88" s="56">
        <f t="shared" si="16"/>
        <v>137.1</v>
      </c>
      <c r="AI88" s="57">
        <f t="shared" si="17"/>
        <v>127.5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7">
        <v>66.900000000000006</v>
      </c>
      <c r="C89" s="107">
        <v>67.099999999999994</v>
      </c>
      <c r="D89" s="107">
        <v>66.8</v>
      </c>
      <c r="E89" s="107">
        <v>66.8</v>
      </c>
      <c r="F89" s="107">
        <v>66.599999999999994</v>
      </c>
      <c r="G89" s="107">
        <v>65.900000000000006</v>
      </c>
      <c r="H89" s="107">
        <v>65.900000000000006</v>
      </c>
      <c r="I89" s="107">
        <v>65.2</v>
      </c>
      <c r="J89" s="107">
        <v>65.3</v>
      </c>
      <c r="K89" s="107">
        <v>64.5</v>
      </c>
      <c r="L89" s="107">
        <v>64.3</v>
      </c>
      <c r="M89" s="107">
        <v>64.599999999999994</v>
      </c>
      <c r="N89" s="107">
        <v>64.400000000000006</v>
      </c>
      <c r="O89" s="107">
        <v>64.8</v>
      </c>
      <c r="P89" s="107">
        <v>64.2</v>
      </c>
      <c r="Q89" s="107">
        <v>64.900000000000006</v>
      </c>
      <c r="R89" s="107">
        <v>64.8</v>
      </c>
      <c r="S89" s="107">
        <v>64.8</v>
      </c>
      <c r="T89" s="107">
        <v>64.7</v>
      </c>
      <c r="U89" s="107">
        <v>64.8</v>
      </c>
      <c r="V89" s="107">
        <v>64.8</v>
      </c>
      <c r="W89" s="107">
        <v>64.8</v>
      </c>
      <c r="X89" s="107">
        <v>66.099999999999994</v>
      </c>
      <c r="Y89" s="107">
        <v>66.099999999999994</v>
      </c>
      <c r="Z89" s="107">
        <v>66.099999999999994</v>
      </c>
      <c r="AA89" s="107">
        <v>66.099999999999994</v>
      </c>
      <c r="AB89" s="107">
        <v>66.400000000000006</v>
      </c>
      <c r="AC89" s="107">
        <v>66.5</v>
      </c>
      <c r="AD89" s="107">
        <v>66.8</v>
      </c>
      <c r="AE89" s="107">
        <v>66.599999999999994</v>
      </c>
      <c r="AF89" s="108">
        <v>66.8</v>
      </c>
      <c r="AG89" s="109"/>
      <c r="AH89" s="56">
        <f t="shared" si="16"/>
        <v>67.099999999999994</v>
      </c>
      <c r="AI89" s="57">
        <f t="shared" si="17"/>
        <v>64.2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4">
        <f>SUM(B14,B17,B20:B21,B40,B42:B43,B45,B47,B92:B95,B100,B106,B112,B121,B123,B135,B142,B145:B146,B153,B155,B157,B161:B163,B165:B167,B172,B178:B179,B181:B183,B191,B196)</f>
        <v>115.64</v>
      </c>
      <c r="C91" s="114">
        <f t="shared" ref="C91:AF91" si="21">SUM(C14,C17,C20:C21,C40,C42:C43,C45,C47,C92:C95,C100,C106,C112,C121,C123,C135,C142,C145:C146,C153,C155,C157,C161:C163,C165:C167,C172,C178:C179,C181:C183,C191,C196)</f>
        <v>113.13999999999997</v>
      </c>
      <c r="D91" s="114">
        <f t="shared" si="21"/>
        <v>110.84000000000002</v>
      </c>
      <c r="E91" s="114">
        <f t="shared" si="21"/>
        <v>119.93999999999998</v>
      </c>
      <c r="F91" s="115">
        <f t="shared" si="21"/>
        <v>137.74</v>
      </c>
      <c r="G91" s="115">
        <f t="shared" si="21"/>
        <v>154.43999999999997</v>
      </c>
      <c r="H91" s="115">
        <f t="shared" si="21"/>
        <v>187.54</v>
      </c>
      <c r="I91" s="115">
        <f t="shared" si="21"/>
        <v>238.14</v>
      </c>
      <c r="J91" s="115">
        <f t="shared" si="21"/>
        <v>260.34000000000003</v>
      </c>
      <c r="K91" s="115">
        <f t="shared" si="21"/>
        <v>281.03999999999996</v>
      </c>
      <c r="L91" s="115">
        <f t="shared" si="21"/>
        <v>285.24</v>
      </c>
      <c r="M91" s="115">
        <f t="shared" si="21"/>
        <v>278.74</v>
      </c>
      <c r="N91" s="115">
        <f t="shared" si="21"/>
        <v>265.24</v>
      </c>
      <c r="O91" s="115">
        <f t="shared" si="21"/>
        <v>263.93999999999994</v>
      </c>
      <c r="P91" s="115">
        <f t="shared" si="21"/>
        <v>262.44000000000005</v>
      </c>
      <c r="Q91" s="115">
        <f t="shared" si="21"/>
        <v>244.64</v>
      </c>
      <c r="R91" s="115">
        <f t="shared" si="21"/>
        <v>245.53999999999994</v>
      </c>
      <c r="S91" s="115">
        <f t="shared" si="21"/>
        <v>242.53999999999991</v>
      </c>
      <c r="T91" s="115">
        <f t="shared" si="21"/>
        <v>254.93999999999997</v>
      </c>
      <c r="U91" s="115">
        <f t="shared" si="21"/>
        <v>243.53999999999996</v>
      </c>
      <c r="V91" s="115">
        <f t="shared" si="21"/>
        <v>252.44</v>
      </c>
      <c r="W91" s="115">
        <f t="shared" si="21"/>
        <v>339.74</v>
      </c>
      <c r="X91" s="115">
        <f t="shared" si="21"/>
        <v>335.74000000000007</v>
      </c>
      <c r="Y91" s="115">
        <f t="shared" si="21"/>
        <v>312.04000000000008</v>
      </c>
      <c r="Z91" s="115">
        <f t="shared" si="21"/>
        <v>312.04000000000008</v>
      </c>
      <c r="AA91" s="115">
        <f t="shared" si="21"/>
        <v>245.53999999999996</v>
      </c>
      <c r="AB91" s="115">
        <f t="shared" si="21"/>
        <v>261.44000000000005</v>
      </c>
      <c r="AC91" s="115">
        <f t="shared" si="21"/>
        <v>233.93999999999994</v>
      </c>
      <c r="AD91" s="115">
        <f t="shared" si="21"/>
        <v>177.13999999999996</v>
      </c>
      <c r="AE91" s="115">
        <f t="shared" si="21"/>
        <v>180.73999999999998</v>
      </c>
      <c r="AF91" s="115">
        <f t="shared" si="21"/>
        <v>131.83999999999997</v>
      </c>
      <c r="AG91" s="116"/>
      <c r="AH91" s="56">
        <f>MAX(B91:AF91)</f>
        <v>339.74</v>
      </c>
      <c r="AI91" s="57">
        <f>MIN(B91:AF91)</f>
        <v>110.84000000000002</v>
      </c>
    </row>
    <row r="92" spans="1:88" x14ac:dyDescent="0.25">
      <c r="A92" s="117" t="s">
        <v>96</v>
      </c>
      <c r="B92" s="60">
        <v>44</v>
      </c>
      <c r="C92" s="60">
        <v>47.3</v>
      </c>
      <c r="D92" s="60">
        <v>41.2</v>
      </c>
      <c r="E92" s="60">
        <v>40.799999999999997</v>
      </c>
      <c r="F92" s="118">
        <v>42.3</v>
      </c>
      <c r="G92" s="118">
        <v>62</v>
      </c>
      <c r="H92" s="118">
        <v>64.5</v>
      </c>
      <c r="I92" s="118">
        <v>65.2</v>
      </c>
      <c r="J92" s="118">
        <v>50.7</v>
      </c>
      <c r="K92" s="118">
        <v>55.1</v>
      </c>
      <c r="L92" s="118">
        <v>53.3</v>
      </c>
      <c r="M92" s="118">
        <v>55.7</v>
      </c>
      <c r="N92" s="118">
        <v>56.7</v>
      </c>
      <c r="O92" s="118">
        <v>71.2</v>
      </c>
      <c r="P92" s="118">
        <v>71.3</v>
      </c>
      <c r="Q92" s="118">
        <v>59.7</v>
      </c>
      <c r="R92" s="118">
        <v>65</v>
      </c>
      <c r="S92" s="118">
        <v>60.6</v>
      </c>
      <c r="T92" s="54">
        <v>59</v>
      </c>
      <c r="U92" s="118">
        <v>60.6</v>
      </c>
      <c r="V92" s="118">
        <v>60.6</v>
      </c>
      <c r="W92" s="118">
        <v>32.700000000000003</v>
      </c>
      <c r="X92" s="118">
        <v>34.1</v>
      </c>
      <c r="Y92" s="118">
        <v>51</v>
      </c>
      <c r="Z92" s="118">
        <v>51</v>
      </c>
      <c r="AA92" s="54">
        <v>67.599999999999994</v>
      </c>
      <c r="AB92" s="54">
        <v>65.8</v>
      </c>
      <c r="AC92" s="54">
        <v>61.7</v>
      </c>
      <c r="AD92" s="54">
        <v>42.6</v>
      </c>
      <c r="AE92" s="54">
        <v>28.6</v>
      </c>
      <c r="AF92" s="119">
        <v>24.2</v>
      </c>
      <c r="AG92" s="120">
        <v>75</v>
      </c>
      <c r="AH92" s="56">
        <f t="shared" ref="AH92:AH97" si="22">IF(ABS(MAX(B92:AF92))&gt;ABS(MIN(B92:AF92)),MAX(B92:AF92),MIN(B92:AF92))</f>
        <v>71.3</v>
      </c>
      <c r="AI92" s="121">
        <f t="shared" ref="AI92:AI97" si="23">INDEX($B$9:$AF$9,1,MATCH(AH92,B92:AF92,0))</f>
        <v>0.5</v>
      </c>
    </row>
    <row r="93" spans="1:88" x14ac:dyDescent="0.25">
      <c r="A93" s="122" t="s">
        <v>97</v>
      </c>
      <c r="B93" s="62">
        <v>-73.8</v>
      </c>
      <c r="C93" s="62">
        <v>-75</v>
      </c>
      <c r="D93" s="62">
        <v>-75</v>
      </c>
      <c r="E93" s="62">
        <v>-72</v>
      </c>
      <c r="F93" s="62">
        <v>-65</v>
      </c>
      <c r="G93" s="62">
        <v>-72.599999999999994</v>
      </c>
      <c r="H93" s="62">
        <v>-71.099999999999994</v>
      </c>
      <c r="I93" s="62">
        <v>-63.9</v>
      </c>
      <c r="J93" s="62">
        <v>-53.6</v>
      </c>
      <c r="K93" s="62">
        <v>-49.6</v>
      </c>
      <c r="L93" s="62">
        <f>-23.6-29.1</f>
        <v>-52.7</v>
      </c>
      <c r="M93" s="62">
        <f>-23.1-28.2</f>
        <v>-51.3</v>
      </c>
      <c r="N93" s="62">
        <f>-21.4-26.2</f>
        <v>-47.599999999999994</v>
      </c>
      <c r="O93" s="62">
        <f>-23.3-28.5</f>
        <v>-51.8</v>
      </c>
      <c r="P93" s="62">
        <f>-23.3-28.6</f>
        <v>-51.900000000000006</v>
      </c>
      <c r="Q93" s="62">
        <f>-24.5-30.1</f>
        <v>-54.6</v>
      </c>
      <c r="R93" s="62">
        <v>-55</v>
      </c>
      <c r="S93" s="62">
        <v>-61.7</v>
      </c>
      <c r="T93" s="62">
        <v>-57.5</v>
      </c>
      <c r="U93" s="62">
        <v>-61.7</v>
      </c>
      <c r="V93" s="62">
        <v>-61.7</v>
      </c>
      <c r="W93" s="62">
        <v>-32</v>
      </c>
      <c r="X93" s="62">
        <v>-29.4</v>
      </c>
      <c r="Y93" s="62">
        <v>-36</v>
      </c>
      <c r="Z93" s="62">
        <v>-36</v>
      </c>
      <c r="AA93" s="52">
        <f>-27.1-32.4</f>
        <v>-59.5</v>
      </c>
      <c r="AB93" s="52">
        <v>-60</v>
      </c>
      <c r="AC93" s="52">
        <v>-60</v>
      </c>
      <c r="AD93" s="52">
        <f>-28.6-33.6</f>
        <v>-62.2</v>
      </c>
      <c r="AE93" s="52">
        <f>-31.2-38.3</f>
        <v>-69.5</v>
      </c>
      <c r="AF93" s="123">
        <f>-32.1-39.4</f>
        <v>-71.5</v>
      </c>
      <c r="AG93" s="120">
        <v>240</v>
      </c>
      <c r="AH93" s="56">
        <f t="shared" si="22"/>
        <v>-75</v>
      </c>
      <c r="AI93" s="121">
        <f t="shared" si="23"/>
        <v>8.3333333333333301E-2</v>
      </c>
    </row>
    <row r="94" spans="1:88" x14ac:dyDescent="0.25">
      <c r="A94" s="122" t="s">
        <v>98</v>
      </c>
      <c r="B94" s="62">
        <v>-9.4</v>
      </c>
      <c r="C94" s="62">
        <v>-11.2</v>
      </c>
      <c r="D94" s="62">
        <v>-9.1</v>
      </c>
      <c r="E94" s="62">
        <v>-5.5</v>
      </c>
      <c r="F94" s="62">
        <v>-8.3000000000000007</v>
      </c>
      <c r="G94" s="62">
        <v>-7</v>
      </c>
      <c r="H94" s="62">
        <v>-3.5</v>
      </c>
      <c r="I94" s="62">
        <v>1.6</v>
      </c>
      <c r="J94" s="62">
        <v>7</v>
      </c>
      <c r="K94" s="62">
        <v>4</v>
      </c>
      <c r="L94" s="62">
        <v>1.6</v>
      </c>
      <c r="M94" s="62">
        <v>1.1000000000000001</v>
      </c>
      <c r="N94" s="62">
        <v>1.4</v>
      </c>
      <c r="O94" s="62">
        <v>2.2000000000000002</v>
      </c>
      <c r="P94" s="62">
        <v>-1.2</v>
      </c>
      <c r="Q94" s="62">
        <v>-1.2</v>
      </c>
      <c r="R94" s="62">
        <v>-1.3</v>
      </c>
      <c r="S94" s="62">
        <v>-1.3</v>
      </c>
      <c r="T94" s="62">
        <v>0</v>
      </c>
      <c r="U94" s="62">
        <v>-1.3</v>
      </c>
      <c r="V94" s="62">
        <v>-1.3</v>
      </c>
      <c r="W94" s="62">
        <v>20.6</v>
      </c>
      <c r="X94" s="62">
        <v>21.8</v>
      </c>
      <c r="Y94" s="62">
        <v>17.899999999999999</v>
      </c>
      <c r="Z94" s="62">
        <v>17.899999999999999</v>
      </c>
      <c r="AA94" s="52">
        <v>5.8</v>
      </c>
      <c r="AB94" s="52">
        <v>3.4</v>
      </c>
      <c r="AC94" s="52">
        <v>1.2</v>
      </c>
      <c r="AD94" s="52">
        <v>-4.7</v>
      </c>
      <c r="AE94" s="52">
        <v>-6.6</v>
      </c>
      <c r="AF94" s="123">
        <v>-8</v>
      </c>
      <c r="AG94" s="120">
        <v>60</v>
      </c>
      <c r="AH94" s="56">
        <f t="shared" si="22"/>
        <v>21.8</v>
      </c>
      <c r="AI94" s="121">
        <f t="shared" si="23"/>
        <v>0.77083333333333337</v>
      </c>
    </row>
    <row r="95" spans="1:88" x14ac:dyDescent="0.25">
      <c r="A95" s="124" t="s">
        <v>99</v>
      </c>
      <c r="B95" s="65">
        <v>-7.6</v>
      </c>
      <c r="C95" s="65">
        <v>-11.4</v>
      </c>
      <c r="D95" s="65">
        <v>-11.5</v>
      </c>
      <c r="E95" s="65">
        <v>-8.6</v>
      </c>
      <c r="F95" s="65">
        <v>3.4</v>
      </c>
      <c r="G95" s="65">
        <v>-12</v>
      </c>
      <c r="H95" s="65">
        <v>-6.7</v>
      </c>
      <c r="I95" s="65">
        <v>11.5</v>
      </c>
      <c r="J95" s="65">
        <v>26.6</v>
      </c>
      <c r="K95" s="65">
        <v>41.5</v>
      </c>
      <c r="L95" s="65">
        <v>49.4</v>
      </c>
      <c r="M95" s="65">
        <v>48.6</v>
      </c>
      <c r="N95" s="65">
        <v>39</v>
      </c>
      <c r="O95" s="65">
        <v>26.6</v>
      </c>
      <c r="P95" s="65">
        <v>29.8</v>
      </c>
      <c r="Q95" s="65">
        <v>25.9</v>
      </c>
      <c r="R95" s="65">
        <v>22.5</v>
      </c>
      <c r="S95" s="65">
        <v>21.2</v>
      </c>
      <c r="T95" s="65">
        <v>28.7</v>
      </c>
      <c r="U95" s="65">
        <v>21.2</v>
      </c>
      <c r="V95" s="65">
        <v>21.2</v>
      </c>
      <c r="W95" s="65">
        <v>84.8</v>
      </c>
      <c r="X95" s="65">
        <v>78.2</v>
      </c>
      <c r="Y95" s="65">
        <v>49.1</v>
      </c>
      <c r="Z95" s="65">
        <v>49.1</v>
      </c>
      <c r="AA95" s="125" t="s">
        <v>260</v>
      </c>
      <c r="AB95" s="125">
        <v>21</v>
      </c>
      <c r="AC95" s="125">
        <v>19.8</v>
      </c>
      <c r="AD95" s="125">
        <v>6.6</v>
      </c>
      <c r="AE95" s="125">
        <v>43</v>
      </c>
      <c r="AF95" s="126">
        <v>1.8</v>
      </c>
      <c r="AG95" s="127">
        <v>120</v>
      </c>
      <c r="AH95" s="56">
        <f t="shared" si="22"/>
        <v>84.8</v>
      </c>
      <c r="AI95" s="121">
        <f t="shared" si="23"/>
        <v>0.75</v>
      </c>
    </row>
    <row r="96" spans="1:88" x14ac:dyDescent="0.25">
      <c r="A96" s="124" t="s">
        <v>100</v>
      </c>
      <c r="B96" s="65">
        <v>24.7</v>
      </c>
      <c r="C96" s="65">
        <v>19.100000000000001</v>
      </c>
      <c r="D96" s="65">
        <v>20.2</v>
      </c>
      <c r="E96" s="65">
        <v>21.6</v>
      </c>
      <c r="F96" s="65">
        <v>31.8</v>
      </c>
      <c r="G96" s="65">
        <v>18.8</v>
      </c>
      <c r="H96" s="65">
        <v>18.8</v>
      </c>
      <c r="I96" s="65">
        <v>32.5</v>
      </c>
      <c r="J96" s="65">
        <v>40.299999999999997</v>
      </c>
      <c r="K96" s="65">
        <v>52.5</v>
      </c>
      <c r="L96" s="65">
        <v>57.5</v>
      </c>
      <c r="M96" s="65">
        <v>57.5</v>
      </c>
      <c r="N96" s="65">
        <v>48.9</v>
      </c>
      <c r="O96" s="65">
        <v>45.2</v>
      </c>
      <c r="P96" s="65">
        <v>46.1</v>
      </c>
      <c r="Q96" s="65">
        <v>46.8</v>
      </c>
      <c r="R96" s="65">
        <v>40.9</v>
      </c>
      <c r="S96" s="65">
        <v>41.1</v>
      </c>
      <c r="T96" s="65">
        <v>47.1</v>
      </c>
      <c r="U96" s="65">
        <v>41.1</v>
      </c>
      <c r="V96" s="65">
        <v>41.1</v>
      </c>
      <c r="W96" s="65">
        <v>76.5</v>
      </c>
      <c r="X96" s="65">
        <v>73</v>
      </c>
      <c r="Y96" s="65">
        <v>48</v>
      </c>
      <c r="Z96" s="65">
        <v>48</v>
      </c>
      <c r="AA96" s="125">
        <v>34.1</v>
      </c>
      <c r="AB96" s="125">
        <v>36</v>
      </c>
      <c r="AC96" s="125">
        <v>33.5</v>
      </c>
      <c r="AD96" s="125">
        <v>33.799999999999997</v>
      </c>
      <c r="AE96" s="125">
        <v>32.700000000000003</v>
      </c>
      <c r="AF96" s="126">
        <v>30.5</v>
      </c>
      <c r="AG96" s="127"/>
      <c r="AH96" s="56">
        <f t="shared" si="22"/>
        <v>76.5</v>
      </c>
      <c r="AI96" s="121">
        <f t="shared" si="23"/>
        <v>0.75</v>
      </c>
    </row>
    <row r="97" spans="1:37" ht="15.75" thickBot="1" x14ac:dyDescent="0.3">
      <c r="A97" s="124" t="s">
        <v>101</v>
      </c>
      <c r="B97" s="65">
        <v>38.200000000000003</v>
      </c>
      <c r="C97" s="65">
        <v>31.4</v>
      </c>
      <c r="D97" s="65">
        <v>25.8</v>
      </c>
      <c r="E97" s="65">
        <v>44.5</v>
      </c>
      <c r="F97" s="65">
        <v>46.8</v>
      </c>
      <c r="G97" s="65">
        <v>33.9</v>
      </c>
      <c r="H97" s="65">
        <v>40.700000000000003</v>
      </c>
      <c r="I97" s="65">
        <v>37.4</v>
      </c>
      <c r="J97" s="65">
        <v>39.5</v>
      </c>
      <c r="K97" s="65">
        <v>43.6</v>
      </c>
      <c r="L97" s="65">
        <v>49</v>
      </c>
      <c r="M97" s="65">
        <v>40.299999999999997</v>
      </c>
      <c r="N97" s="65">
        <v>30.2</v>
      </c>
      <c r="O97" s="65">
        <v>29.4</v>
      </c>
      <c r="P97" s="65">
        <v>30.8</v>
      </c>
      <c r="Q97" s="65">
        <v>32</v>
      </c>
      <c r="R97" s="65">
        <v>31.7</v>
      </c>
      <c r="S97" s="65">
        <v>30.9</v>
      </c>
      <c r="T97" s="65">
        <v>37.9</v>
      </c>
      <c r="U97" s="65">
        <v>30.9</v>
      </c>
      <c r="V97" s="65">
        <v>30.9</v>
      </c>
      <c r="W97" s="65">
        <v>70.8</v>
      </c>
      <c r="X97" s="65">
        <v>67.900000000000006</v>
      </c>
      <c r="Y97" s="65">
        <v>52.6</v>
      </c>
      <c r="Z97" s="65">
        <v>52.6</v>
      </c>
      <c r="AA97" s="125">
        <v>24.8</v>
      </c>
      <c r="AB97" s="125">
        <v>28</v>
      </c>
      <c r="AC97" s="125">
        <v>26</v>
      </c>
      <c r="AD97" s="125">
        <v>27.9</v>
      </c>
      <c r="AE97" s="125">
        <v>46.5</v>
      </c>
      <c r="AF97" s="126">
        <v>53.2</v>
      </c>
      <c r="AG97" s="128"/>
      <c r="AH97" s="56">
        <f t="shared" si="22"/>
        <v>70.8</v>
      </c>
      <c r="AI97" s="121">
        <f t="shared" si="23"/>
        <v>0.75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1199.44</v>
      </c>
      <c r="C206" s="164">
        <f>INDEX(F9:M9,1,MATCH(MAX(F73:M73),F73:M73,0))</f>
        <v>0.375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15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2078/07/15)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2078/07/15)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844.74</v>
      </c>
      <c r="U211" s="173">
        <f t="shared" si="52"/>
        <v>825.74</v>
      </c>
      <c r="V211" s="173">
        <f t="shared" si="52"/>
        <v>814.64</v>
      </c>
      <c r="W211" s="173">
        <f t="shared" si="52"/>
        <v>823.64</v>
      </c>
      <c r="X211" s="173">
        <f t="shared" si="52"/>
        <v>864.74</v>
      </c>
      <c r="Y211" s="173">
        <f t="shared" si="52"/>
        <v>926.44</v>
      </c>
      <c r="Z211" s="173">
        <f t="shared" si="52"/>
        <v>976.74000000000012</v>
      </c>
      <c r="AA211" s="173">
        <f t="shared" si="52"/>
        <v>1096.24</v>
      </c>
      <c r="AB211" s="173">
        <f t="shared" si="52"/>
        <v>1135.1400000000001</v>
      </c>
      <c r="AC211" s="173">
        <f t="shared" si="52"/>
        <v>1174.54</v>
      </c>
      <c r="AD211" s="173">
        <f t="shared" si="52"/>
        <v>1197.24</v>
      </c>
      <c r="AE211" s="173">
        <f t="shared" si="52"/>
        <v>1199.44</v>
      </c>
      <c r="AF211" s="173">
        <f t="shared" si="52"/>
        <v>1111.8400000000001</v>
      </c>
      <c r="AG211" s="173">
        <f t="shared" si="52"/>
        <v>1122.04</v>
      </c>
      <c r="AH211" s="173">
        <f t="shared" si="52"/>
        <v>1103.3400000000001</v>
      </c>
      <c r="AI211" s="173">
        <f t="shared" si="52"/>
        <v>1080.94</v>
      </c>
      <c r="AJ211" s="173">
        <f t="shared" si="52"/>
        <v>1072.54</v>
      </c>
      <c r="AK211" s="173">
        <f t="shared" si="52"/>
        <v>1083.6400000000001</v>
      </c>
      <c r="AL211" s="173">
        <f t="shared" si="52"/>
        <v>1122.1400000000001</v>
      </c>
      <c r="AM211" s="173">
        <f t="shared" si="52"/>
        <v>1185.04</v>
      </c>
      <c r="AN211" s="173">
        <f t="shared" si="52"/>
        <v>1309.8399999999999</v>
      </c>
      <c r="AO211" s="173">
        <f t="shared" si="52"/>
        <v>1409.8400000000001</v>
      </c>
      <c r="AP211" s="173">
        <f t="shared" si="52"/>
        <v>1337.04</v>
      </c>
      <c r="AQ211" s="173">
        <f t="shared" si="52"/>
        <v>1239.3399999999999</v>
      </c>
      <c r="AR211" s="173">
        <f t="shared" si="52"/>
        <v>1199.3399999999999</v>
      </c>
      <c r="AS211" s="173">
        <f t="shared" si="52"/>
        <v>1129.8399999999999</v>
      </c>
      <c r="AT211" s="173">
        <f t="shared" si="52"/>
        <v>1090.1400000000001</v>
      </c>
      <c r="AU211" s="173">
        <f t="shared" si="52"/>
        <v>1059.94</v>
      </c>
      <c r="AV211" s="173">
        <f t="shared" si="52"/>
        <v>912.04</v>
      </c>
      <c r="AW211" s="173">
        <f t="shared" si="52"/>
        <v>842.33999999999992</v>
      </c>
      <c r="AX211" s="173">
        <f t="shared" si="52"/>
        <v>833.7399999999999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988" priority="315">
      <formula>S$9&gt;=20/24</formula>
    </cfRule>
    <cfRule type="expression" dxfId="5987" priority="316">
      <formula>AND(S$9&gt;=14/24,S$9&lt;20/24)</formula>
    </cfRule>
    <cfRule type="expression" dxfId="5986" priority="317">
      <formula>AND(S$9&gt;=8/24,S$9&lt;14/24)</formula>
    </cfRule>
    <cfRule type="expression" dxfId="5985" priority="318">
      <formula>S$9&lt;8/24</formula>
    </cfRule>
  </conditionalFormatting>
  <conditionalFormatting sqref="B8:AF10 AA79:AF79 B79:Q79 B54:AF54 B80:AF80 C191:AF197 AE55:AF58 B66:AF70 T210:AX210 R38:U39 AA82:AF89 B72:AF76 B78:AF78 B55:C65 M25:Q25 D55:Q59 T40:U40 R56:V57 V38:AB40 X83:Z89 Y41:AB41 AC38:AD41 L51:AF53 R11:AD11 R17:AD26 T28:AD29">
    <cfRule type="expression" dxfId="5984" priority="311">
      <formula>B$9&gt;=20/24</formula>
    </cfRule>
    <cfRule type="expression" dxfId="5983" priority="312">
      <formula>AND(B$9&gt;=14/24,B$9&lt;20/24)</formula>
    </cfRule>
    <cfRule type="expression" dxfId="5982" priority="313">
      <formula>AND(B$9&gt;=8/24,B$9&lt;14/24)</formula>
    </cfRule>
    <cfRule type="expression" dxfId="5981" priority="314">
      <formula>B$9&lt;8/24</formula>
    </cfRule>
  </conditionalFormatting>
  <conditionalFormatting sqref="B189:AF189">
    <cfRule type="expression" dxfId="5980" priority="307">
      <formula>B$9&gt;=20/24</formula>
    </cfRule>
    <cfRule type="expression" dxfId="5979" priority="308">
      <formula>AND(B$9&gt;=14/24,B$9&lt;20/24)</formula>
    </cfRule>
    <cfRule type="expression" dxfId="5978" priority="309">
      <formula>AND(B$9&gt;=8/24,B$9&lt;14/24)</formula>
    </cfRule>
    <cfRule type="expression" dxfId="5977" priority="310">
      <formula>B$9&lt;8/24</formula>
    </cfRule>
  </conditionalFormatting>
  <conditionalFormatting sqref="AL4:AL6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S47">
    <cfRule type="expression" dxfId="5976" priority="270">
      <formula>S$9&gt;=20/24</formula>
    </cfRule>
    <cfRule type="expression" dxfId="5975" priority="271">
      <formula>AND(S$9&gt;=14/24,S$9&lt;20/24)</formula>
    </cfRule>
    <cfRule type="expression" dxfId="5974" priority="272">
      <formula>AND(S$9&gt;=8/24,S$9&lt;14/24)</formula>
    </cfRule>
    <cfRule type="expression" dxfId="5973" priority="273">
      <formula>S$9&lt;8/24</formula>
    </cfRule>
  </conditionalFormatting>
  <conditionalFormatting sqref="R37:AD37">
    <cfRule type="expression" dxfId="5972" priority="290">
      <formula>R$9&gt;=20/24</formula>
    </cfRule>
    <cfRule type="expression" dxfId="5971" priority="291">
      <formula>AND(R$9&gt;=14/24,R$9&lt;20/24)</formula>
    </cfRule>
    <cfRule type="expression" dxfId="5970" priority="292">
      <formula>AND(R$9&gt;=8/24,R$9&lt;14/24)</formula>
    </cfRule>
    <cfRule type="expression" dxfId="5969" priority="293">
      <formula>R$9&lt;8/24</formula>
    </cfRule>
  </conditionalFormatting>
  <conditionalFormatting sqref="R55:AD55">
    <cfRule type="expression" dxfId="5968" priority="286">
      <formula>R$9&gt;=20/24</formula>
    </cfRule>
    <cfRule type="expression" dxfId="5967" priority="287">
      <formula>AND(R$9&gt;=14/24,R$9&lt;20/24)</formula>
    </cfRule>
    <cfRule type="expression" dxfId="5966" priority="288">
      <formula>AND(R$9&gt;=8/24,R$9&lt;14/24)</formula>
    </cfRule>
    <cfRule type="expression" dxfId="5965" priority="289">
      <formula>R$9&lt;8/24</formula>
    </cfRule>
  </conditionalFormatting>
  <conditionalFormatting sqref="R79:Z79">
    <cfRule type="expression" dxfId="5964" priority="282">
      <formula>R$9&gt;=20/24</formula>
    </cfRule>
    <cfRule type="expression" dxfId="5963" priority="283">
      <formula>AND(R$9&gt;=14/24,R$9&lt;20/24)</formula>
    </cfRule>
    <cfRule type="expression" dxfId="5962" priority="284">
      <formula>AND(R$9&gt;=8/24,R$9&lt;14/24)</formula>
    </cfRule>
    <cfRule type="expression" dxfId="5961" priority="285">
      <formula>R$9&lt;8/24</formula>
    </cfRule>
  </conditionalFormatting>
  <conditionalFormatting sqref="T82 W82:Z82">
    <cfRule type="expression" dxfId="5960" priority="278">
      <formula>T$9&gt;=20/24</formula>
    </cfRule>
    <cfRule type="expression" dxfId="5959" priority="279">
      <formula>AND(T$9&gt;=14/24,T$9&lt;20/24)</formula>
    </cfRule>
    <cfRule type="expression" dxfId="5958" priority="280">
      <formula>AND(T$9&gt;=8/24,T$9&lt;14/24)</formula>
    </cfRule>
    <cfRule type="expression" dxfId="5957" priority="281">
      <formula>T$9&lt;8/24</formula>
    </cfRule>
  </conditionalFormatting>
  <conditionalFormatting sqref="S47:AD47">
    <cfRule type="expression" dxfId="5956" priority="246">
      <formula>S$9&gt;=20/24</formula>
    </cfRule>
    <cfRule type="expression" dxfId="5955" priority="247">
      <formula>AND(S$9&gt;=14/24,S$9&lt;20/24)</formula>
    </cfRule>
    <cfRule type="expression" dxfId="5954" priority="248">
      <formula>AND(S$9&gt;=8/24,S$9&lt;14/24)</formula>
    </cfRule>
    <cfRule type="expression" dxfId="5953" priority="249">
      <formula>S$9&lt;8/24</formula>
    </cfRule>
  </conditionalFormatting>
  <conditionalFormatting sqref="AE59:AF65 R58:S65 W58:AD65">
    <cfRule type="expression" dxfId="5952" priority="238">
      <formula>R$9&gt;=20/24</formula>
    </cfRule>
    <cfRule type="expression" dxfId="5951" priority="239">
      <formula>AND(R$9&gt;=14/24,R$9&lt;20/24)</formula>
    </cfRule>
    <cfRule type="expression" dxfId="5950" priority="240">
      <formula>AND(R$9&gt;=8/24,R$9&lt;14/24)</formula>
    </cfRule>
    <cfRule type="expression" dxfId="5949" priority="241">
      <formula>R$9&lt;8/24</formula>
    </cfRule>
  </conditionalFormatting>
  <conditionalFormatting sqref="AA92:AF95">
    <cfRule type="expression" dxfId="5948" priority="234">
      <formula>AA$9&gt;=20/24</formula>
    </cfRule>
    <cfRule type="expression" dxfId="5947" priority="235">
      <formula>AND(AA$9&gt;=14/24,AA$9&lt;20/24)</formula>
    </cfRule>
    <cfRule type="expression" dxfId="5946" priority="236">
      <formula>AND(AA$9&gt;=8/24,AA$9&lt;14/24)</formula>
    </cfRule>
    <cfRule type="expression" dxfId="5945" priority="237">
      <formula>AA$9&lt;8/24</formula>
    </cfRule>
  </conditionalFormatting>
  <conditionalFormatting sqref="R35:AD35">
    <cfRule type="expression" dxfId="5944" priority="258">
      <formula>R$9&gt;=20/24</formula>
    </cfRule>
    <cfRule type="expression" dxfId="5943" priority="259">
      <formula>AND(R$9&gt;=14/24,R$9&lt;20/24)</formula>
    </cfRule>
    <cfRule type="expression" dxfId="5942" priority="260">
      <formula>AND(R$9&gt;=8/24,R$9&lt;14/24)</formula>
    </cfRule>
    <cfRule type="expression" dxfId="5941" priority="261">
      <formula>R$9&lt;8/24</formula>
    </cfRule>
  </conditionalFormatting>
  <conditionalFormatting sqref="T30:AD31 T33:AD33">
    <cfRule type="expression" dxfId="5940" priority="254">
      <formula>T$9&gt;=20/24</formula>
    </cfRule>
    <cfRule type="expression" dxfId="5939" priority="255">
      <formula>AND(T$9&gt;=14/24,T$9&lt;20/24)</formula>
    </cfRule>
    <cfRule type="expression" dxfId="5938" priority="256">
      <formula>AND(T$9&gt;=8/24,T$9&lt;14/24)</formula>
    </cfRule>
    <cfRule type="expression" dxfId="5937" priority="257">
      <formula>T$9&lt;8/24</formula>
    </cfRule>
  </conditionalFormatting>
  <conditionalFormatting sqref="R40:S41 R43:T43 S44:T45 U43:W45 W46 T41:X41 X43:AD46">
    <cfRule type="expression" dxfId="5936" priority="250">
      <formula>R$9&gt;=20/24</formula>
    </cfRule>
    <cfRule type="expression" dxfId="5935" priority="251">
      <formula>AND(R$9&gt;=14/24,R$9&lt;20/24)</formula>
    </cfRule>
    <cfRule type="expression" dxfId="5934" priority="252">
      <formula>AND(R$9&gt;=8/24,R$9&lt;14/24)</formula>
    </cfRule>
    <cfRule type="expression" dxfId="5933" priority="253">
      <formula>R$9&lt;8/24</formula>
    </cfRule>
  </conditionalFormatting>
  <conditionalFormatting sqref="S48:AD48">
    <cfRule type="expression" dxfId="5932" priority="242">
      <formula>S$9&gt;=20/24</formula>
    </cfRule>
    <cfRule type="expression" dxfId="5931" priority="243">
      <formula>AND(S$9&gt;=14/24,S$9&lt;20/24)</formula>
    </cfRule>
    <cfRule type="expression" dxfId="5930" priority="244">
      <formula>AND(S$9&gt;=8/24,S$9&lt;14/24)</formula>
    </cfRule>
    <cfRule type="expression" dxfId="5929" priority="245">
      <formula>S$9&lt;8/24</formula>
    </cfRule>
  </conditionalFormatting>
  <conditionalFormatting sqref="D60:H60 H61:H63 I60:Q65 H65">
    <cfRule type="expression" dxfId="5928" priority="230">
      <formula>D$9&gt;=20/24</formula>
    </cfRule>
    <cfRule type="expression" dxfId="5927" priority="231">
      <formula>AND(D$9&gt;=14/24,D$9&lt;20/24)</formula>
    </cfRule>
    <cfRule type="expression" dxfId="5926" priority="232">
      <formula>AND(D$9&gt;=8/24,D$9&lt;14/24)</formula>
    </cfRule>
    <cfRule type="expression" dxfId="5925" priority="233">
      <formula>D$9&lt;8/24</formula>
    </cfRule>
  </conditionalFormatting>
  <conditionalFormatting sqref="T92:T95 W92:Z95">
    <cfRule type="expression" dxfId="5924" priority="226">
      <formula>T$9&gt;=20/24</formula>
    </cfRule>
    <cfRule type="expression" dxfId="5923" priority="227">
      <formula>AND(T$9&gt;=14/24,T$9&lt;20/24)</formula>
    </cfRule>
    <cfRule type="expression" dxfId="5922" priority="228">
      <formula>AND(T$9&gt;=8/24,T$9&lt;14/24)</formula>
    </cfRule>
    <cfRule type="expression" dxfId="5921" priority="229">
      <formula>T$9&lt;8/24</formula>
    </cfRule>
  </conditionalFormatting>
  <conditionalFormatting sqref="AG49 B15:K26 B11:K13 B36:AF36 B33:K35 B37:K41 B43:K47 R43:T43 M25:Q25 B48:P48 S34:T34 S44:T45 T33 U43:W45 W46 S47:W48 R35:AB35 U33:AB34 X43:AF48 R37:AF41 B49:AF54 R11:AD11 R17:AD26 AE15:AF26 AE11:AF13 AC33:AF35 B28:K31 T28:AF31">
    <cfRule type="expression" dxfId="5920" priority="225">
      <formula>B11&gt;$AG11</formula>
    </cfRule>
  </conditionalFormatting>
  <conditionalFormatting sqref="A98:A154 A82:A95 A11:A13 A15:A31 A43:A70 A78:A80 A72:A76 A33:A41 A167:A198">
    <cfRule type="expression" dxfId="5919" priority="224">
      <formula>$AH11=0</formula>
    </cfRule>
  </conditionalFormatting>
  <conditionalFormatting sqref="AA96:AF96">
    <cfRule type="expression" dxfId="5918" priority="220">
      <formula>AA$9&gt;=20/24</formula>
    </cfRule>
    <cfRule type="expression" dxfId="5917" priority="221">
      <formula>AND(AA$9&gt;=14/24,AA$9&lt;20/24)</formula>
    </cfRule>
    <cfRule type="expression" dxfId="5916" priority="222">
      <formula>AND(AA$9&gt;=8/24,AA$9&lt;14/24)</formula>
    </cfRule>
    <cfRule type="expression" dxfId="5915" priority="223">
      <formula>AA$9&lt;8/24</formula>
    </cfRule>
  </conditionalFormatting>
  <conditionalFormatting sqref="T96 W96:Z96">
    <cfRule type="expression" dxfId="5914" priority="216">
      <formula>T$9&gt;=20/24</formula>
    </cfRule>
    <cfRule type="expression" dxfId="5913" priority="217">
      <formula>AND(T$9&gt;=14/24,T$9&lt;20/24)</formula>
    </cfRule>
    <cfRule type="expression" dxfId="5912" priority="218">
      <formula>AND(T$9&gt;=8/24,T$9&lt;14/24)</formula>
    </cfRule>
    <cfRule type="expression" dxfId="5911" priority="219">
      <formula>T$9&lt;8/24</formula>
    </cfRule>
  </conditionalFormatting>
  <conditionalFormatting sqref="A96">
    <cfRule type="expression" dxfId="5910" priority="215">
      <formula>$AH96=0</formula>
    </cfRule>
  </conditionalFormatting>
  <conditionalFormatting sqref="I34:K34 S34:AF34">
    <cfRule type="expression" dxfId="5909" priority="211">
      <formula>I$9&gt;=20/24</formula>
    </cfRule>
    <cfRule type="expression" dxfId="5908" priority="212">
      <formula>AND(I$9&gt;=14/24,I$9&lt;20/24)</formula>
    </cfRule>
    <cfRule type="expression" dxfId="5907" priority="213">
      <formula>AND(I$9&gt;=8/24,I$9&lt;14/24)</formula>
    </cfRule>
    <cfRule type="expression" dxfId="5906" priority="214">
      <formula>I$9&lt;8/24</formula>
    </cfRule>
  </conditionalFormatting>
  <conditionalFormatting sqref="S34:AF34">
    <cfRule type="expression" dxfId="5905" priority="207">
      <formula>S$9&gt;=20/24</formula>
    </cfRule>
    <cfRule type="expression" dxfId="5904" priority="208">
      <formula>AND(S$9&gt;=14/24,S$9&lt;20/24)</formula>
    </cfRule>
    <cfRule type="expression" dxfId="5903" priority="209">
      <formula>AND(S$9&gt;=8/24,S$9&lt;14/24)</formula>
    </cfRule>
    <cfRule type="expression" dxfId="5902" priority="210">
      <formula>S$9&lt;8/24</formula>
    </cfRule>
  </conditionalFormatting>
  <conditionalFormatting sqref="B34:H34">
    <cfRule type="expression" dxfId="5901" priority="203">
      <formula>B$9&gt;=20/24</formula>
    </cfRule>
    <cfRule type="expression" dxfId="5900" priority="204">
      <formula>AND(B$9&gt;=14/24,B$9&lt;20/24)</formula>
    </cfRule>
    <cfRule type="expression" dxfId="5899" priority="205">
      <formula>AND(B$9&gt;=8/24,B$9&lt;14/24)</formula>
    </cfRule>
    <cfRule type="expression" dxfId="5898" priority="206">
      <formula>B$9&lt;8/24</formula>
    </cfRule>
  </conditionalFormatting>
  <conditionalFormatting sqref="D61:G63 D65:G65 D64:H64">
    <cfRule type="expression" dxfId="5897" priority="199">
      <formula>D$9&gt;=20/24</formula>
    </cfRule>
    <cfRule type="expression" dxfId="5896" priority="200">
      <formula>AND(D$9&gt;=14/24,D$9&lt;20/24)</formula>
    </cfRule>
    <cfRule type="expression" dxfId="5895" priority="201">
      <formula>AND(D$9&gt;=8/24,D$9&lt;14/24)</formula>
    </cfRule>
    <cfRule type="expression" dxfId="5894" priority="202">
      <formula>D$9&lt;8/24</formula>
    </cfRule>
  </conditionalFormatting>
  <conditionalFormatting sqref="AL31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T32:AD32">
    <cfRule type="expression" dxfId="5893" priority="182">
      <formula>T$9&gt;=20/24</formula>
    </cfRule>
    <cfRule type="expression" dxfId="5892" priority="183">
      <formula>AND(T$9&gt;=14/24,T$9&lt;20/24)</formula>
    </cfRule>
    <cfRule type="expression" dxfId="5891" priority="184">
      <formula>AND(T$9&gt;=8/24,T$9&lt;14/24)</formula>
    </cfRule>
    <cfRule type="expression" dxfId="5890" priority="185">
      <formula>T$9&lt;8/24</formula>
    </cfRule>
  </conditionalFormatting>
  <conditionalFormatting sqref="B32:K32 T32:AF32">
    <cfRule type="expression" dxfId="5889" priority="181">
      <formula>B32&gt;$AG32</formula>
    </cfRule>
  </conditionalFormatting>
  <conditionalFormatting sqref="A32">
    <cfRule type="expression" dxfId="5888" priority="180">
      <formula>$AH32=0</formula>
    </cfRule>
  </conditionalFormatting>
  <conditionalFormatting sqref="B81:AF81">
    <cfRule type="expression" dxfId="5887" priority="176">
      <formula>B$9&gt;=20/24</formula>
    </cfRule>
    <cfRule type="expression" dxfId="5886" priority="177">
      <formula>AND(B$9&gt;=14/24,B$9&lt;20/24)</formula>
    </cfRule>
    <cfRule type="expression" dxfId="5885" priority="178">
      <formula>AND(B$9&gt;=8/24,B$9&lt;14/24)</formula>
    </cfRule>
    <cfRule type="expression" dxfId="5884" priority="179">
      <formula>B$9&lt;8/24</formula>
    </cfRule>
  </conditionalFormatting>
  <conditionalFormatting sqref="A81">
    <cfRule type="expression" dxfId="5883" priority="175">
      <formula>$AH81=0</formula>
    </cfRule>
  </conditionalFormatting>
  <conditionalFormatting sqref="B14:K14 AE14:AF14">
    <cfRule type="expression" dxfId="5882" priority="166">
      <formula>B14&gt;$AG14</formula>
    </cfRule>
  </conditionalFormatting>
  <conditionalFormatting sqref="A14">
    <cfRule type="expression" dxfId="5881" priority="165">
      <formula>$AH14=0</formula>
    </cfRule>
  </conditionalFormatting>
  <conditionalFormatting sqref="A161:A166">
    <cfRule type="expression" dxfId="5880" priority="164">
      <formula>$AH161=0</formula>
    </cfRule>
  </conditionalFormatting>
  <conditionalFormatting sqref="A155:A160">
    <cfRule type="expression" dxfId="5879" priority="163">
      <formula>$AH155=0</formula>
    </cfRule>
  </conditionalFormatting>
  <conditionalFormatting sqref="Y42:AD42">
    <cfRule type="expression" dxfId="5878" priority="159">
      <formula>Y$9&gt;=20/24</formula>
    </cfRule>
    <cfRule type="expression" dxfId="5877" priority="160">
      <formula>AND(Y$9&gt;=14/24,Y$9&lt;20/24)</formula>
    </cfRule>
    <cfRule type="expression" dxfId="5876" priority="161">
      <formula>AND(Y$9&gt;=8/24,Y$9&lt;14/24)</formula>
    </cfRule>
    <cfRule type="expression" dxfId="5875" priority="162">
      <formula>Y$9&lt;8/24</formula>
    </cfRule>
  </conditionalFormatting>
  <conditionalFormatting sqref="R83:S89 B82:Q89">
    <cfRule type="expression" dxfId="5874" priority="127">
      <formula>B$9&gt;=20/24</formula>
    </cfRule>
    <cfRule type="expression" dxfId="5873" priority="128">
      <formula>AND(B$9&gt;=14/24,B$9&lt;20/24)</formula>
    </cfRule>
    <cfRule type="expression" dxfId="5872" priority="129">
      <formula>AND(B$9&gt;=8/24,B$9&lt;14/24)</formula>
    </cfRule>
    <cfRule type="expression" dxfId="5871" priority="130">
      <formula>B$9&lt;8/24</formula>
    </cfRule>
  </conditionalFormatting>
  <conditionalFormatting sqref="R42:X42">
    <cfRule type="expression" dxfId="5870" priority="151">
      <formula>R$9&gt;=20/24</formula>
    </cfRule>
    <cfRule type="expression" dxfId="5869" priority="152">
      <formula>AND(R$9&gt;=14/24,R$9&lt;20/24)</formula>
    </cfRule>
    <cfRule type="expression" dxfId="5868" priority="153">
      <formula>AND(R$9&gt;=8/24,R$9&lt;14/24)</formula>
    </cfRule>
    <cfRule type="expression" dxfId="5867" priority="154">
      <formula>R$9&lt;8/24</formula>
    </cfRule>
  </conditionalFormatting>
  <conditionalFormatting sqref="B42:K42 R42:AF42">
    <cfRule type="expression" dxfId="5866" priority="150">
      <formula>B42&gt;$AG42</formula>
    </cfRule>
  </conditionalFormatting>
  <conditionalFormatting sqref="A42">
    <cfRule type="expression" dxfId="5865" priority="149">
      <formula>$AH42=0</formula>
    </cfRule>
  </conditionalFormatting>
  <conditionalFormatting sqref="B77:AF77">
    <cfRule type="expression" dxfId="5864" priority="145">
      <formula>B$9&gt;=20/24</formula>
    </cfRule>
    <cfRule type="expression" dxfId="5863" priority="146">
      <formula>AND(B$9&gt;=14/24,B$9&lt;20/24)</formula>
    </cfRule>
    <cfRule type="expression" dxfId="5862" priority="147">
      <formula>AND(B$9&gt;=8/24,B$9&lt;14/24)</formula>
    </cfRule>
    <cfRule type="expression" dxfId="5861" priority="148">
      <formula>B$9&lt;8/24</formula>
    </cfRule>
  </conditionalFormatting>
  <conditionalFormatting sqref="A77">
    <cfRule type="expression" dxfId="5860" priority="144">
      <formula>$AH77=0</formula>
    </cfRule>
  </conditionalFormatting>
  <conditionalFormatting sqref="B71:AG71">
    <cfRule type="expression" dxfId="5859" priority="140">
      <formula>B$9&gt;=20/24</formula>
    </cfRule>
    <cfRule type="expression" dxfId="5858" priority="141">
      <formula>AND(B$9&gt;=14/24,B$9&lt;20/24)</formula>
    </cfRule>
    <cfRule type="expression" dxfId="5857" priority="142">
      <formula>AND(B$9&gt;=8/24,B$9&lt;14/24)</formula>
    </cfRule>
    <cfRule type="expression" dxfId="5856" priority="143">
      <formula>B$9&lt;8/24</formula>
    </cfRule>
  </conditionalFormatting>
  <conditionalFormatting sqref="A71">
    <cfRule type="expression" dxfId="5855" priority="139">
      <formula>$AH71=0</formula>
    </cfRule>
  </conditionalFormatting>
  <conditionalFormatting sqref="AL32:AL33 AL7:AL30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T58:V65">
    <cfRule type="expression" dxfId="5854" priority="135">
      <formula>T$9&gt;=20/24</formula>
    </cfRule>
    <cfRule type="expression" dxfId="5853" priority="136">
      <formula>AND(T$9&gt;=14/24,T$9&lt;20/24)</formula>
    </cfRule>
    <cfRule type="expression" dxfId="5852" priority="137">
      <formula>AND(T$9&gt;=8/24,T$9&lt;14/24)</formula>
    </cfRule>
    <cfRule type="expression" dxfId="5851" priority="138">
      <formula>T$9&lt;8/24</formula>
    </cfRule>
  </conditionalFormatting>
  <conditionalFormatting sqref="T83:T89">
    <cfRule type="expression" dxfId="5850" priority="131">
      <formula>T$9&gt;=20/24</formula>
    </cfRule>
    <cfRule type="expression" dxfId="5849" priority="132">
      <formula>AND(T$9&gt;=14/24,T$9&lt;20/24)</formula>
    </cfRule>
    <cfRule type="expression" dxfId="5848" priority="133">
      <formula>AND(T$9&gt;=8/24,T$9&lt;14/24)</formula>
    </cfRule>
    <cfRule type="expression" dxfId="5847" priority="134">
      <formula>T$9&lt;8/24</formula>
    </cfRule>
  </conditionalFormatting>
  <conditionalFormatting sqref="R82:S82">
    <cfRule type="expression" dxfId="5846" priority="123">
      <formula>R$9&gt;=20/24</formula>
    </cfRule>
    <cfRule type="expression" dxfId="5845" priority="124">
      <formula>AND(R$9&gt;=14/24,R$9&lt;20/24)</formula>
    </cfRule>
    <cfRule type="expression" dxfId="5844" priority="125">
      <formula>AND(R$9&gt;=8/24,R$9&lt;14/24)</formula>
    </cfRule>
    <cfRule type="expression" dxfId="5843" priority="126">
      <formula>R$9&lt;8/24</formula>
    </cfRule>
  </conditionalFormatting>
  <conditionalFormatting sqref="B92:E92 B93:Q95">
    <cfRule type="expression" dxfId="5842" priority="119">
      <formula>B$9&gt;=20/24</formula>
    </cfRule>
    <cfRule type="expression" dxfId="5841" priority="120">
      <formula>AND(B$9&gt;=14/24,B$9&lt;20/24)</formula>
    </cfRule>
    <cfRule type="expression" dxfId="5840" priority="121">
      <formula>AND(B$9&gt;=8/24,B$9&lt;14/24)</formula>
    </cfRule>
    <cfRule type="expression" dxfId="5839" priority="122">
      <formula>B$9&lt;8/24</formula>
    </cfRule>
  </conditionalFormatting>
  <conditionalFormatting sqref="T92">
    <cfRule type="expression" dxfId="5838" priority="87">
      <formula>T$9&gt;=20/24</formula>
    </cfRule>
    <cfRule type="expression" dxfId="5837" priority="88">
      <formula>AND(T$9&gt;=14/24,T$9&lt;20/24)</formula>
    </cfRule>
    <cfRule type="expression" dxfId="5836" priority="89">
      <formula>AND(T$9&gt;=8/24,T$9&lt;14/24)</formula>
    </cfRule>
    <cfRule type="expression" dxfId="5835" priority="90">
      <formula>T$9&lt;8/24</formula>
    </cfRule>
  </conditionalFormatting>
  <conditionalFormatting sqref="R92:S95">
    <cfRule type="expression" dxfId="5834" priority="111">
      <formula>R$9&gt;=20/24</formula>
    </cfRule>
    <cfRule type="expression" dxfId="5833" priority="112">
      <formula>AND(R$9&gt;=14/24,R$9&lt;20/24)</formula>
    </cfRule>
    <cfRule type="expression" dxfId="5832" priority="113">
      <formula>AND(R$9&gt;=8/24,R$9&lt;14/24)</formula>
    </cfRule>
    <cfRule type="expression" dxfId="5831" priority="114">
      <formula>R$9&lt;8/24</formula>
    </cfRule>
  </conditionalFormatting>
  <conditionalFormatting sqref="B96:Q96">
    <cfRule type="expression" dxfId="5830" priority="107">
      <formula>B$9&gt;=20/24</formula>
    </cfRule>
    <cfRule type="expression" dxfId="5829" priority="108">
      <formula>AND(B$9&gt;=14/24,B$9&lt;20/24)</formula>
    </cfRule>
    <cfRule type="expression" dxfId="5828" priority="109">
      <formula>AND(B$9&gt;=8/24,B$9&lt;14/24)</formula>
    </cfRule>
    <cfRule type="expression" dxfId="5827" priority="110">
      <formula>B$9&lt;8/24</formula>
    </cfRule>
  </conditionalFormatting>
  <conditionalFormatting sqref="T97 W97:Z97">
    <cfRule type="expression" dxfId="5826" priority="75">
      <formula>T$9&gt;=20/24</formula>
    </cfRule>
    <cfRule type="expression" dxfId="5825" priority="76">
      <formula>AND(T$9&gt;=14/24,T$9&lt;20/24)</formula>
    </cfRule>
    <cfRule type="expression" dxfId="5824" priority="77">
      <formula>AND(T$9&gt;=8/24,T$9&lt;14/24)</formula>
    </cfRule>
    <cfRule type="expression" dxfId="5823" priority="78">
      <formula>T$9&lt;8/24</formula>
    </cfRule>
  </conditionalFormatting>
  <conditionalFormatting sqref="R96:S96">
    <cfRule type="expression" dxfId="5822" priority="99">
      <formula>R$9&gt;=20/24</formula>
    </cfRule>
    <cfRule type="expression" dxfId="5821" priority="100">
      <formula>AND(R$9&gt;=14/24,R$9&lt;20/24)</formula>
    </cfRule>
    <cfRule type="expression" dxfId="5820" priority="101">
      <formula>AND(R$9&gt;=8/24,R$9&lt;14/24)</formula>
    </cfRule>
    <cfRule type="expression" dxfId="5819" priority="102">
      <formula>R$9&lt;8/24</formula>
    </cfRule>
  </conditionalFormatting>
  <conditionalFormatting sqref="F92:Q92">
    <cfRule type="expression" dxfId="5818" priority="91">
      <formula>F$9&gt;=20/24</formula>
    </cfRule>
    <cfRule type="expression" dxfId="5817" priority="92">
      <formula>AND(F$9&gt;=14/24,F$9&lt;20/24)</formula>
    </cfRule>
    <cfRule type="expression" dxfId="5816" priority="93">
      <formula>AND(F$9&gt;=8/24,F$9&lt;14/24)</formula>
    </cfRule>
    <cfRule type="expression" dxfId="5815" priority="94">
      <formula>F$9&lt;8/24</formula>
    </cfRule>
  </conditionalFormatting>
  <conditionalFormatting sqref="R92:S92">
    <cfRule type="expression" dxfId="5814" priority="83">
      <formula>R$9&gt;=20/24</formula>
    </cfRule>
    <cfRule type="expression" dxfId="5813" priority="84">
      <formula>AND(R$9&gt;=14/24,R$9&lt;20/24)</formula>
    </cfRule>
    <cfRule type="expression" dxfId="5812" priority="85">
      <formula>AND(R$9&gt;=8/24,R$9&lt;14/24)</formula>
    </cfRule>
    <cfRule type="expression" dxfId="5811" priority="86">
      <formula>R$9&lt;8/24</formula>
    </cfRule>
  </conditionalFormatting>
  <conditionalFormatting sqref="AA97:AF97">
    <cfRule type="expression" dxfId="5810" priority="79">
      <formula>AA$9&gt;=20/24</formula>
    </cfRule>
    <cfRule type="expression" dxfId="5809" priority="80">
      <formula>AND(AA$9&gt;=14/24,AA$9&lt;20/24)</formula>
    </cfRule>
    <cfRule type="expression" dxfId="5808" priority="81">
      <formula>AND(AA$9&gt;=8/24,AA$9&lt;14/24)</formula>
    </cfRule>
    <cfRule type="expression" dxfId="5807" priority="82">
      <formula>AA$9&lt;8/24</formula>
    </cfRule>
  </conditionalFormatting>
  <conditionalFormatting sqref="A97">
    <cfRule type="expression" dxfId="5806" priority="74">
      <formula>$AH97=0</formula>
    </cfRule>
  </conditionalFormatting>
  <conditionalFormatting sqref="B97:Q97">
    <cfRule type="expression" dxfId="5805" priority="70">
      <formula>B$9&gt;=20/24</formula>
    </cfRule>
    <cfRule type="expression" dxfId="5804" priority="71">
      <formula>AND(B$9&gt;=14/24,B$9&lt;20/24)</formula>
    </cfRule>
    <cfRule type="expression" dxfId="5803" priority="72">
      <formula>AND(B$9&gt;=8/24,B$9&lt;14/24)</formula>
    </cfRule>
    <cfRule type="expression" dxfId="5802" priority="73">
      <formula>B$9&lt;8/24</formula>
    </cfRule>
  </conditionalFormatting>
  <conditionalFormatting sqref="R97:S97">
    <cfRule type="expression" dxfId="5801" priority="62">
      <formula>R$9&gt;=20/24</formula>
    </cfRule>
    <cfRule type="expression" dxfId="5800" priority="63">
      <formula>AND(R$9&gt;=14/24,R$9&lt;20/24)</formula>
    </cfRule>
    <cfRule type="expression" dxfId="5799" priority="64">
      <formula>AND(R$9&gt;=8/24,R$9&lt;14/24)</formula>
    </cfRule>
    <cfRule type="expression" dxfId="5798" priority="65">
      <formula>R$9&lt;8/24</formula>
    </cfRule>
  </conditionalFormatting>
  <conditionalFormatting sqref="R12:AD15">
    <cfRule type="expression" dxfId="5797" priority="58">
      <formula>R$9&gt;=20/24</formula>
    </cfRule>
    <cfRule type="expression" dxfId="5796" priority="59">
      <formula>AND(R$9&gt;=14/24,R$9&lt;20/24)</formula>
    </cfRule>
    <cfRule type="expression" dxfId="5795" priority="60">
      <formula>AND(R$9&gt;=8/24,R$9&lt;14/24)</formula>
    </cfRule>
    <cfRule type="expression" dxfId="5794" priority="61">
      <formula>R$9&lt;8/24</formula>
    </cfRule>
  </conditionalFormatting>
  <conditionalFormatting sqref="R16:AD16">
    <cfRule type="expression" dxfId="5793" priority="54">
      <formula>R$9&gt;=20/24</formula>
    </cfRule>
    <cfRule type="expression" dxfId="5792" priority="55">
      <formula>AND(R$9&gt;=14/24,R$9&lt;20/24)</formula>
    </cfRule>
    <cfRule type="expression" dxfId="5791" priority="56">
      <formula>AND(R$9&gt;=8/24,R$9&lt;14/24)</formula>
    </cfRule>
    <cfRule type="expression" dxfId="5790" priority="57">
      <formula>R$9&lt;8/24</formula>
    </cfRule>
  </conditionalFormatting>
  <conditionalFormatting sqref="R12:AD12">
    <cfRule type="expression" dxfId="5789" priority="50">
      <formula>R$9&gt;=20/24</formula>
    </cfRule>
    <cfRule type="expression" dxfId="5788" priority="51">
      <formula>AND(R$9&gt;=14/24,R$9&lt;20/24)</formula>
    </cfRule>
    <cfRule type="expression" dxfId="5787" priority="52">
      <formula>AND(R$9&gt;=8/24,R$9&lt;14/24)</formula>
    </cfRule>
    <cfRule type="expression" dxfId="5786" priority="53">
      <formula>R$9&lt;8/24</formula>
    </cfRule>
  </conditionalFormatting>
  <conditionalFormatting sqref="AA56:AD57">
    <cfRule type="expression" dxfId="5785" priority="46">
      <formula>AA$9&gt;=20/24</formula>
    </cfRule>
    <cfRule type="expression" dxfId="5784" priority="47">
      <formula>AND(AA$9&gt;=14/24,AA$9&lt;20/24)</formula>
    </cfRule>
    <cfRule type="expression" dxfId="5783" priority="48">
      <formula>AND(AA$9&gt;=8/24,AA$9&lt;14/24)</formula>
    </cfRule>
    <cfRule type="expression" dxfId="5782" priority="49">
      <formula>AA$9&lt;8/24</formula>
    </cfRule>
  </conditionalFormatting>
  <conditionalFormatting sqref="W83:W89">
    <cfRule type="expression" dxfId="5781" priority="1">
      <formula>W$9&gt;=20/24</formula>
    </cfRule>
    <cfRule type="expression" dxfId="5780" priority="2">
      <formula>AND(W$9&gt;=14/24,W$9&lt;20/24)</formula>
    </cfRule>
    <cfRule type="expression" dxfId="5779" priority="3">
      <formula>AND(W$9&gt;=8/24,W$9&lt;14/24)</formula>
    </cfRule>
    <cfRule type="expression" dxfId="5778" priority="4">
      <formula>W$9&lt;8/24</formula>
    </cfRule>
  </conditionalFormatting>
  <conditionalFormatting sqref="L11:L35 M11:Q24 R28:R34 S28:S33 M26:Q35 B27:K27 R27:AF27">
    <cfRule type="expression" dxfId="5777" priority="35">
      <formula>B$9&gt;=20/24</formula>
    </cfRule>
    <cfRule type="expression" dxfId="5776" priority="36">
      <formula>AND(B$9&gt;=14/24,B$9&lt;20/24)</formula>
    </cfRule>
    <cfRule type="expression" dxfId="5775" priority="37">
      <formula>AND(B$9&gt;=8/24,B$9&lt;14/24)</formula>
    </cfRule>
    <cfRule type="expression" dxfId="5774" priority="38">
      <formula>B$9&lt;8/24</formula>
    </cfRule>
  </conditionalFormatting>
  <conditionalFormatting sqref="L11:L35 M11:Q24 R28:R34 S28:S33 M26:Q35 B27:K27 R27:AF27">
    <cfRule type="expression" dxfId="5773" priority="34">
      <formula>B11&gt;$AG11</formula>
    </cfRule>
  </conditionalFormatting>
  <conditionalFormatting sqref="L37:Q47 Q48 R44:R48 S46:V46">
    <cfRule type="expression" dxfId="5772" priority="30">
      <formula>L$9&gt;=20/24</formula>
    </cfRule>
    <cfRule type="expression" dxfId="5771" priority="31">
      <formula>AND(L$9&gt;=14/24,L$9&lt;20/24)</formula>
    </cfRule>
    <cfRule type="expression" dxfId="5770" priority="32">
      <formula>AND(L$9&gt;=8/24,L$9&lt;14/24)</formula>
    </cfRule>
    <cfRule type="expression" dxfId="5769" priority="33">
      <formula>L$9&lt;8/24</formula>
    </cfRule>
  </conditionalFormatting>
  <conditionalFormatting sqref="L37:Q47 Q48 R44:R48 S46:V46">
    <cfRule type="expression" dxfId="5768" priority="29">
      <formula>L37&gt;$AG37</formula>
    </cfRule>
  </conditionalFormatting>
  <conditionalFormatting sqref="U83:V89">
    <cfRule type="expression" dxfId="5767" priority="25">
      <formula>U$9&gt;=20/24</formula>
    </cfRule>
    <cfRule type="expression" dxfId="5766" priority="26">
      <formula>AND(U$9&gt;=14/24,U$9&lt;20/24)</formula>
    </cfRule>
    <cfRule type="expression" dxfId="5765" priority="27">
      <formula>AND(U$9&gt;=8/24,U$9&lt;14/24)</formula>
    </cfRule>
    <cfRule type="expression" dxfId="5764" priority="28">
      <formula>U$9&lt;8/24</formula>
    </cfRule>
  </conditionalFormatting>
  <conditionalFormatting sqref="U82:V82">
    <cfRule type="expression" dxfId="5763" priority="21">
      <formula>U$9&gt;=20/24</formula>
    </cfRule>
    <cfRule type="expression" dxfId="5762" priority="22">
      <formula>AND(U$9&gt;=14/24,U$9&lt;20/24)</formula>
    </cfRule>
    <cfRule type="expression" dxfId="5761" priority="23">
      <formula>AND(U$9&gt;=8/24,U$9&lt;14/24)</formula>
    </cfRule>
    <cfRule type="expression" dxfId="5760" priority="24">
      <formula>U$9&lt;8/24</formula>
    </cfRule>
  </conditionalFormatting>
  <conditionalFormatting sqref="U92:V95">
    <cfRule type="expression" dxfId="5759" priority="17">
      <formula>U$9&gt;=20/24</formula>
    </cfRule>
    <cfRule type="expression" dxfId="5758" priority="18">
      <formula>AND(U$9&gt;=14/24,U$9&lt;20/24)</formula>
    </cfRule>
    <cfRule type="expression" dxfId="5757" priority="19">
      <formula>AND(U$9&gt;=8/24,U$9&lt;14/24)</formula>
    </cfRule>
    <cfRule type="expression" dxfId="5756" priority="20">
      <formula>U$9&lt;8/24</formula>
    </cfRule>
  </conditionalFormatting>
  <conditionalFormatting sqref="U96:V96">
    <cfRule type="expression" dxfId="5755" priority="13">
      <formula>U$9&gt;=20/24</formula>
    </cfRule>
    <cfRule type="expression" dxfId="5754" priority="14">
      <formula>AND(U$9&gt;=14/24,U$9&lt;20/24)</formula>
    </cfRule>
    <cfRule type="expression" dxfId="5753" priority="15">
      <formula>AND(U$9&gt;=8/24,U$9&lt;14/24)</formula>
    </cfRule>
    <cfRule type="expression" dxfId="5752" priority="16">
      <formula>U$9&lt;8/24</formula>
    </cfRule>
  </conditionalFormatting>
  <conditionalFormatting sqref="U92:V92">
    <cfRule type="expression" dxfId="5751" priority="9">
      <formula>U$9&gt;=20/24</formula>
    </cfRule>
    <cfRule type="expression" dxfId="5750" priority="10">
      <formula>AND(U$9&gt;=14/24,U$9&lt;20/24)</formula>
    </cfRule>
    <cfRule type="expression" dxfId="5749" priority="11">
      <formula>AND(U$9&gt;=8/24,U$9&lt;14/24)</formula>
    </cfRule>
    <cfRule type="expression" dxfId="5748" priority="12">
      <formula>U$9&lt;8/24</formula>
    </cfRule>
  </conditionalFormatting>
  <conditionalFormatting sqref="U97:V97">
    <cfRule type="expression" dxfId="5747" priority="5">
      <formula>U$9&gt;=20/24</formula>
    </cfRule>
    <cfRule type="expression" dxfId="5746" priority="6">
      <formula>AND(U$9&gt;=14/24,U$9&lt;20/24)</formula>
    </cfRule>
    <cfRule type="expression" dxfId="5745" priority="7">
      <formula>AND(U$9&gt;=8/24,U$9&lt;14/24)</formula>
    </cfRule>
    <cfRule type="expression" dxfId="5744" priority="8">
      <formula>U$9&lt;8/24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9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R72" sqref="R72:AF7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1" width="6" bestFit="1" customWidth="1"/>
    <col min="12" max="12" width="6.42578125" bestFit="1" customWidth="1"/>
    <col min="13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AG36</f>
        <v>1431.83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AG50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2078/07/16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("&amp;ROUND(B214,0)&amp;" MW)"&amp;"    IPP   = "&amp;ROUND(B209,0)&amp;" MW     NEA RoR = "&amp;ROUND(B210,0)&amp;" MWImport   = "&amp;ROUND(B212,0)&amp;" MW      KL1+KL2+K3 = "&amp;ROUND(B211,0) &amp;" MW    EXPORT = "&amp;ROUND(B213,0)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AG54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B66</f>
        <v>-15.7</v>
      </c>
      <c r="C5" s="32">
        <f t="shared" ref="C5:AF5" si="0">C66</f>
        <v>-28</v>
      </c>
      <c r="D5" s="32">
        <f t="shared" si="0"/>
        <v>-12</v>
      </c>
      <c r="E5" s="32">
        <f t="shared" si="0"/>
        <v>0</v>
      </c>
      <c r="F5" s="32">
        <f t="shared" si="0"/>
        <v>-15</v>
      </c>
      <c r="G5" s="32">
        <f t="shared" si="0"/>
        <v>-18</v>
      </c>
      <c r="H5" s="32">
        <f t="shared" si="0"/>
        <v>-6</v>
      </c>
      <c r="I5" s="32">
        <f t="shared" si="0"/>
        <v>-7</v>
      </c>
      <c r="J5" s="32">
        <f t="shared" si="0"/>
        <v>-6</v>
      </c>
      <c r="K5" s="32">
        <f t="shared" si="0"/>
        <v>-15</v>
      </c>
      <c r="L5" s="32">
        <f t="shared" si="0"/>
        <v>-14.8</v>
      </c>
      <c r="M5" s="32">
        <f t="shared" si="0"/>
        <v>-35.299999999999997</v>
      </c>
      <c r="N5" s="32">
        <f t="shared" si="0"/>
        <v>-9.6</v>
      </c>
      <c r="O5" s="32">
        <f t="shared" si="0"/>
        <v>-47.8</v>
      </c>
      <c r="P5" s="32">
        <f t="shared" si="0"/>
        <v>-12</v>
      </c>
      <c r="Q5" s="32">
        <f t="shared" si="0"/>
        <v>-23.1</v>
      </c>
      <c r="R5" s="32">
        <f t="shared" si="0"/>
        <v>-14</v>
      </c>
      <c r="S5" s="32">
        <f t="shared" si="0"/>
        <v>-31</v>
      </c>
      <c r="T5" s="32">
        <f t="shared" si="0"/>
        <v>-18</v>
      </c>
      <c r="U5" s="32">
        <f t="shared" si="0"/>
        <v>-19.600000000000001</v>
      </c>
      <c r="V5" s="32">
        <f t="shared" si="0"/>
        <v>-30.2</v>
      </c>
      <c r="W5" s="32">
        <f t="shared" si="0"/>
        <v>-5</v>
      </c>
      <c r="X5" s="32">
        <f t="shared" si="0"/>
        <v>-32.200000000000003</v>
      </c>
      <c r="Y5" s="32">
        <f t="shared" si="0"/>
        <v>-38.200000000000003</v>
      </c>
      <c r="Z5" s="32">
        <f t="shared" si="0"/>
        <v>-22</v>
      </c>
      <c r="AA5" s="32">
        <f t="shared" si="0"/>
        <v>-22.1</v>
      </c>
      <c r="AB5" s="32">
        <f t="shared" si="0"/>
        <v>-21.8</v>
      </c>
      <c r="AC5" s="32">
        <f t="shared" si="0"/>
        <v>-23.4</v>
      </c>
      <c r="AD5" s="32">
        <f t="shared" si="0"/>
        <v>-32.200000000000003</v>
      </c>
      <c r="AE5" s="32">
        <f t="shared" si="0"/>
        <v>-22.7</v>
      </c>
      <c r="AF5" s="32">
        <f t="shared" si="0"/>
        <v>-33.5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"&amp;ROUND(B214,0)&amp;"MW at "&amp;TRUNC(B215*24,0)&amp;":"&amp;ROUND((B215*24-TRUNC(B215*24,0))*60,0)&amp;"hr at "&amp;ROUND(B216,1)&amp;"Hz     "&amp;A206&amp;" "&amp;ROUND(B206,0)&amp;"MW at "&amp;TRUNC(C206*24,0)&amp;":"&amp;ROUND((C206*24-TRUNC(C206*24,0))*6,0)&amp;"0hr"</f>
        <v>Evening Peak 0MW at 0:0hr at 0Hz     Morning Peak 1190MW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2027.74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Load=773</v>
      </c>
      <c r="B7" s="37">
        <f t="shared" ref="B7:AF7" si="1">B73</f>
        <v>815.74</v>
      </c>
      <c r="C7" s="37">
        <f t="shared" si="1"/>
        <v>773.44</v>
      </c>
      <c r="D7" s="37">
        <f t="shared" si="1"/>
        <v>789.44</v>
      </c>
      <c r="E7" s="37">
        <f t="shared" si="1"/>
        <v>823.14</v>
      </c>
      <c r="F7" s="37">
        <f t="shared" si="1"/>
        <v>868.14</v>
      </c>
      <c r="G7" s="37">
        <f t="shared" si="1"/>
        <v>918.14</v>
      </c>
      <c r="H7" s="37">
        <f t="shared" si="1"/>
        <v>980.64</v>
      </c>
      <c r="I7" s="37">
        <f t="shared" si="1"/>
        <v>1074.04</v>
      </c>
      <c r="J7" s="37">
        <f t="shared" si="1"/>
        <v>1165.94</v>
      </c>
      <c r="K7" s="37">
        <f t="shared" si="1"/>
        <v>1182.04</v>
      </c>
      <c r="L7" s="37">
        <f>L73</f>
        <v>1190.44</v>
      </c>
      <c r="M7" s="37">
        <f t="shared" si="1"/>
        <v>1142.8400000000001</v>
      </c>
      <c r="N7" s="37">
        <f t="shared" si="1"/>
        <v>1139.8400000000001</v>
      </c>
      <c r="O7" s="37">
        <f t="shared" si="1"/>
        <v>1088.3400000000001</v>
      </c>
      <c r="P7" s="37">
        <f t="shared" si="1"/>
        <v>1065.6400000000001</v>
      </c>
      <c r="Q7" s="37">
        <f t="shared" si="1"/>
        <v>1048.94</v>
      </c>
      <c r="R7" s="37">
        <f t="shared" si="1"/>
        <v>1048.0400000000002</v>
      </c>
      <c r="S7" s="37">
        <f t="shared" si="1"/>
        <v>1031.0400000000002</v>
      </c>
      <c r="T7" s="37">
        <f t="shared" si="1"/>
        <v>1127.8400000000001</v>
      </c>
      <c r="U7" s="37">
        <f t="shared" si="1"/>
        <v>1169.24</v>
      </c>
      <c r="V7" s="37">
        <f t="shared" si="1"/>
        <v>1282.94</v>
      </c>
      <c r="W7" s="37">
        <f t="shared" si="1"/>
        <v>1425.14</v>
      </c>
      <c r="X7" s="37">
        <f t="shared" si="1"/>
        <v>1366.44</v>
      </c>
      <c r="Y7" s="37">
        <f t="shared" si="1"/>
        <v>1307.94</v>
      </c>
      <c r="Z7" s="37">
        <f t="shared" si="1"/>
        <v>1225.6400000000001</v>
      </c>
      <c r="AA7" s="37">
        <f t="shared" si="1"/>
        <v>1199.94</v>
      </c>
      <c r="AB7" s="37">
        <f t="shared" si="1"/>
        <v>1139.1399999999999</v>
      </c>
      <c r="AC7" s="37">
        <f t="shared" si="1"/>
        <v>1072.74</v>
      </c>
      <c r="AD7" s="37">
        <f t="shared" si="1"/>
        <v>963.44</v>
      </c>
      <c r="AE7" s="37">
        <f t="shared" si="1"/>
        <v>893.74</v>
      </c>
      <c r="AF7" s="37">
        <f t="shared" si="1"/>
        <v>882.94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70</v>
      </c>
      <c r="D11" s="49">
        <v>70</v>
      </c>
      <c r="E11" s="49">
        <v>70</v>
      </c>
      <c r="F11" s="49">
        <v>120</v>
      </c>
      <c r="G11" s="49">
        <v>150</v>
      </c>
      <c r="H11" s="49">
        <v>170</v>
      </c>
      <c r="I11" s="49">
        <v>180</v>
      </c>
      <c r="J11" s="49">
        <v>200</v>
      </c>
      <c r="K11" s="49">
        <v>200</v>
      </c>
      <c r="L11" s="50">
        <v>210</v>
      </c>
      <c r="M11" s="50">
        <v>180</v>
      </c>
      <c r="N11" s="50">
        <v>180</v>
      </c>
      <c r="O11" s="50">
        <v>180</v>
      </c>
      <c r="P11" s="50">
        <v>160</v>
      </c>
      <c r="Q11" s="50">
        <v>160</v>
      </c>
      <c r="R11" s="50">
        <v>130</v>
      </c>
      <c r="S11" s="50">
        <v>130</v>
      </c>
      <c r="T11" s="50">
        <v>150</v>
      </c>
      <c r="U11" s="50">
        <v>185</v>
      </c>
      <c r="V11" s="50">
        <v>300</v>
      </c>
      <c r="W11" s="52">
        <v>340</v>
      </c>
      <c r="X11" s="50">
        <v>300</v>
      </c>
      <c r="Y11" s="50">
        <v>290</v>
      </c>
      <c r="Z11" s="50">
        <v>250</v>
      </c>
      <c r="AA11" s="54">
        <v>220</v>
      </c>
      <c r="AB11" s="54">
        <v>180</v>
      </c>
      <c r="AC11" s="54">
        <v>130</v>
      </c>
      <c r="AD11" s="54">
        <v>110</v>
      </c>
      <c r="AE11" s="49">
        <v>110</v>
      </c>
      <c r="AF11" s="49">
        <v>110</v>
      </c>
      <c r="AG11" s="55">
        <v>456</v>
      </c>
      <c r="AH11" s="56">
        <f>MAX(B11:AF11)</f>
        <v>340</v>
      </c>
      <c r="AI11" s="57">
        <f>MIN(B11:AF11)</f>
        <v>70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49">
        <v>50</v>
      </c>
      <c r="T12" s="49">
        <v>50</v>
      </c>
      <c r="U12" s="49">
        <v>50</v>
      </c>
      <c r="V12" s="49">
        <v>50</v>
      </c>
      <c r="W12" s="60">
        <v>60</v>
      </c>
      <c r="X12" s="49">
        <v>60</v>
      </c>
      <c r="Y12" s="49">
        <v>60</v>
      </c>
      <c r="Z12" s="49">
        <v>60</v>
      </c>
      <c r="AA12" s="50">
        <v>60</v>
      </c>
      <c r="AB12" s="50">
        <v>60</v>
      </c>
      <c r="AC12" s="50">
        <v>60</v>
      </c>
      <c r="AD12" s="50">
        <v>40</v>
      </c>
      <c r="AE12" s="49">
        <v>40</v>
      </c>
      <c r="AF12" s="49">
        <v>40</v>
      </c>
      <c r="AG12" s="61">
        <v>60</v>
      </c>
      <c r="AH12" s="56">
        <f t="shared" ref="AH12:AH76" si="2">MAX(B12:AF12)</f>
        <v>60</v>
      </c>
      <c r="AI12" s="57">
        <f t="shared" ref="AI12:AI76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21</v>
      </c>
      <c r="B13" s="49">
        <v>25.2</v>
      </c>
      <c r="C13" s="49">
        <v>25.2</v>
      </c>
      <c r="D13" s="49">
        <v>25.2</v>
      </c>
      <c r="E13" s="49">
        <v>25.2</v>
      </c>
      <c r="F13" s="49">
        <v>25.2</v>
      </c>
      <c r="G13" s="49">
        <v>25.2</v>
      </c>
      <c r="H13" s="49">
        <v>25.2</v>
      </c>
      <c r="I13" s="49">
        <v>25.2</v>
      </c>
      <c r="J13" s="49">
        <v>25.2</v>
      </c>
      <c r="K13" s="49">
        <v>25.2</v>
      </c>
      <c r="L13" s="50">
        <v>25.2</v>
      </c>
      <c r="M13" s="50">
        <v>25.2</v>
      </c>
      <c r="N13" s="50">
        <v>25.2</v>
      </c>
      <c r="O13" s="50">
        <v>25.2</v>
      </c>
      <c r="P13" s="50">
        <v>25.2</v>
      </c>
      <c r="Q13" s="50">
        <v>25.2</v>
      </c>
      <c r="R13" s="50">
        <v>25.2</v>
      </c>
      <c r="S13" s="50">
        <v>25.2</v>
      </c>
      <c r="T13" s="50">
        <v>25.2</v>
      </c>
      <c r="U13" s="50">
        <v>25.2</v>
      </c>
      <c r="V13" s="50">
        <v>25.2</v>
      </c>
      <c r="W13" s="62">
        <v>0</v>
      </c>
      <c r="X13" s="50">
        <v>25.2</v>
      </c>
      <c r="Y13" s="50">
        <v>25.2</v>
      </c>
      <c r="Z13" s="50">
        <v>25.2</v>
      </c>
      <c r="AA13" s="50">
        <v>25.2</v>
      </c>
      <c r="AB13" s="50">
        <v>25.2</v>
      </c>
      <c r="AC13" s="50">
        <v>25.2</v>
      </c>
      <c r="AD13" s="50">
        <v>25.2</v>
      </c>
      <c r="AE13" s="49">
        <v>25.6</v>
      </c>
      <c r="AF13" s="49">
        <v>25.6</v>
      </c>
      <c r="AG13" s="61">
        <v>52.4</v>
      </c>
      <c r="AH13" s="56">
        <f t="shared" si="2"/>
        <v>25.6</v>
      </c>
      <c r="AI13" s="57">
        <f t="shared" si="3"/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22</v>
      </c>
      <c r="B14" s="63">
        <v>36.5</v>
      </c>
      <c r="C14" s="63">
        <v>36.5</v>
      </c>
      <c r="D14" s="63">
        <v>36.5</v>
      </c>
      <c r="E14" s="63">
        <v>36.5</v>
      </c>
      <c r="F14" s="63">
        <v>36.5</v>
      </c>
      <c r="G14" s="63">
        <v>36.5</v>
      </c>
      <c r="H14" s="63">
        <v>37</v>
      </c>
      <c r="I14" s="63">
        <v>37</v>
      </c>
      <c r="J14" s="63">
        <v>37</v>
      </c>
      <c r="K14" s="63">
        <v>37</v>
      </c>
      <c r="L14" s="50">
        <v>43</v>
      </c>
      <c r="M14" s="50">
        <v>43</v>
      </c>
      <c r="N14" s="50">
        <v>38</v>
      </c>
      <c r="O14" s="50">
        <v>38</v>
      </c>
      <c r="P14" s="50">
        <v>38</v>
      </c>
      <c r="Q14" s="50">
        <v>38</v>
      </c>
      <c r="R14" s="50">
        <v>38</v>
      </c>
      <c r="S14" s="50">
        <v>38</v>
      </c>
      <c r="T14" s="50">
        <v>37.9</v>
      </c>
      <c r="U14" s="50">
        <v>37.9</v>
      </c>
      <c r="V14" s="50">
        <v>37.9</v>
      </c>
      <c r="W14" s="62">
        <v>37.9</v>
      </c>
      <c r="X14" s="50">
        <v>45.9</v>
      </c>
      <c r="Y14" s="50">
        <v>45.9</v>
      </c>
      <c r="Z14" s="50">
        <v>45.9</v>
      </c>
      <c r="AA14" s="50">
        <v>45.9</v>
      </c>
      <c r="AB14" s="50">
        <v>45.9</v>
      </c>
      <c r="AC14" s="50">
        <v>41.8</v>
      </c>
      <c r="AD14" s="50">
        <v>41.8</v>
      </c>
      <c r="AE14" s="63">
        <v>37.700000000000003</v>
      </c>
      <c r="AF14" s="63">
        <v>37.700000000000003</v>
      </c>
      <c r="AG14" s="64">
        <v>45</v>
      </c>
      <c r="AH14" s="56">
        <f t="shared" si="2"/>
        <v>45.9</v>
      </c>
      <c r="AI14" s="57">
        <f t="shared" si="3"/>
        <v>36.5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23</v>
      </c>
      <c r="B15" s="49">
        <v>23</v>
      </c>
      <c r="C15" s="49">
        <v>23</v>
      </c>
      <c r="D15" s="49">
        <v>23</v>
      </c>
      <c r="E15" s="49">
        <v>23</v>
      </c>
      <c r="F15" s="49">
        <v>23</v>
      </c>
      <c r="G15" s="49">
        <v>23</v>
      </c>
      <c r="H15" s="49">
        <v>26</v>
      </c>
      <c r="I15" s="49">
        <v>26</v>
      </c>
      <c r="J15" s="49">
        <v>26</v>
      </c>
      <c r="K15" s="49">
        <v>26</v>
      </c>
      <c r="L15" s="50">
        <v>26</v>
      </c>
      <c r="M15" s="50">
        <v>26</v>
      </c>
      <c r="N15" s="50">
        <v>26</v>
      </c>
      <c r="O15" s="50">
        <v>26</v>
      </c>
      <c r="P15" s="50">
        <v>26</v>
      </c>
      <c r="Q15" s="50">
        <v>26</v>
      </c>
      <c r="R15" s="50">
        <v>26</v>
      </c>
      <c r="S15" s="50">
        <v>26</v>
      </c>
      <c r="T15" s="50">
        <v>26</v>
      </c>
      <c r="U15" s="50">
        <v>26</v>
      </c>
      <c r="V15" s="50">
        <v>26</v>
      </c>
      <c r="W15" s="65">
        <v>26</v>
      </c>
      <c r="X15" s="50">
        <v>26</v>
      </c>
      <c r="Y15" s="50">
        <v>26</v>
      </c>
      <c r="Z15" s="50">
        <v>26</v>
      </c>
      <c r="AA15" s="50">
        <v>26</v>
      </c>
      <c r="AB15" s="50">
        <v>26</v>
      </c>
      <c r="AC15" s="50">
        <v>26</v>
      </c>
      <c r="AD15" s="50">
        <v>26</v>
      </c>
      <c r="AE15" s="49">
        <v>26</v>
      </c>
      <c r="AF15" s="49">
        <v>26</v>
      </c>
      <c r="AG15" s="61">
        <v>45</v>
      </c>
      <c r="AH15" s="56">
        <f t="shared" si="2"/>
        <v>26</v>
      </c>
      <c r="AI15" s="57">
        <f t="shared" si="3"/>
        <v>23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24</v>
      </c>
      <c r="B16" s="49">
        <v>25</v>
      </c>
      <c r="C16" s="49">
        <v>25</v>
      </c>
      <c r="D16" s="49">
        <v>25</v>
      </c>
      <c r="E16" s="49">
        <v>25</v>
      </c>
      <c r="F16" s="49">
        <v>25</v>
      </c>
      <c r="G16" s="49">
        <v>25</v>
      </c>
      <c r="H16" s="49">
        <v>25</v>
      </c>
      <c r="I16" s="49">
        <v>25</v>
      </c>
      <c r="J16" s="49">
        <v>25</v>
      </c>
      <c r="K16" s="49">
        <v>25</v>
      </c>
      <c r="L16" s="50">
        <v>25</v>
      </c>
      <c r="M16" s="50">
        <v>25</v>
      </c>
      <c r="N16" s="50">
        <v>25</v>
      </c>
      <c r="O16" s="50">
        <v>25</v>
      </c>
      <c r="P16" s="50">
        <v>25</v>
      </c>
      <c r="Q16" s="50">
        <v>25</v>
      </c>
      <c r="R16" s="50">
        <v>25</v>
      </c>
      <c r="S16" s="50">
        <v>25</v>
      </c>
      <c r="T16" s="50">
        <v>25</v>
      </c>
      <c r="U16" s="50">
        <v>25</v>
      </c>
      <c r="V16" s="50">
        <v>25</v>
      </c>
      <c r="W16" s="62">
        <v>25</v>
      </c>
      <c r="X16" s="50">
        <v>25</v>
      </c>
      <c r="Y16" s="50">
        <v>25</v>
      </c>
      <c r="Z16" s="50">
        <v>25</v>
      </c>
      <c r="AA16" s="50">
        <v>25</v>
      </c>
      <c r="AB16" s="50">
        <v>25</v>
      </c>
      <c r="AC16" s="50">
        <v>25</v>
      </c>
      <c r="AD16" s="50">
        <v>25</v>
      </c>
      <c r="AE16" s="49">
        <v>20</v>
      </c>
      <c r="AF16" s="49">
        <v>20</v>
      </c>
      <c r="AG16" s="61">
        <v>42</v>
      </c>
      <c r="AH16" s="56">
        <f t="shared" si="2"/>
        <v>25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25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49">
        <v>20</v>
      </c>
      <c r="AF17" s="49">
        <v>20</v>
      </c>
      <c r="AG17" s="61">
        <v>36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26</v>
      </c>
      <c r="B18" s="49">
        <v>22.6</v>
      </c>
      <c r="C18" s="49">
        <v>22.6</v>
      </c>
      <c r="D18" s="49">
        <v>22.6</v>
      </c>
      <c r="E18" s="49">
        <v>22.6</v>
      </c>
      <c r="F18" s="49">
        <v>22.6</v>
      </c>
      <c r="G18" s="49">
        <v>22.6</v>
      </c>
      <c r="H18" s="49">
        <v>22.6</v>
      </c>
      <c r="I18" s="49">
        <v>22.6</v>
      </c>
      <c r="J18" s="49">
        <v>22.6</v>
      </c>
      <c r="K18" s="49">
        <v>22.6</v>
      </c>
      <c r="L18" s="50">
        <v>22.6</v>
      </c>
      <c r="M18" s="50">
        <v>25.4</v>
      </c>
      <c r="N18" s="50">
        <v>25.3</v>
      </c>
      <c r="O18" s="50">
        <v>22</v>
      </c>
      <c r="P18" s="50">
        <v>22</v>
      </c>
      <c r="Q18" s="50">
        <v>22.8</v>
      </c>
      <c r="R18" s="50">
        <v>22.8</v>
      </c>
      <c r="S18" s="50">
        <v>22.8</v>
      </c>
      <c r="T18" s="50">
        <v>22.8</v>
      </c>
      <c r="U18" s="50">
        <v>22.8</v>
      </c>
      <c r="V18" s="50">
        <v>22.8</v>
      </c>
      <c r="W18" s="50">
        <v>25.2</v>
      </c>
      <c r="X18" s="50">
        <v>22.8</v>
      </c>
      <c r="Y18" s="50">
        <v>22.8</v>
      </c>
      <c r="Z18" s="50">
        <v>22.8</v>
      </c>
      <c r="AA18" s="50">
        <v>22.8</v>
      </c>
      <c r="AB18" s="50">
        <v>22.8</v>
      </c>
      <c r="AC18" s="50">
        <v>22.8</v>
      </c>
      <c r="AD18" s="50">
        <v>22.8</v>
      </c>
      <c r="AE18" s="49">
        <v>20.5</v>
      </c>
      <c r="AF18" s="49">
        <v>20.5</v>
      </c>
      <c r="AG18" s="61">
        <v>30</v>
      </c>
      <c r="AH18" s="56">
        <f t="shared" si="2"/>
        <v>25.4</v>
      </c>
      <c r="AI18" s="57">
        <f t="shared" si="3"/>
        <v>20.5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27</v>
      </c>
      <c r="B19" s="49">
        <v>6.2</v>
      </c>
      <c r="C19" s="49">
        <v>6.2</v>
      </c>
      <c r="D19" s="49">
        <v>6.2</v>
      </c>
      <c r="E19" s="49">
        <v>6.2</v>
      </c>
      <c r="F19" s="49">
        <v>6.2</v>
      </c>
      <c r="G19" s="49">
        <v>6.2</v>
      </c>
      <c r="H19" s="49">
        <v>6.2</v>
      </c>
      <c r="I19" s="49">
        <v>6.2</v>
      </c>
      <c r="J19" s="49">
        <v>6.2</v>
      </c>
      <c r="K19" s="49">
        <v>6.2</v>
      </c>
      <c r="L19" s="50">
        <v>6.2</v>
      </c>
      <c r="M19" s="50">
        <v>6.2</v>
      </c>
      <c r="N19" s="50">
        <v>6.2</v>
      </c>
      <c r="O19" s="50">
        <v>6.2</v>
      </c>
      <c r="P19" s="50">
        <v>6.2</v>
      </c>
      <c r="Q19" s="50">
        <v>6.2</v>
      </c>
      <c r="R19" s="50">
        <v>6.2</v>
      </c>
      <c r="S19" s="50">
        <v>6.2</v>
      </c>
      <c r="T19" s="50">
        <v>6.2</v>
      </c>
      <c r="U19" s="50">
        <v>6.2</v>
      </c>
      <c r="V19" s="50">
        <v>6.2</v>
      </c>
      <c r="W19" s="50">
        <v>6.2</v>
      </c>
      <c r="X19" s="50">
        <v>6.2</v>
      </c>
      <c r="Y19" s="50">
        <v>6.2</v>
      </c>
      <c r="Z19" s="50">
        <v>6.2</v>
      </c>
      <c r="AA19" s="50">
        <v>6.2</v>
      </c>
      <c r="AB19" s="50">
        <v>6.2</v>
      </c>
      <c r="AC19" s="50">
        <v>6.2</v>
      </c>
      <c r="AD19" s="50">
        <v>6.2</v>
      </c>
      <c r="AE19" s="49">
        <v>6.2</v>
      </c>
      <c r="AF19" s="49">
        <v>6.2</v>
      </c>
      <c r="AG19" s="61">
        <v>27</v>
      </c>
      <c r="AH19" s="56">
        <f t="shared" si="2"/>
        <v>6.2</v>
      </c>
      <c r="AI19" s="57">
        <f t="shared" si="3"/>
        <v>6.2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28</v>
      </c>
      <c r="B20" s="49">
        <v>11</v>
      </c>
      <c r="C20" s="49">
        <v>11</v>
      </c>
      <c r="D20" s="49">
        <v>11</v>
      </c>
      <c r="E20" s="49">
        <v>11</v>
      </c>
      <c r="F20" s="49">
        <v>11</v>
      </c>
      <c r="G20" s="49">
        <v>11</v>
      </c>
      <c r="H20" s="49">
        <v>11</v>
      </c>
      <c r="I20" s="49">
        <v>11</v>
      </c>
      <c r="J20" s="49">
        <v>11</v>
      </c>
      <c r="K20" s="49">
        <v>11</v>
      </c>
      <c r="L20" s="50">
        <v>11</v>
      </c>
      <c r="M20" s="50">
        <v>11</v>
      </c>
      <c r="N20" s="50">
        <v>11</v>
      </c>
      <c r="O20" s="50">
        <v>11</v>
      </c>
      <c r="P20" s="50">
        <v>11</v>
      </c>
      <c r="Q20" s="50">
        <v>11</v>
      </c>
      <c r="R20" s="50">
        <v>11</v>
      </c>
      <c r="S20" s="50">
        <v>11</v>
      </c>
      <c r="T20" s="50">
        <v>11</v>
      </c>
      <c r="U20" s="50">
        <v>11</v>
      </c>
      <c r="V20" s="50">
        <v>11</v>
      </c>
      <c r="W20" s="50">
        <v>11</v>
      </c>
      <c r="X20" s="50">
        <v>11</v>
      </c>
      <c r="Y20" s="50">
        <v>11</v>
      </c>
      <c r="Z20" s="50">
        <v>11</v>
      </c>
      <c r="AA20" s="50">
        <v>11</v>
      </c>
      <c r="AB20" s="50">
        <v>11</v>
      </c>
      <c r="AC20" s="50">
        <v>11</v>
      </c>
      <c r="AD20" s="50">
        <v>11</v>
      </c>
      <c r="AE20" s="49">
        <v>11</v>
      </c>
      <c r="AF20" s="49">
        <v>11</v>
      </c>
      <c r="AG20" s="61">
        <v>25</v>
      </c>
      <c r="AH20" s="56">
        <f t="shared" si="2"/>
        <v>11</v>
      </c>
      <c r="AI20" s="57">
        <f t="shared" si="3"/>
        <v>11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29</v>
      </c>
      <c r="B21" s="49">
        <v>22</v>
      </c>
      <c r="C21" s="49">
        <v>22</v>
      </c>
      <c r="D21" s="49">
        <v>22</v>
      </c>
      <c r="E21" s="49">
        <v>22</v>
      </c>
      <c r="F21" s="49">
        <v>22</v>
      </c>
      <c r="G21" s="49">
        <v>22</v>
      </c>
      <c r="H21" s="49">
        <v>22</v>
      </c>
      <c r="I21" s="49">
        <v>22</v>
      </c>
      <c r="J21" s="49">
        <v>22</v>
      </c>
      <c r="K21" s="49">
        <v>22</v>
      </c>
      <c r="L21" s="50">
        <v>22</v>
      </c>
      <c r="M21" s="50">
        <v>22</v>
      </c>
      <c r="N21" s="50">
        <v>22</v>
      </c>
      <c r="O21" s="50">
        <v>22</v>
      </c>
      <c r="P21" s="50">
        <v>22</v>
      </c>
      <c r="Q21" s="50">
        <v>22</v>
      </c>
      <c r="R21" s="50">
        <v>22</v>
      </c>
      <c r="S21" s="50">
        <v>22</v>
      </c>
      <c r="T21" s="50">
        <v>22</v>
      </c>
      <c r="U21" s="50">
        <v>22</v>
      </c>
      <c r="V21" s="50">
        <v>22</v>
      </c>
      <c r="W21" s="50">
        <v>22</v>
      </c>
      <c r="X21" s="50">
        <v>22</v>
      </c>
      <c r="Y21" s="50">
        <v>22</v>
      </c>
      <c r="Z21" s="50">
        <v>22</v>
      </c>
      <c r="AA21" s="50">
        <v>22</v>
      </c>
      <c r="AB21" s="50">
        <v>22</v>
      </c>
      <c r="AC21" s="50">
        <v>22</v>
      </c>
      <c r="AD21" s="50">
        <v>22</v>
      </c>
      <c r="AE21" s="49">
        <v>18</v>
      </c>
      <c r="AF21" s="49">
        <v>18</v>
      </c>
      <c r="AG21" s="61">
        <v>25</v>
      </c>
      <c r="AH21" s="56">
        <f t="shared" si="2"/>
        <v>22</v>
      </c>
      <c r="AI21" s="57">
        <f t="shared" si="3"/>
        <v>18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30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22.1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49">
        <v>22</v>
      </c>
      <c r="AF22" s="49">
        <v>22</v>
      </c>
      <c r="AG22" s="61">
        <v>25</v>
      </c>
      <c r="AH22" s="56">
        <f t="shared" si="2"/>
        <v>22.1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31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49">
        <v>18</v>
      </c>
      <c r="AF23" s="49">
        <v>18</v>
      </c>
      <c r="AG23" s="61">
        <v>25</v>
      </c>
      <c r="AH23" s="56">
        <f t="shared" si="2"/>
        <v>22</v>
      </c>
      <c r="AI23" s="57">
        <f t="shared" si="3"/>
        <v>18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32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49">
        <v>18</v>
      </c>
      <c r="AF24" s="49">
        <v>18</v>
      </c>
      <c r="AG24" s="61">
        <v>24.2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33</v>
      </c>
      <c r="B25" s="49">
        <v>4</v>
      </c>
      <c r="C25" s="49">
        <v>4</v>
      </c>
      <c r="D25" s="49">
        <v>4</v>
      </c>
      <c r="E25" s="49">
        <v>4</v>
      </c>
      <c r="F25" s="49">
        <v>4</v>
      </c>
      <c r="G25" s="49">
        <v>4</v>
      </c>
      <c r="H25" s="49">
        <v>4</v>
      </c>
      <c r="I25" s="49">
        <v>4</v>
      </c>
      <c r="J25" s="49">
        <v>4</v>
      </c>
      <c r="K25" s="49">
        <v>4</v>
      </c>
      <c r="L25" s="50">
        <v>4</v>
      </c>
      <c r="M25" s="50">
        <v>4</v>
      </c>
      <c r="N25" s="50">
        <v>4</v>
      </c>
      <c r="O25" s="50">
        <v>4</v>
      </c>
      <c r="P25" s="50">
        <v>4</v>
      </c>
      <c r="Q25" s="50">
        <v>4</v>
      </c>
      <c r="R25" s="50">
        <v>4</v>
      </c>
      <c r="S25" s="50">
        <v>4</v>
      </c>
      <c r="T25" s="50">
        <v>4</v>
      </c>
      <c r="U25" s="50">
        <v>4</v>
      </c>
      <c r="V25" s="50">
        <v>4</v>
      </c>
      <c r="W25" s="50">
        <v>20</v>
      </c>
      <c r="X25" s="50">
        <v>4</v>
      </c>
      <c r="Y25" s="50">
        <v>4</v>
      </c>
      <c r="Z25" s="50">
        <v>4</v>
      </c>
      <c r="AA25" s="50">
        <v>4</v>
      </c>
      <c r="AB25" s="50">
        <v>4</v>
      </c>
      <c r="AC25" s="50">
        <v>4</v>
      </c>
      <c r="AD25" s="50">
        <v>4</v>
      </c>
      <c r="AE25" s="49">
        <v>4</v>
      </c>
      <c r="AF25" s="49">
        <v>4</v>
      </c>
      <c r="AG25" s="61">
        <v>20</v>
      </c>
      <c r="AH25" s="56">
        <f>MAX(B25:AF25)</f>
        <v>20</v>
      </c>
      <c r="AI25" s="57">
        <f>MIN(B25:AF25)</f>
        <v>4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34</v>
      </c>
      <c r="B26" s="49">
        <v>12</v>
      </c>
      <c r="C26" s="49">
        <v>12</v>
      </c>
      <c r="D26" s="49">
        <v>12</v>
      </c>
      <c r="E26" s="49">
        <v>12</v>
      </c>
      <c r="F26" s="49">
        <v>12</v>
      </c>
      <c r="G26" s="49">
        <v>12</v>
      </c>
      <c r="H26" s="49">
        <v>12</v>
      </c>
      <c r="I26" s="49">
        <v>12</v>
      </c>
      <c r="J26" s="49">
        <v>12</v>
      </c>
      <c r="K26" s="49">
        <v>12</v>
      </c>
      <c r="L26" s="50">
        <v>12</v>
      </c>
      <c r="M26" s="50">
        <v>12</v>
      </c>
      <c r="N26" s="50">
        <v>12</v>
      </c>
      <c r="O26" s="50">
        <v>12</v>
      </c>
      <c r="P26" s="50">
        <v>12</v>
      </c>
      <c r="Q26" s="50">
        <v>12</v>
      </c>
      <c r="R26" s="50">
        <v>12</v>
      </c>
      <c r="S26" s="50">
        <v>12</v>
      </c>
      <c r="T26" s="50">
        <v>12</v>
      </c>
      <c r="U26" s="50">
        <v>12</v>
      </c>
      <c r="V26" s="50">
        <v>12</v>
      </c>
      <c r="W26" s="50">
        <v>14.9</v>
      </c>
      <c r="X26" s="50">
        <v>12</v>
      </c>
      <c r="Y26" s="50">
        <v>12</v>
      </c>
      <c r="Z26" s="50">
        <v>12</v>
      </c>
      <c r="AA26" s="50">
        <v>12</v>
      </c>
      <c r="AB26" s="50">
        <v>12</v>
      </c>
      <c r="AC26" s="50">
        <v>12</v>
      </c>
      <c r="AD26" s="50">
        <v>12</v>
      </c>
      <c r="AE26" s="49">
        <v>12</v>
      </c>
      <c r="AF26" s="49">
        <v>12</v>
      </c>
      <c r="AG26" s="61">
        <v>23.5</v>
      </c>
      <c r="AH26" s="56">
        <f t="shared" si="2"/>
        <v>14.9</v>
      </c>
      <c r="AI26" s="57">
        <f t="shared" si="3"/>
        <v>12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50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10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49">
        <v>4.5</v>
      </c>
      <c r="AF27" s="49">
        <v>4.5</v>
      </c>
      <c r="AG27" s="61">
        <v>22.2</v>
      </c>
      <c r="AH27" s="56">
        <f t="shared" si="2"/>
        <v>10</v>
      </c>
      <c r="AI27" s="57">
        <f t="shared" si="3"/>
        <v>4.5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12.3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49">
        <v>0</v>
      </c>
      <c r="AF28" s="49">
        <v>0</v>
      </c>
      <c r="AG28" s="61">
        <v>22.1</v>
      </c>
      <c r="AH28" s="56">
        <f t="shared" si="2"/>
        <v>12.3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37</v>
      </c>
      <c r="B29" s="49">
        <v>12</v>
      </c>
      <c r="C29" s="49">
        <v>12</v>
      </c>
      <c r="D29" s="49">
        <v>12</v>
      </c>
      <c r="E29" s="49">
        <v>12</v>
      </c>
      <c r="F29" s="49">
        <v>12</v>
      </c>
      <c r="G29" s="49">
        <v>12</v>
      </c>
      <c r="H29" s="49">
        <v>12</v>
      </c>
      <c r="I29" s="49">
        <v>12</v>
      </c>
      <c r="J29" s="49">
        <v>12</v>
      </c>
      <c r="K29" s="49">
        <v>12</v>
      </c>
      <c r="L29" s="50">
        <v>12</v>
      </c>
      <c r="M29" s="50">
        <v>12</v>
      </c>
      <c r="N29" s="50">
        <v>12</v>
      </c>
      <c r="O29" s="50">
        <v>12</v>
      </c>
      <c r="P29" s="50">
        <v>12</v>
      </c>
      <c r="Q29" s="50">
        <v>12</v>
      </c>
      <c r="R29" s="50">
        <v>12</v>
      </c>
      <c r="S29" s="50">
        <v>12</v>
      </c>
      <c r="T29" s="50">
        <v>12</v>
      </c>
      <c r="U29" s="50">
        <v>12</v>
      </c>
      <c r="V29" s="50">
        <v>12</v>
      </c>
      <c r="W29" s="50">
        <v>12</v>
      </c>
      <c r="X29" s="50">
        <v>12</v>
      </c>
      <c r="Y29" s="50">
        <v>12</v>
      </c>
      <c r="Z29" s="50">
        <v>12</v>
      </c>
      <c r="AA29" s="50">
        <v>12</v>
      </c>
      <c r="AB29" s="50">
        <v>12</v>
      </c>
      <c r="AC29" s="50">
        <v>12</v>
      </c>
      <c r="AD29" s="50">
        <v>12</v>
      </c>
      <c r="AE29" s="49">
        <v>12</v>
      </c>
      <c r="AF29" s="49">
        <v>12</v>
      </c>
      <c r="AG29" s="61">
        <v>22.1</v>
      </c>
      <c r="AH29" s="56">
        <f t="shared" si="2"/>
        <v>12</v>
      </c>
      <c r="AI29" s="57">
        <f t="shared" si="3"/>
        <v>12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9" t="s">
        <v>38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63">
        <v>0</v>
      </c>
      <c r="AF30" s="63">
        <v>0</v>
      </c>
      <c r="AG30" s="64">
        <v>22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66"/>
      <c r="AR30" s="67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68" t="s">
        <v>39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63">
        <v>0</v>
      </c>
      <c r="AF31" s="63">
        <v>0</v>
      </c>
      <c r="AG31" s="69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68" t="s">
        <v>40</v>
      </c>
      <c r="B32" s="63">
        <v>8</v>
      </c>
      <c r="C32" s="63">
        <v>8</v>
      </c>
      <c r="D32" s="63">
        <v>8</v>
      </c>
      <c r="E32" s="63">
        <v>8</v>
      </c>
      <c r="F32" s="63">
        <v>8</v>
      </c>
      <c r="G32" s="63">
        <v>8</v>
      </c>
      <c r="H32" s="63">
        <v>8</v>
      </c>
      <c r="I32" s="63">
        <v>8</v>
      </c>
      <c r="J32" s="63">
        <v>8</v>
      </c>
      <c r="K32" s="63">
        <v>8</v>
      </c>
      <c r="L32" s="50">
        <v>8.9</v>
      </c>
      <c r="M32" s="50">
        <v>9</v>
      </c>
      <c r="N32" s="50">
        <v>9</v>
      </c>
      <c r="O32" s="50">
        <v>9</v>
      </c>
      <c r="P32" s="50">
        <v>9</v>
      </c>
      <c r="Q32" s="50">
        <v>9</v>
      </c>
      <c r="R32" s="50">
        <v>9</v>
      </c>
      <c r="S32" s="50">
        <v>9</v>
      </c>
      <c r="T32" s="50">
        <v>9</v>
      </c>
      <c r="U32" s="50">
        <v>9</v>
      </c>
      <c r="V32" s="50">
        <v>9</v>
      </c>
      <c r="W32" s="50">
        <v>0</v>
      </c>
      <c r="X32" s="50">
        <v>9</v>
      </c>
      <c r="Y32" s="50">
        <v>9</v>
      </c>
      <c r="Z32" s="50">
        <v>9</v>
      </c>
      <c r="AA32" s="50">
        <v>9</v>
      </c>
      <c r="AB32" s="50">
        <v>9</v>
      </c>
      <c r="AC32" s="50">
        <v>9</v>
      </c>
      <c r="AD32" s="50">
        <v>9</v>
      </c>
      <c r="AE32" s="63">
        <v>9</v>
      </c>
      <c r="AF32" s="63">
        <v>9</v>
      </c>
      <c r="AG32" s="69">
        <v>20</v>
      </c>
      <c r="AH32" s="56">
        <f t="shared" si="2"/>
        <v>9</v>
      </c>
      <c r="AI32" s="57">
        <f t="shared" si="3"/>
        <v>0</v>
      </c>
      <c r="AK32" s="58"/>
      <c r="AL32" s="30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41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63">
        <v>0</v>
      </c>
      <c r="AF33" s="63">
        <v>0</v>
      </c>
      <c r="AG33" s="69">
        <v>15.33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70" t="s">
        <v>42</v>
      </c>
      <c r="B34" s="63">
        <v>220</v>
      </c>
      <c r="C34" s="63">
        <v>220</v>
      </c>
      <c r="D34" s="63">
        <v>220</v>
      </c>
      <c r="E34" s="63">
        <v>220</v>
      </c>
      <c r="F34" s="63">
        <v>220</v>
      </c>
      <c r="G34" s="63">
        <v>220</v>
      </c>
      <c r="H34" s="63">
        <v>220</v>
      </c>
      <c r="I34" s="63">
        <v>220</v>
      </c>
      <c r="J34" s="63">
        <v>220</v>
      </c>
      <c r="K34" s="63">
        <v>220</v>
      </c>
      <c r="L34" s="63">
        <v>220</v>
      </c>
      <c r="M34" s="63">
        <v>220</v>
      </c>
      <c r="N34" s="63">
        <v>220</v>
      </c>
      <c r="O34" s="63">
        <v>220</v>
      </c>
      <c r="P34" s="63">
        <v>220</v>
      </c>
      <c r="Q34" s="63">
        <v>220</v>
      </c>
      <c r="R34" s="63">
        <v>220</v>
      </c>
      <c r="S34" s="63">
        <v>220</v>
      </c>
      <c r="T34" s="63">
        <v>220</v>
      </c>
      <c r="U34" s="63">
        <v>220</v>
      </c>
      <c r="V34" s="63">
        <v>220</v>
      </c>
      <c r="W34" s="63">
        <v>220</v>
      </c>
      <c r="X34" s="63">
        <v>220</v>
      </c>
      <c r="Y34" s="63">
        <v>220</v>
      </c>
      <c r="Z34" s="63">
        <v>220</v>
      </c>
      <c r="AA34" s="63">
        <v>220</v>
      </c>
      <c r="AB34" s="63">
        <v>220</v>
      </c>
      <c r="AC34" s="63">
        <v>220</v>
      </c>
      <c r="AD34" s="63">
        <v>220</v>
      </c>
      <c r="AE34" s="63">
        <v>220</v>
      </c>
      <c r="AF34" s="63">
        <v>220</v>
      </c>
      <c r="AG34" s="69">
        <v>85</v>
      </c>
      <c r="AH34" s="56">
        <f t="shared" si="2"/>
        <v>220</v>
      </c>
      <c r="AI34" s="57">
        <f t="shared" si="3"/>
        <v>220</v>
      </c>
      <c r="AK34" s="58"/>
    </row>
    <row r="35" spans="1:88" ht="15.75" thickBot="1" x14ac:dyDescent="0.3">
      <c r="A35" s="71" t="s">
        <v>43</v>
      </c>
      <c r="B35" s="63">
        <f>74.2+53.4</f>
        <v>127.6</v>
      </c>
      <c r="C35" s="63">
        <f>74.3+54.1</f>
        <v>128.4</v>
      </c>
      <c r="D35" s="63">
        <f>74.3+54.1</f>
        <v>128.4</v>
      </c>
      <c r="E35" s="63">
        <f>74.3+54.1</f>
        <v>128.4</v>
      </c>
      <c r="F35" s="63">
        <f>74+53</f>
        <v>127</v>
      </c>
      <c r="G35" s="63">
        <f>74+52</f>
        <v>126</v>
      </c>
      <c r="H35" s="63">
        <f>73+49</f>
        <v>122</v>
      </c>
      <c r="I35" s="63">
        <f>74+51</f>
        <v>125</v>
      </c>
      <c r="J35" s="63">
        <f>73+52</f>
        <v>125</v>
      </c>
      <c r="K35" s="63">
        <f>73+51</f>
        <v>124</v>
      </c>
      <c r="L35" s="72">
        <f>73+51.5</f>
        <v>124.5</v>
      </c>
      <c r="M35" s="72">
        <f>73.2+51.7</f>
        <v>124.9</v>
      </c>
      <c r="N35" s="72">
        <f>73.6+52.1</f>
        <v>125.69999999999999</v>
      </c>
      <c r="O35" s="72">
        <f>73.6+53.3</f>
        <v>126.89999999999999</v>
      </c>
      <c r="P35" s="72">
        <v>125</v>
      </c>
      <c r="Q35" s="72">
        <f>73.2+52.9</f>
        <v>126.1</v>
      </c>
      <c r="R35" s="72">
        <f>73.2+52.9</f>
        <v>126.1</v>
      </c>
      <c r="S35" s="72">
        <f>73.2+52.9</f>
        <v>126.1</v>
      </c>
      <c r="T35" s="72">
        <f>72.2+51.3</f>
        <v>123.5</v>
      </c>
      <c r="U35" s="72">
        <f>72.2+51.3</f>
        <v>123.5</v>
      </c>
      <c r="V35" s="72">
        <f>71.5+49.6</f>
        <v>121.1</v>
      </c>
      <c r="W35" s="72">
        <v>158</v>
      </c>
      <c r="X35" s="72">
        <f>71.4+49.2</f>
        <v>120.60000000000001</v>
      </c>
      <c r="Y35" s="72">
        <f>71.4+49.2</f>
        <v>120.60000000000001</v>
      </c>
      <c r="Z35" s="72">
        <f>71.4+49.2</f>
        <v>120.60000000000001</v>
      </c>
      <c r="AA35" s="72">
        <f>71.8+50.5</f>
        <v>122.3</v>
      </c>
      <c r="AB35" s="72">
        <f>72+51</f>
        <v>123</v>
      </c>
      <c r="AC35" s="72">
        <f>72.4+51.6</f>
        <v>124</v>
      </c>
      <c r="AD35" s="72">
        <f>72.6+52.6</f>
        <v>125.19999999999999</v>
      </c>
      <c r="AE35" s="63">
        <f>66.7+51.1</f>
        <v>117.80000000000001</v>
      </c>
      <c r="AF35" s="63">
        <f>66.4+50.3</f>
        <v>116.7</v>
      </c>
      <c r="AG35" s="69">
        <v>240</v>
      </c>
      <c r="AH35" s="56">
        <f t="shared" si="2"/>
        <v>158</v>
      </c>
      <c r="AI35" s="57">
        <f t="shared" si="3"/>
        <v>116.7</v>
      </c>
      <c r="AK35" s="58"/>
    </row>
    <row r="36" spans="1:88" ht="15.75" thickBot="1" x14ac:dyDescent="0.3">
      <c r="A36" s="73" t="s">
        <v>44</v>
      </c>
      <c r="B36" s="74">
        <f>SUM(B11:B34)</f>
        <v>628</v>
      </c>
      <c r="C36" s="74">
        <f t="shared" ref="C36:AF36" si="4">SUM(C11:C34)</f>
        <v>628</v>
      </c>
      <c r="D36" s="74">
        <f t="shared" si="4"/>
        <v>628</v>
      </c>
      <c r="E36" s="74">
        <f t="shared" si="4"/>
        <v>628</v>
      </c>
      <c r="F36" s="74">
        <f t="shared" si="4"/>
        <v>678</v>
      </c>
      <c r="G36" s="74">
        <f t="shared" si="4"/>
        <v>708</v>
      </c>
      <c r="H36" s="74">
        <f t="shared" si="4"/>
        <v>751.5</v>
      </c>
      <c r="I36" s="74">
        <f t="shared" si="4"/>
        <v>766.5</v>
      </c>
      <c r="J36" s="74">
        <f t="shared" si="4"/>
        <v>786.5</v>
      </c>
      <c r="K36" s="74">
        <f t="shared" si="4"/>
        <v>786.5</v>
      </c>
      <c r="L36" s="74">
        <f t="shared" si="4"/>
        <v>803.4</v>
      </c>
      <c r="M36" s="74">
        <f t="shared" si="4"/>
        <v>776.3</v>
      </c>
      <c r="N36" s="74">
        <f t="shared" si="4"/>
        <v>761.2</v>
      </c>
      <c r="O36" s="74">
        <f t="shared" si="4"/>
        <v>757.9</v>
      </c>
      <c r="P36" s="74">
        <f t="shared" si="4"/>
        <v>737.9</v>
      </c>
      <c r="Q36" s="74">
        <f t="shared" si="4"/>
        <v>738.7</v>
      </c>
      <c r="R36" s="74">
        <f t="shared" si="4"/>
        <v>708.7</v>
      </c>
      <c r="S36" s="74">
        <f t="shared" si="4"/>
        <v>708.7</v>
      </c>
      <c r="T36" s="74">
        <f t="shared" si="4"/>
        <v>728.59999999999991</v>
      </c>
      <c r="U36" s="74">
        <f t="shared" si="4"/>
        <v>763.59999999999991</v>
      </c>
      <c r="V36" s="74">
        <f t="shared" si="4"/>
        <v>878.6</v>
      </c>
      <c r="W36" s="74">
        <f t="shared" si="4"/>
        <v>933.6</v>
      </c>
      <c r="X36" s="74">
        <f t="shared" si="4"/>
        <v>896.6</v>
      </c>
      <c r="Y36" s="74">
        <f t="shared" si="4"/>
        <v>886.6</v>
      </c>
      <c r="Z36" s="74">
        <f t="shared" si="4"/>
        <v>846.59999999999991</v>
      </c>
      <c r="AA36" s="74">
        <f t="shared" si="4"/>
        <v>816.59999999999991</v>
      </c>
      <c r="AB36" s="74">
        <f t="shared" si="4"/>
        <v>776.59999999999991</v>
      </c>
      <c r="AC36" s="74">
        <f t="shared" si="4"/>
        <v>722.5</v>
      </c>
      <c r="AD36" s="74">
        <f t="shared" si="4"/>
        <v>682.5</v>
      </c>
      <c r="AE36" s="74">
        <f t="shared" si="4"/>
        <v>654.5</v>
      </c>
      <c r="AF36" s="74">
        <f t="shared" si="4"/>
        <v>654.5</v>
      </c>
      <c r="AG36" s="69">
        <f>SUM(AG11:AG35)</f>
        <v>1431.83</v>
      </c>
      <c r="AH36" s="56">
        <f t="shared" si="2"/>
        <v>933.6</v>
      </c>
      <c r="AI36" s="57">
        <f t="shared" si="3"/>
        <v>628</v>
      </c>
      <c r="AK36" s="58"/>
    </row>
    <row r="37" spans="1:88" x14ac:dyDescent="0.25">
      <c r="A37" s="59" t="s">
        <v>45</v>
      </c>
      <c r="B37" s="49">
        <v>60.8</v>
      </c>
      <c r="C37" s="63">
        <v>61</v>
      </c>
      <c r="D37" s="63">
        <v>61</v>
      </c>
      <c r="E37" s="63">
        <v>70</v>
      </c>
      <c r="F37" s="63">
        <v>80</v>
      </c>
      <c r="G37" s="63">
        <v>103</v>
      </c>
      <c r="H37" s="63">
        <v>110</v>
      </c>
      <c r="I37" s="63">
        <v>121.8</v>
      </c>
      <c r="J37" s="63">
        <v>121.5</v>
      </c>
      <c r="K37" s="63">
        <v>131.6</v>
      </c>
      <c r="L37" s="50">
        <v>131.6</v>
      </c>
      <c r="M37" s="50">
        <v>131.6</v>
      </c>
      <c r="N37" s="50">
        <v>131.69999999999999</v>
      </c>
      <c r="O37" s="50">
        <v>121.5</v>
      </c>
      <c r="P37" s="50">
        <v>107</v>
      </c>
      <c r="Q37" s="50">
        <v>106.2</v>
      </c>
      <c r="R37" s="50">
        <v>106.2</v>
      </c>
      <c r="S37" s="50">
        <v>106.2</v>
      </c>
      <c r="T37" s="50">
        <v>122.6</v>
      </c>
      <c r="U37" s="50">
        <v>121.4</v>
      </c>
      <c r="V37" s="50">
        <v>132.30000000000001</v>
      </c>
      <c r="W37" s="50">
        <v>144.6</v>
      </c>
      <c r="X37" s="50">
        <v>144</v>
      </c>
      <c r="Y37" s="50">
        <v>140</v>
      </c>
      <c r="Z37" s="50">
        <v>137</v>
      </c>
      <c r="AA37" s="50">
        <v>137</v>
      </c>
      <c r="AB37" s="50">
        <v>110.9</v>
      </c>
      <c r="AC37" s="50">
        <v>110.9</v>
      </c>
      <c r="AD37" s="50">
        <v>101.7</v>
      </c>
      <c r="AE37" s="49">
        <v>81.400000000000006</v>
      </c>
      <c r="AF37" s="49">
        <v>81.400000000000006</v>
      </c>
      <c r="AG37" s="64">
        <v>144</v>
      </c>
      <c r="AH37" s="56">
        <f t="shared" si="2"/>
        <v>144.6</v>
      </c>
      <c r="AI37" s="57">
        <f t="shared" si="3"/>
        <v>60.8</v>
      </c>
      <c r="AK37" s="58"/>
    </row>
    <row r="38" spans="1:88" x14ac:dyDescent="0.25">
      <c r="A38" s="68" t="s">
        <v>46</v>
      </c>
      <c r="B38" s="63">
        <v>25.6</v>
      </c>
      <c r="C38" s="63">
        <v>25.2</v>
      </c>
      <c r="D38" s="63">
        <v>25.2</v>
      </c>
      <c r="E38" s="63">
        <v>35</v>
      </c>
      <c r="F38" s="63">
        <v>35</v>
      </c>
      <c r="G38" s="63">
        <v>35</v>
      </c>
      <c r="H38" s="63">
        <v>35</v>
      </c>
      <c r="I38" s="63">
        <v>46</v>
      </c>
      <c r="J38" s="63">
        <v>65</v>
      </c>
      <c r="K38" s="63">
        <v>70</v>
      </c>
      <c r="L38" s="52">
        <v>60.7</v>
      </c>
      <c r="M38" s="52">
        <v>60.7</v>
      </c>
      <c r="N38" s="52">
        <v>61.7</v>
      </c>
      <c r="O38" s="52">
        <v>61.7</v>
      </c>
      <c r="P38" s="52">
        <v>51.7</v>
      </c>
      <c r="Q38" s="52">
        <v>51.8</v>
      </c>
      <c r="R38" s="52">
        <v>51.8</v>
      </c>
      <c r="S38" s="52">
        <v>51.8</v>
      </c>
      <c r="T38" s="52">
        <v>71.7</v>
      </c>
      <c r="U38" s="52">
        <v>71.400000000000006</v>
      </c>
      <c r="V38" s="52">
        <v>67</v>
      </c>
      <c r="W38" s="52">
        <v>68</v>
      </c>
      <c r="X38" s="52">
        <v>70</v>
      </c>
      <c r="Y38" s="52">
        <v>69.599999999999994</v>
      </c>
      <c r="Z38" s="52">
        <v>59.3</v>
      </c>
      <c r="AA38" s="52">
        <v>59.3</v>
      </c>
      <c r="AB38" s="52">
        <v>64.3</v>
      </c>
      <c r="AC38" s="52">
        <v>50.5</v>
      </c>
      <c r="AD38" s="52">
        <v>35.4</v>
      </c>
      <c r="AE38" s="63">
        <v>25.4</v>
      </c>
      <c r="AF38" s="63">
        <v>25.4</v>
      </c>
      <c r="AG38" s="69">
        <v>70</v>
      </c>
      <c r="AH38" s="56">
        <f t="shared" si="2"/>
        <v>71.7</v>
      </c>
      <c r="AI38" s="57">
        <f t="shared" si="3"/>
        <v>25.2</v>
      </c>
      <c r="AK38" s="58"/>
    </row>
    <row r="39" spans="1:88" x14ac:dyDescent="0.25">
      <c r="A39" s="68" t="s">
        <v>47</v>
      </c>
      <c r="B39" s="63">
        <v>36.9</v>
      </c>
      <c r="C39" s="63">
        <v>20.100000000000001</v>
      </c>
      <c r="D39" s="63">
        <v>20.100000000000001</v>
      </c>
      <c r="E39" s="63">
        <v>23</v>
      </c>
      <c r="F39" s="63">
        <v>23</v>
      </c>
      <c r="G39" s="63">
        <v>23</v>
      </c>
      <c r="H39" s="63">
        <v>23</v>
      </c>
      <c r="I39" s="63">
        <v>55</v>
      </c>
      <c r="J39" s="63">
        <v>70</v>
      </c>
      <c r="K39" s="63">
        <v>70</v>
      </c>
      <c r="L39" s="52">
        <v>62.8</v>
      </c>
      <c r="M39" s="52">
        <v>62.8</v>
      </c>
      <c r="N39" s="52">
        <v>57</v>
      </c>
      <c r="O39" s="52">
        <v>57</v>
      </c>
      <c r="P39" s="52">
        <v>60.5</v>
      </c>
      <c r="Q39" s="52">
        <v>53.9</v>
      </c>
      <c r="R39" s="52">
        <v>53.9</v>
      </c>
      <c r="S39" s="52">
        <v>53.9</v>
      </c>
      <c r="T39" s="52">
        <v>70.400000000000006</v>
      </c>
      <c r="U39" s="52">
        <v>69.900000000000006</v>
      </c>
      <c r="V39" s="52">
        <v>69.900000000000006</v>
      </c>
      <c r="W39" s="52">
        <v>69.8</v>
      </c>
      <c r="X39" s="52">
        <v>69.2</v>
      </c>
      <c r="Y39" s="52">
        <v>61.3</v>
      </c>
      <c r="Z39" s="52">
        <v>56.2</v>
      </c>
      <c r="AA39" s="52">
        <v>56.2</v>
      </c>
      <c r="AB39" s="52">
        <v>56.2</v>
      </c>
      <c r="AC39" s="52">
        <v>54.3</v>
      </c>
      <c r="AD39" s="52">
        <v>40.700000000000003</v>
      </c>
      <c r="AE39" s="63">
        <v>33.5</v>
      </c>
      <c r="AF39" s="63">
        <v>33.5</v>
      </c>
      <c r="AG39" s="69">
        <v>69</v>
      </c>
      <c r="AH39" s="56">
        <f t="shared" si="2"/>
        <v>70.400000000000006</v>
      </c>
      <c r="AI39" s="57">
        <f t="shared" si="3"/>
        <v>20.100000000000001</v>
      </c>
      <c r="AK39" s="58"/>
    </row>
    <row r="40" spans="1:88" x14ac:dyDescent="0.25">
      <c r="A40" s="68" t="s">
        <v>48</v>
      </c>
      <c r="B40" s="63">
        <v>15</v>
      </c>
      <c r="C40" s="63">
        <v>12.4</v>
      </c>
      <c r="D40" s="63">
        <v>12.4</v>
      </c>
      <c r="E40" s="63">
        <v>12.4</v>
      </c>
      <c r="F40" s="63">
        <v>12.4</v>
      </c>
      <c r="G40" s="63">
        <v>12.4</v>
      </c>
      <c r="H40" s="63">
        <v>12.4</v>
      </c>
      <c r="I40" s="63">
        <v>29.5</v>
      </c>
      <c r="J40" s="63">
        <v>51</v>
      </c>
      <c r="K40" s="63">
        <v>61</v>
      </c>
      <c r="L40" s="52">
        <v>61.4</v>
      </c>
      <c r="M40" s="52">
        <v>61.4</v>
      </c>
      <c r="N40" s="52">
        <v>52.7</v>
      </c>
      <c r="O40" s="52">
        <v>52.7</v>
      </c>
      <c r="P40" s="52">
        <v>40.5</v>
      </c>
      <c r="Q40" s="52">
        <v>40.299999999999997</v>
      </c>
      <c r="R40" s="52">
        <v>40.299999999999997</v>
      </c>
      <c r="S40" s="52">
        <v>40.299999999999997</v>
      </c>
      <c r="T40" s="52">
        <v>51.4</v>
      </c>
      <c r="U40" s="52">
        <v>61.4</v>
      </c>
      <c r="V40" s="52">
        <v>60</v>
      </c>
      <c r="W40" s="52">
        <v>60</v>
      </c>
      <c r="X40" s="52">
        <v>60</v>
      </c>
      <c r="Y40" s="52">
        <v>60</v>
      </c>
      <c r="Z40" s="52">
        <v>42.6</v>
      </c>
      <c r="AA40" s="52">
        <v>42.6</v>
      </c>
      <c r="AB40" s="52">
        <v>42.6</v>
      </c>
      <c r="AC40" s="52">
        <v>51.9</v>
      </c>
      <c r="AD40" s="52">
        <v>29.7</v>
      </c>
      <c r="AE40" s="63">
        <v>20.9</v>
      </c>
      <c r="AF40" s="63">
        <v>20.9</v>
      </c>
      <c r="AG40" s="69">
        <v>60</v>
      </c>
      <c r="AH40" s="56">
        <f t="shared" si="2"/>
        <v>61.4</v>
      </c>
      <c r="AI40" s="57">
        <f t="shared" si="3"/>
        <v>12.4</v>
      </c>
      <c r="AK40" s="58"/>
    </row>
    <row r="41" spans="1:88" x14ac:dyDescent="0.25">
      <c r="A41" s="68" t="s">
        <v>49</v>
      </c>
      <c r="B41" s="63">
        <v>15.2</v>
      </c>
      <c r="C41" s="63">
        <v>13.5</v>
      </c>
      <c r="D41" s="63">
        <v>13.5</v>
      </c>
      <c r="E41" s="63">
        <v>13.5</v>
      </c>
      <c r="F41" s="63">
        <v>13.5</v>
      </c>
      <c r="G41" s="63">
        <v>13.5</v>
      </c>
      <c r="H41" s="63">
        <v>13.5</v>
      </c>
      <c r="I41" s="63">
        <v>15</v>
      </c>
      <c r="J41" s="63">
        <v>25</v>
      </c>
      <c r="K41" s="63">
        <v>25</v>
      </c>
      <c r="L41" s="50">
        <v>29.5</v>
      </c>
      <c r="M41" s="50">
        <v>29.5</v>
      </c>
      <c r="N41" s="50">
        <v>29.3</v>
      </c>
      <c r="O41" s="50">
        <v>29.3</v>
      </c>
      <c r="P41" s="50">
        <v>24</v>
      </c>
      <c r="Q41" s="50">
        <v>24.8</v>
      </c>
      <c r="R41" s="50">
        <v>24.8</v>
      </c>
      <c r="S41" s="50">
        <v>24.8</v>
      </c>
      <c r="T41" s="50">
        <v>24.8</v>
      </c>
      <c r="U41" s="50">
        <v>24.8</v>
      </c>
      <c r="V41" s="50">
        <v>29</v>
      </c>
      <c r="W41" s="50">
        <v>30</v>
      </c>
      <c r="X41" s="50">
        <v>29</v>
      </c>
      <c r="Y41" s="50">
        <v>29</v>
      </c>
      <c r="Z41" s="50">
        <v>29.6</v>
      </c>
      <c r="AA41" s="52">
        <v>29.6</v>
      </c>
      <c r="AB41" s="52">
        <v>29.6</v>
      </c>
      <c r="AC41" s="52">
        <v>25.3</v>
      </c>
      <c r="AD41" s="52">
        <v>24.9</v>
      </c>
      <c r="AE41" s="63">
        <v>25.5</v>
      </c>
      <c r="AF41" s="63">
        <v>25.5</v>
      </c>
      <c r="AG41" s="69">
        <v>30</v>
      </c>
      <c r="AH41" s="56">
        <f t="shared" si="2"/>
        <v>30</v>
      </c>
      <c r="AI41" s="57">
        <f t="shared" si="3"/>
        <v>13.5</v>
      </c>
      <c r="AK41" s="58"/>
    </row>
    <row r="42" spans="1:88" x14ac:dyDescent="0.25">
      <c r="A42" s="68" t="s">
        <v>50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63">
        <v>0</v>
      </c>
      <c r="AF42" s="63">
        <v>0</v>
      </c>
      <c r="AG42" s="69">
        <v>25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51</v>
      </c>
      <c r="B43" s="63">
        <v>16.7</v>
      </c>
      <c r="C43" s="75">
        <v>8</v>
      </c>
      <c r="D43" s="75">
        <v>8</v>
      </c>
      <c r="E43" s="75">
        <v>8</v>
      </c>
      <c r="F43" s="75">
        <v>8</v>
      </c>
      <c r="G43" s="75">
        <v>8</v>
      </c>
      <c r="H43" s="75">
        <v>8</v>
      </c>
      <c r="I43" s="75">
        <v>8</v>
      </c>
      <c r="J43" s="75">
        <v>13.7</v>
      </c>
      <c r="K43" s="75">
        <v>13.7</v>
      </c>
      <c r="L43" s="50">
        <v>12.6</v>
      </c>
      <c r="M43" s="50">
        <v>12.6</v>
      </c>
      <c r="N43" s="50">
        <v>12.6</v>
      </c>
      <c r="O43" s="50">
        <v>12.8</v>
      </c>
      <c r="P43" s="50">
        <v>12.8</v>
      </c>
      <c r="Q43" s="50">
        <v>13.1</v>
      </c>
      <c r="R43" s="50">
        <v>13.1</v>
      </c>
      <c r="S43" s="50">
        <v>13.1</v>
      </c>
      <c r="T43" s="50">
        <v>13.1</v>
      </c>
      <c r="U43" s="50">
        <v>13.1</v>
      </c>
      <c r="V43" s="50">
        <v>13.1</v>
      </c>
      <c r="W43" s="50">
        <v>17</v>
      </c>
      <c r="X43" s="50">
        <v>13.1</v>
      </c>
      <c r="Y43" s="50">
        <v>13.1</v>
      </c>
      <c r="Z43" s="50">
        <v>13.1</v>
      </c>
      <c r="AA43" s="50">
        <v>17.5</v>
      </c>
      <c r="AB43" s="50">
        <v>17.5</v>
      </c>
      <c r="AC43" s="50">
        <v>17.5</v>
      </c>
      <c r="AD43" s="50">
        <v>17.5</v>
      </c>
      <c r="AE43" s="63">
        <v>12</v>
      </c>
      <c r="AF43" s="63">
        <v>12</v>
      </c>
      <c r="AG43" s="69">
        <v>24</v>
      </c>
      <c r="AH43" s="56">
        <f t="shared" si="2"/>
        <v>17.5</v>
      </c>
      <c r="AI43" s="57">
        <f t="shared" si="3"/>
        <v>8</v>
      </c>
      <c r="AK43" s="58"/>
    </row>
    <row r="44" spans="1:88" x14ac:dyDescent="0.25">
      <c r="A44" s="68" t="s">
        <v>52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3.1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63">
        <v>0</v>
      </c>
      <c r="AF44" s="63">
        <v>0</v>
      </c>
      <c r="AG44" s="69">
        <v>15</v>
      </c>
      <c r="AH44" s="56">
        <f t="shared" si="2"/>
        <v>3.1</v>
      </c>
      <c r="AI44" s="57">
        <f t="shared" si="3"/>
        <v>0</v>
      </c>
      <c r="AK44" s="58"/>
      <c r="AL44" s="76"/>
      <c r="AO44" s="76"/>
    </row>
    <row r="45" spans="1:88" s="76" customFormat="1" x14ac:dyDescent="0.25">
      <c r="A45" s="68" t="s">
        <v>53</v>
      </c>
      <c r="B45" s="63">
        <v>9</v>
      </c>
      <c r="C45" s="63">
        <v>9</v>
      </c>
      <c r="D45" s="63">
        <v>9</v>
      </c>
      <c r="E45" s="63">
        <v>9</v>
      </c>
      <c r="F45" s="63">
        <v>9</v>
      </c>
      <c r="G45" s="63">
        <v>9</v>
      </c>
      <c r="H45" s="63">
        <v>9</v>
      </c>
      <c r="I45" s="63">
        <v>9</v>
      </c>
      <c r="J45" s="63">
        <v>9</v>
      </c>
      <c r="K45" s="63">
        <v>9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12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63">
        <v>13</v>
      </c>
      <c r="AF45" s="63">
        <v>13</v>
      </c>
      <c r="AG45" s="69">
        <v>14.1</v>
      </c>
      <c r="AH45" s="56">
        <f t="shared" si="2"/>
        <v>13</v>
      </c>
      <c r="AI45" s="57">
        <f t="shared" si="3"/>
        <v>9</v>
      </c>
      <c r="AJ45" s="1"/>
      <c r="AK45" s="58"/>
      <c r="AL45"/>
      <c r="AM45"/>
      <c r="AN45"/>
      <c r="AO45"/>
    </row>
    <row r="46" spans="1:88" x14ac:dyDescent="0.25">
      <c r="A46" s="77" t="s">
        <v>54</v>
      </c>
      <c r="B46" s="63">
        <v>8</v>
      </c>
      <c r="C46" s="75">
        <v>8</v>
      </c>
      <c r="D46" s="75">
        <v>8</v>
      </c>
      <c r="E46" s="75">
        <v>8</v>
      </c>
      <c r="F46" s="75">
        <v>8</v>
      </c>
      <c r="G46" s="75">
        <v>8</v>
      </c>
      <c r="H46" s="75">
        <v>8</v>
      </c>
      <c r="I46" s="75">
        <v>14</v>
      </c>
      <c r="J46" s="75">
        <v>14</v>
      </c>
      <c r="K46" s="75">
        <v>14</v>
      </c>
      <c r="L46" s="50">
        <v>14</v>
      </c>
      <c r="M46" s="50">
        <v>14</v>
      </c>
      <c r="N46" s="50">
        <v>14</v>
      </c>
      <c r="O46" s="50">
        <v>14</v>
      </c>
      <c r="P46" s="50">
        <v>14</v>
      </c>
      <c r="Q46" s="50">
        <v>14</v>
      </c>
      <c r="R46" s="50">
        <v>14</v>
      </c>
      <c r="S46" s="50">
        <v>14</v>
      </c>
      <c r="T46" s="50">
        <v>14</v>
      </c>
      <c r="U46" s="50">
        <v>14</v>
      </c>
      <c r="V46" s="50">
        <v>14</v>
      </c>
      <c r="W46" s="50">
        <v>14</v>
      </c>
      <c r="X46" s="50">
        <v>14</v>
      </c>
      <c r="Y46" s="50">
        <v>14</v>
      </c>
      <c r="Z46" s="50">
        <v>14</v>
      </c>
      <c r="AA46" s="50">
        <v>14</v>
      </c>
      <c r="AB46" s="50">
        <v>14</v>
      </c>
      <c r="AC46" s="50">
        <v>14</v>
      </c>
      <c r="AD46" s="50">
        <v>14</v>
      </c>
      <c r="AE46" s="63">
        <v>14</v>
      </c>
      <c r="AF46" s="63">
        <v>14</v>
      </c>
      <c r="AG46" s="69">
        <v>14</v>
      </c>
      <c r="AH46" s="56">
        <f t="shared" si="2"/>
        <v>14</v>
      </c>
      <c r="AI46" s="57">
        <f t="shared" si="3"/>
        <v>8</v>
      </c>
      <c r="AK46" s="58"/>
    </row>
    <row r="47" spans="1:88" x14ac:dyDescent="0.25">
      <c r="A47" s="68" t="s">
        <v>55</v>
      </c>
      <c r="B47" s="63">
        <v>9.6</v>
      </c>
      <c r="C47" s="63">
        <v>9.6</v>
      </c>
      <c r="D47" s="63">
        <v>9.6</v>
      </c>
      <c r="E47" s="63">
        <v>9.6</v>
      </c>
      <c r="F47" s="63">
        <v>9.6</v>
      </c>
      <c r="G47" s="63">
        <v>9.6</v>
      </c>
      <c r="H47" s="63">
        <v>9.6</v>
      </c>
      <c r="I47" s="63">
        <v>9.6</v>
      </c>
      <c r="J47" s="63">
        <v>9.6</v>
      </c>
      <c r="K47" s="63">
        <v>9.6</v>
      </c>
      <c r="L47" s="50">
        <v>9.6</v>
      </c>
      <c r="M47" s="50">
        <v>9.6</v>
      </c>
      <c r="N47" s="50">
        <v>9.6</v>
      </c>
      <c r="O47" s="50">
        <v>9.6</v>
      </c>
      <c r="P47" s="50">
        <v>9.6</v>
      </c>
      <c r="Q47" s="50">
        <v>9.6</v>
      </c>
      <c r="R47" s="50">
        <v>9.6</v>
      </c>
      <c r="S47" s="50">
        <v>9.6</v>
      </c>
      <c r="T47" s="50">
        <v>9.6</v>
      </c>
      <c r="U47" s="50">
        <v>9.6</v>
      </c>
      <c r="V47" s="50">
        <v>9.6</v>
      </c>
      <c r="W47" s="50">
        <v>9.6</v>
      </c>
      <c r="X47" s="50">
        <v>9.6</v>
      </c>
      <c r="Y47" s="50">
        <v>9.6</v>
      </c>
      <c r="Z47" s="50">
        <v>9.6</v>
      </c>
      <c r="AA47" s="50">
        <v>9.6</v>
      </c>
      <c r="AB47" s="50">
        <v>9.6</v>
      </c>
      <c r="AC47" s="50">
        <v>9.6</v>
      </c>
      <c r="AD47" s="50">
        <v>9.6</v>
      </c>
      <c r="AE47" s="63">
        <v>9.6</v>
      </c>
      <c r="AF47" s="63">
        <v>9.6</v>
      </c>
      <c r="AG47" s="69">
        <v>10.050000000000001</v>
      </c>
      <c r="AH47" s="56">
        <f t="shared" si="2"/>
        <v>9.6</v>
      </c>
      <c r="AI47" s="57">
        <f t="shared" si="3"/>
        <v>9.6</v>
      </c>
      <c r="AK47" s="58"/>
    </row>
    <row r="48" spans="1:88" x14ac:dyDescent="0.25">
      <c r="A48" s="68" t="s">
        <v>56</v>
      </c>
      <c r="B48" s="63">
        <v>3.1</v>
      </c>
      <c r="C48" s="63">
        <v>3.1</v>
      </c>
      <c r="D48" s="63">
        <v>3.1</v>
      </c>
      <c r="E48" s="63">
        <v>3.1</v>
      </c>
      <c r="F48" s="63">
        <v>3.1</v>
      </c>
      <c r="G48" s="63">
        <v>3.1</v>
      </c>
      <c r="H48" s="63">
        <v>3.1</v>
      </c>
      <c r="I48" s="63">
        <v>3.1</v>
      </c>
      <c r="J48" s="63">
        <v>3.1</v>
      </c>
      <c r="K48" s="63">
        <v>3.1</v>
      </c>
      <c r="L48" s="50">
        <v>3.1</v>
      </c>
      <c r="M48" s="50">
        <v>3.1</v>
      </c>
      <c r="N48" s="50">
        <v>3.1</v>
      </c>
      <c r="O48" s="50">
        <v>3.1</v>
      </c>
      <c r="P48" s="50">
        <v>3.1</v>
      </c>
      <c r="Q48" s="50">
        <v>3.1</v>
      </c>
      <c r="R48" s="50">
        <v>3.1</v>
      </c>
      <c r="S48" s="50">
        <v>3.1</v>
      </c>
      <c r="T48" s="50">
        <v>3.1</v>
      </c>
      <c r="U48" s="50">
        <v>3.1</v>
      </c>
      <c r="V48" s="50">
        <v>3.1</v>
      </c>
      <c r="W48" s="50">
        <v>6.2</v>
      </c>
      <c r="X48" s="50">
        <v>3.1</v>
      </c>
      <c r="Y48" s="50">
        <v>3.1</v>
      </c>
      <c r="Z48" s="50">
        <v>3.1</v>
      </c>
      <c r="AA48" s="50">
        <v>3.1</v>
      </c>
      <c r="AB48" s="50">
        <v>3.1</v>
      </c>
      <c r="AC48" s="50">
        <v>3.1</v>
      </c>
      <c r="AD48" s="50">
        <v>3.1</v>
      </c>
      <c r="AE48" s="63">
        <v>3.1</v>
      </c>
      <c r="AF48" s="63">
        <v>3.1</v>
      </c>
      <c r="AG48" s="69">
        <v>6.2</v>
      </c>
      <c r="AH48" s="56">
        <f t="shared" si="2"/>
        <v>6.2</v>
      </c>
      <c r="AI48" s="57">
        <f t="shared" si="3"/>
        <v>3.1</v>
      </c>
      <c r="AK48" s="58"/>
    </row>
    <row r="49" spans="1:37" ht="15.75" thickBot="1" x14ac:dyDescent="0.3">
      <c r="A49" s="70" t="s">
        <v>57</v>
      </c>
      <c r="B49" s="78">
        <f>B197</f>
        <v>3.54</v>
      </c>
      <c r="C49" s="78">
        <v>3.54</v>
      </c>
      <c r="D49" s="78">
        <v>3.54</v>
      </c>
      <c r="E49" s="78">
        <v>3.54</v>
      </c>
      <c r="F49" s="78">
        <v>3.54</v>
      </c>
      <c r="G49" s="78">
        <v>3.54</v>
      </c>
      <c r="H49" s="78">
        <v>3.54</v>
      </c>
      <c r="I49" s="78">
        <v>3.54</v>
      </c>
      <c r="J49" s="78">
        <v>3.54</v>
      </c>
      <c r="K49" s="78">
        <v>3.54</v>
      </c>
      <c r="L49" s="78">
        <v>3.54</v>
      </c>
      <c r="M49" s="78">
        <v>3.54</v>
      </c>
      <c r="N49" s="78">
        <v>3.54</v>
      </c>
      <c r="O49" s="78">
        <v>3.54</v>
      </c>
      <c r="P49" s="78">
        <v>3.54</v>
      </c>
      <c r="Q49" s="78">
        <v>3.54</v>
      </c>
      <c r="R49" s="78">
        <v>3.54</v>
      </c>
      <c r="S49" s="78">
        <v>3.54</v>
      </c>
      <c r="T49" s="78">
        <f t="shared" ref="T49:AG49" si="5">T197</f>
        <v>3.54</v>
      </c>
      <c r="U49" s="78">
        <f t="shared" si="5"/>
        <v>3.54</v>
      </c>
      <c r="V49" s="78">
        <f t="shared" si="5"/>
        <v>3.54</v>
      </c>
      <c r="W49" s="78">
        <v>3.54</v>
      </c>
      <c r="X49" s="78">
        <f t="shared" si="5"/>
        <v>3.54</v>
      </c>
      <c r="Y49" s="78">
        <v>3.54</v>
      </c>
      <c r="Z49" s="78">
        <f t="shared" si="5"/>
        <v>3.54</v>
      </c>
      <c r="AA49" s="78">
        <f t="shared" si="5"/>
        <v>3.54</v>
      </c>
      <c r="AB49" s="78">
        <f t="shared" si="5"/>
        <v>3.54</v>
      </c>
      <c r="AC49" s="78">
        <f t="shared" si="5"/>
        <v>3.54</v>
      </c>
      <c r="AD49" s="78">
        <f t="shared" si="5"/>
        <v>3.54</v>
      </c>
      <c r="AE49" s="78">
        <f t="shared" si="5"/>
        <v>3.54</v>
      </c>
      <c r="AF49" s="78">
        <f t="shared" si="5"/>
        <v>3.54</v>
      </c>
      <c r="AG49" s="78">
        <f t="shared" si="5"/>
        <v>8.56</v>
      </c>
      <c r="AH49" s="56">
        <f t="shared" si="2"/>
        <v>3.54</v>
      </c>
      <c r="AI49" s="57">
        <f t="shared" si="3"/>
        <v>3.54</v>
      </c>
      <c r="AK49" s="58"/>
    </row>
    <row r="50" spans="1:37" ht="15.75" thickBot="1" x14ac:dyDescent="0.3">
      <c r="A50" s="73" t="s">
        <v>58</v>
      </c>
      <c r="B50" s="74">
        <f>SUM(B37:B49)</f>
        <v>203.43999999999997</v>
      </c>
      <c r="C50" s="74">
        <f t="shared" ref="C50:AF50" si="6">SUM(C37:C49)</f>
        <v>173.44</v>
      </c>
      <c r="D50" s="74">
        <f t="shared" si="6"/>
        <v>173.44</v>
      </c>
      <c r="E50" s="74">
        <f t="shared" si="6"/>
        <v>195.14</v>
      </c>
      <c r="F50" s="74">
        <f t="shared" si="6"/>
        <v>205.14</v>
      </c>
      <c r="G50" s="74">
        <f t="shared" si="6"/>
        <v>228.14</v>
      </c>
      <c r="H50" s="74">
        <f t="shared" si="6"/>
        <v>235.14</v>
      </c>
      <c r="I50" s="74">
        <f t="shared" si="6"/>
        <v>314.54000000000008</v>
      </c>
      <c r="J50" s="74">
        <f t="shared" si="6"/>
        <v>385.44000000000005</v>
      </c>
      <c r="K50" s="74">
        <f t="shared" si="6"/>
        <v>410.54000000000008</v>
      </c>
      <c r="L50" s="74">
        <f t="shared" si="6"/>
        <v>401.84000000000009</v>
      </c>
      <c r="M50" s="74">
        <f t="shared" si="6"/>
        <v>401.84000000000009</v>
      </c>
      <c r="N50" s="74">
        <f t="shared" si="6"/>
        <v>388.24000000000007</v>
      </c>
      <c r="O50" s="74">
        <f t="shared" si="6"/>
        <v>378.24000000000007</v>
      </c>
      <c r="P50" s="74">
        <f t="shared" si="6"/>
        <v>339.74000000000007</v>
      </c>
      <c r="Q50" s="74">
        <f t="shared" si="6"/>
        <v>333.34000000000009</v>
      </c>
      <c r="R50" s="74">
        <f t="shared" si="6"/>
        <v>333.34000000000009</v>
      </c>
      <c r="S50" s="74">
        <f t="shared" si="6"/>
        <v>333.34000000000009</v>
      </c>
      <c r="T50" s="74">
        <f t="shared" si="6"/>
        <v>397.24000000000012</v>
      </c>
      <c r="U50" s="74">
        <f t="shared" si="6"/>
        <v>405.24000000000012</v>
      </c>
      <c r="V50" s="74">
        <f t="shared" si="6"/>
        <v>414.54000000000013</v>
      </c>
      <c r="W50" s="74">
        <f t="shared" si="6"/>
        <v>437.84000000000003</v>
      </c>
      <c r="X50" s="74">
        <f t="shared" si="6"/>
        <v>428.54000000000008</v>
      </c>
      <c r="Y50" s="74">
        <f t="shared" si="6"/>
        <v>416.24000000000007</v>
      </c>
      <c r="Z50" s="74">
        <f t="shared" si="6"/>
        <v>381.04000000000013</v>
      </c>
      <c r="AA50" s="74">
        <f t="shared" si="6"/>
        <v>385.44000000000011</v>
      </c>
      <c r="AB50" s="74">
        <f t="shared" si="6"/>
        <v>364.34000000000009</v>
      </c>
      <c r="AC50" s="74">
        <f t="shared" si="6"/>
        <v>353.64000000000004</v>
      </c>
      <c r="AD50" s="74">
        <f t="shared" si="6"/>
        <v>293.14000000000004</v>
      </c>
      <c r="AE50" s="74">
        <f t="shared" si="6"/>
        <v>241.94</v>
      </c>
      <c r="AF50" s="74">
        <f t="shared" si="6"/>
        <v>241.94</v>
      </c>
      <c r="AG50" s="79">
        <f>SUM(AG37:AG49)</f>
        <v>489.91</v>
      </c>
      <c r="AH50" s="56">
        <f t="shared" si="2"/>
        <v>437.84000000000003</v>
      </c>
      <c r="AI50" s="57">
        <f t="shared" si="3"/>
        <v>173.44</v>
      </c>
      <c r="AK50" s="58"/>
    </row>
    <row r="51" spans="1:37" x14ac:dyDescent="0.25">
      <c r="A51" s="59" t="s">
        <v>59</v>
      </c>
      <c r="B51" s="50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25.5</v>
      </c>
      <c r="X51" s="50">
        <v>30</v>
      </c>
      <c r="Y51" s="50">
        <v>13.9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64">
        <v>60</v>
      </c>
      <c r="AH51" s="56">
        <f t="shared" si="2"/>
        <v>30</v>
      </c>
      <c r="AI51" s="57">
        <f t="shared" si="3"/>
        <v>0</v>
      </c>
      <c r="AK51" s="58"/>
    </row>
    <row r="52" spans="1:37" x14ac:dyDescent="0.25">
      <c r="A52" s="68" t="s">
        <v>60</v>
      </c>
      <c r="B52" s="52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0">
        <v>9.6999999999999993</v>
      </c>
      <c r="X52" s="52">
        <v>15.7</v>
      </c>
      <c r="Y52" s="52">
        <v>6.9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69">
        <v>32</v>
      </c>
      <c r="AH52" s="56">
        <f t="shared" si="2"/>
        <v>15.7</v>
      </c>
      <c r="AI52" s="57">
        <f t="shared" si="3"/>
        <v>0</v>
      </c>
      <c r="AK52" s="58"/>
    </row>
    <row r="53" spans="1:37" ht="15.75" thickBot="1" x14ac:dyDescent="0.3">
      <c r="A53" s="77" t="s">
        <v>61</v>
      </c>
      <c r="B53" s="82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50">
        <v>3.5</v>
      </c>
      <c r="X53" s="82">
        <v>7.8</v>
      </c>
      <c r="Y53" s="82">
        <v>2.5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3">
        <v>14</v>
      </c>
      <c r="AH53" s="56">
        <f t="shared" si="2"/>
        <v>7.8</v>
      </c>
      <c r="AI53" s="57">
        <f t="shared" si="3"/>
        <v>0</v>
      </c>
      <c r="AK53" s="58"/>
    </row>
    <row r="54" spans="1:37" ht="15.75" thickBot="1" x14ac:dyDescent="0.3">
      <c r="A54" s="73" t="s">
        <v>62</v>
      </c>
      <c r="B54" s="74">
        <f>SUM(B51:B53)</f>
        <v>0</v>
      </c>
      <c r="C54" s="74">
        <f t="shared" ref="C54:AF54" si="7">SUM(C51:C53)</f>
        <v>0</v>
      </c>
      <c r="D54" s="74">
        <f t="shared" si="7"/>
        <v>0</v>
      </c>
      <c r="E54" s="74">
        <f t="shared" si="7"/>
        <v>0</v>
      </c>
      <c r="F54" s="74">
        <f t="shared" si="7"/>
        <v>0</v>
      </c>
      <c r="G54" s="74">
        <f t="shared" si="7"/>
        <v>0</v>
      </c>
      <c r="H54" s="74">
        <f t="shared" si="7"/>
        <v>0</v>
      </c>
      <c r="I54" s="74">
        <f t="shared" si="7"/>
        <v>0</v>
      </c>
      <c r="J54" s="74">
        <f t="shared" si="7"/>
        <v>0</v>
      </c>
      <c r="K54" s="74">
        <f t="shared" si="7"/>
        <v>0</v>
      </c>
      <c r="L54" s="74">
        <f t="shared" si="7"/>
        <v>0</v>
      </c>
      <c r="M54" s="74">
        <f t="shared" si="7"/>
        <v>0</v>
      </c>
      <c r="N54" s="74">
        <f t="shared" si="7"/>
        <v>0</v>
      </c>
      <c r="O54" s="74">
        <f t="shared" si="7"/>
        <v>0</v>
      </c>
      <c r="P54" s="74">
        <f t="shared" si="7"/>
        <v>0</v>
      </c>
      <c r="Q54" s="74">
        <f t="shared" si="7"/>
        <v>0</v>
      </c>
      <c r="R54" s="74">
        <f t="shared" si="7"/>
        <v>0</v>
      </c>
      <c r="S54" s="74">
        <f t="shared" si="7"/>
        <v>0</v>
      </c>
      <c r="T54" s="74">
        <f t="shared" si="7"/>
        <v>0</v>
      </c>
      <c r="U54" s="74">
        <f t="shared" si="7"/>
        <v>0</v>
      </c>
      <c r="V54" s="74">
        <f t="shared" si="7"/>
        <v>0</v>
      </c>
      <c r="W54" s="74">
        <f t="shared" si="7"/>
        <v>38.700000000000003</v>
      </c>
      <c r="X54" s="74">
        <f t="shared" si="7"/>
        <v>53.5</v>
      </c>
      <c r="Y54" s="74">
        <f t="shared" si="7"/>
        <v>23.3</v>
      </c>
      <c r="Z54" s="74">
        <f t="shared" si="7"/>
        <v>0</v>
      </c>
      <c r="AA54" s="74">
        <f t="shared" si="7"/>
        <v>0</v>
      </c>
      <c r="AB54" s="74">
        <f t="shared" si="7"/>
        <v>0</v>
      </c>
      <c r="AC54" s="74">
        <f t="shared" si="7"/>
        <v>0</v>
      </c>
      <c r="AD54" s="74">
        <f t="shared" si="7"/>
        <v>0</v>
      </c>
      <c r="AE54" s="74">
        <f t="shared" si="7"/>
        <v>0</v>
      </c>
      <c r="AF54" s="74">
        <f t="shared" si="7"/>
        <v>0</v>
      </c>
      <c r="AG54" s="79">
        <f>SUM(AG51:AG53)</f>
        <v>106</v>
      </c>
      <c r="AH54" s="56">
        <f t="shared" si="2"/>
        <v>53.5</v>
      </c>
      <c r="AI54" s="57">
        <f t="shared" si="3"/>
        <v>0</v>
      </c>
      <c r="AK54" s="58"/>
    </row>
    <row r="55" spans="1:37" x14ac:dyDescent="0.25">
      <c r="A55" s="59" t="s">
        <v>63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64"/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68" t="s">
        <v>64</v>
      </c>
      <c r="B56" s="52">
        <v>0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84">
        <v>0</v>
      </c>
      <c r="X56" s="50">
        <v>0</v>
      </c>
      <c r="Y56" s="50">
        <v>0</v>
      </c>
      <c r="Z56" s="50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2">
        <v>0</v>
      </c>
      <c r="AG56" s="69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65</v>
      </c>
      <c r="B57" s="52">
        <v>-15.7</v>
      </c>
      <c r="C57" s="52">
        <v>-28</v>
      </c>
      <c r="D57" s="52">
        <v>-12</v>
      </c>
      <c r="E57" s="52">
        <v>0</v>
      </c>
      <c r="F57" s="52">
        <v>-15</v>
      </c>
      <c r="G57" s="52">
        <v>-18</v>
      </c>
      <c r="H57" s="52">
        <v>-6</v>
      </c>
      <c r="I57" s="52">
        <v>-7</v>
      </c>
      <c r="J57" s="52">
        <v>-6</v>
      </c>
      <c r="K57" s="52">
        <v>-15</v>
      </c>
      <c r="L57" s="52">
        <v>-14.8</v>
      </c>
      <c r="M57" s="52">
        <v>-35.299999999999997</v>
      </c>
      <c r="N57" s="52">
        <v>-9.6</v>
      </c>
      <c r="O57" s="52">
        <v>-47.8</v>
      </c>
      <c r="P57" s="52">
        <v>-12</v>
      </c>
      <c r="Q57" s="52">
        <v>-23.1</v>
      </c>
      <c r="R57" s="52">
        <v>-14</v>
      </c>
      <c r="S57" s="52">
        <v>-31</v>
      </c>
      <c r="T57" s="52">
        <v>-18</v>
      </c>
      <c r="U57" s="52">
        <v>-19.600000000000001</v>
      </c>
      <c r="V57" s="52">
        <v>-30.2</v>
      </c>
      <c r="W57" s="85">
        <v>-5</v>
      </c>
      <c r="X57" s="52">
        <v>-32.200000000000003</v>
      </c>
      <c r="Y57" s="52">
        <v>-38.200000000000003</v>
      </c>
      <c r="Z57" s="52">
        <v>-22</v>
      </c>
      <c r="AA57" s="52">
        <v>-22.1</v>
      </c>
      <c r="AB57" s="52">
        <v>-21.8</v>
      </c>
      <c r="AC57" s="52">
        <v>-23.4</v>
      </c>
      <c r="AD57" s="52">
        <v>-32.200000000000003</v>
      </c>
      <c r="AE57" s="52">
        <v>-22.7</v>
      </c>
      <c r="AF57" s="52">
        <v>-33.5</v>
      </c>
      <c r="AG57" s="86"/>
      <c r="AH57" s="56">
        <f t="shared" si="2"/>
        <v>0</v>
      </c>
      <c r="AI57" s="57">
        <f t="shared" si="3"/>
        <v>-47.8</v>
      </c>
      <c r="AK57" s="58"/>
    </row>
    <row r="58" spans="1:37" x14ac:dyDescent="0.25">
      <c r="A58" s="68" t="s">
        <v>66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60">
        <v>0</v>
      </c>
      <c r="AF58" s="60">
        <v>0</v>
      </c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67</v>
      </c>
      <c r="B59" s="5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60">
        <v>0</v>
      </c>
      <c r="AF59" s="5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68</v>
      </c>
      <c r="B60" s="6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0">
        <v>0</v>
      </c>
      <c r="AF60" s="6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69</v>
      </c>
      <c r="B61" s="62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50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0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2">
        <v>0</v>
      </c>
      <c r="AC62" s="60">
        <v>0</v>
      </c>
      <c r="AD62" s="60">
        <v>0</v>
      </c>
      <c r="AE62" s="60">
        <v>0</v>
      </c>
      <c r="AF62" s="6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2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87" t="s">
        <v>72</v>
      </c>
      <c r="B64" s="65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2">
        <v>0</v>
      </c>
      <c r="AC64" s="65">
        <v>0</v>
      </c>
      <c r="AD64" s="65">
        <v>0</v>
      </c>
      <c r="AE64" s="60">
        <v>0</v>
      </c>
      <c r="AF64" s="65">
        <v>0</v>
      </c>
      <c r="AG64" s="88"/>
      <c r="AH64" s="56">
        <f t="shared" si="2"/>
        <v>0</v>
      </c>
      <c r="AI64" s="57">
        <f t="shared" si="3"/>
        <v>0</v>
      </c>
      <c r="AK64" s="58"/>
    </row>
    <row r="65" spans="1:88" ht="15.75" thickBot="1" x14ac:dyDescent="0.3">
      <c r="A65" s="87" t="s">
        <v>73</v>
      </c>
      <c r="B65" s="65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0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2">
        <v>0</v>
      </c>
      <c r="AC65" s="65">
        <v>0</v>
      </c>
      <c r="AD65" s="65">
        <v>0</v>
      </c>
      <c r="AE65" s="60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73" t="s">
        <v>74</v>
      </c>
      <c r="B66" s="74">
        <f>SUM(B55:B65)</f>
        <v>-15.7</v>
      </c>
      <c r="C66" s="74">
        <f t="shared" ref="C66:AF66" si="8">SUM(C55:C65)</f>
        <v>-28</v>
      </c>
      <c r="D66" s="74">
        <f t="shared" si="8"/>
        <v>-12</v>
      </c>
      <c r="E66" s="74">
        <f t="shared" si="8"/>
        <v>0</v>
      </c>
      <c r="F66" s="74">
        <f t="shared" si="8"/>
        <v>-15</v>
      </c>
      <c r="G66" s="74">
        <f t="shared" si="8"/>
        <v>-18</v>
      </c>
      <c r="H66" s="74">
        <f t="shared" si="8"/>
        <v>-6</v>
      </c>
      <c r="I66" s="74">
        <f t="shared" si="8"/>
        <v>-7</v>
      </c>
      <c r="J66" s="74">
        <f t="shared" si="8"/>
        <v>-6</v>
      </c>
      <c r="K66" s="74">
        <f t="shared" si="8"/>
        <v>-15</v>
      </c>
      <c r="L66" s="74">
        <f t="shared" si="8"/>
        <v>-14.8</v>
      </c>
      <c r="M66" s="74">
        <f t="shared" si="8"/>
        <v>-35.299999999999997</v>
      </c>
      <c r="N66" s="74">
        <f t="shared" si="8"/>
        <v>-9.6</v>
      </c>
      <c r="O66" s="74">
        <f t="shared" si="8"/>
        <v>-47.8</v>
      </c>
      <c r="P66" s="74">
        <f t="shared" si="8"/>
        <v>-12</v>
      </c>
      <c r="Q66" s="74">
        <f t="shared" si="8"/>
        <v>-23.1</v>
      </c>
      <c r="R66" s="74">
        <f t="shared" si="8"/>
        <v>-14</v>
      </c>
      <c r="S66" s="74">
        <f t="shared" si="8"/>
        <v>-31</v>
      </c>
      <c r="T66" s="74">
        <f t="shared" si="8"/>
        <v>-18</v>
      </c>
      <c r="U66" s="74">
        <f t="shared" si="8"/>
        <v>-19.600000000000001</v>
      </c>
      <c r="V66" s="74">
        <f t="shared" si="8"/>
        <v>-30.2</v>
      </c>
      <c r="W66" s="74">
        <f t="shared" si="8"/>
        <v>-5</v>
      </c>
      <c r="X66" s="74">
        <f t="shared" si="8"/>
        <v>-32.200000000000003</v>
      </c>
      <c r="Y66" s="74">
        <f t="shared" si="8"/>
        <v>-38.200000000000003</v>
      </c>
      <c r="Z66" s="74">
        <f t="shared" si="8"/>
        <v>-22</v>
      </c>
      <c r="AA66" s="74">
        <f t="shared" si="8"/>
        <v>-22.1</v>
      </c>
      <c r="AB66" s="74">
        <f t="shared" si="8"/>
        <v>-21.8</v>
      </c>
      <c r="AC66" s="74">
        <f t="shared" si="8"/>
        <v>-23.4</v>
      </c>
      <c r="AD66" s="74">
        <f t="shared" si="8"/>
        <v>-32.200000000000003</v>
      </c>
      <c r="AE66" s="74">
        <f t="shared" si="8"/>
        <v>-22.7</v>
      </c>
      <c r="AF66" s="74">
        <f t="shared" si="8"/>
        <v>-33.5</v>
      </c>
      <c r="AG66" s="79">
        <f>SUM(AG55:AG65)</f>
        <v>0</v>
      </c>
      <c r="AH66" s="56">
        <f t="shared" si="2"/>
        <v>0</v>
      </c>
      <c r="AI66" s="57">
        <f t="shared" si="3"/>
        <v>-47.8</v>
      </c>
      <c r="AK66" s="58"/>
    </row>
    <row r="67" spans="1:88" x14ac:dyDescent="0.25">
      <c r="A67" s="59" t="s">
        <v>242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89">
        <v>39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68" t="s">
        <v>243</v>
      </c>
      <c r="B68" s="62">
        <v>0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86">
        <v>14.4</v>
      </c>
      <c r="AH68" s="56">
        <f t="shared" si="2"/>
        <v>0</v>
      </c>
      <c r="AI68" s="57">
        <f t="shared" si="3"/>
        <v>0</v>
      </c>
      <c r="AK68" s="58"/>
    </row>
    <row r="69" spans="1:88" ht="15.75" thickBot="1" x14ac:dyDescent="0.3">
      <c r="A69" s="87" t="s">
        <v>244</v>
      </c>
      <c r="B69" s="65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r="AF69" s="65">
        <v>0</v>
      </c>
      <c r="AG69" s="88">
        <v>2</v>
      </c>
      <c r="AH69" s="56">
        <f t="shared" si="2"/>
        <v>0</v>
      </c>
      <c r="AI69" s="57">
        <f t="shared" si="3"/>
        <v>0</v>
      </c>
    </row>
    <row r="70" spans="1:88" s="1" customFormat="1" ht="15.75" thickBot="1" x14ac:dyDescent="0.3">
      <c r="A70" s="73" t="s">
        <v>78</v>
      </c>
      <c r="B70" s="74">
        <f>SUM(B67:B69)</f>
        <v>0</v>
      </c>
      <c r="C70" s="74">
        <f t="shared" ref="C70:AF70" si="9">SUM(C67:C69)</f>
        <v>0</v>
      </c>
      <c r="D70" s="74">
        <f t="shared" si="9"/>
        <v>0</v>
      </c>
      <c r="E70" s="74">
        <f t="shared" si="9"/>
        <v>0</v>
      </c>
      <c r="F70" s="74">
        <f t="shared" si="9"/>
        <v>0</v>
      </c>
      <c r="G70" s="74">
        <f t="shared" si="9"/>
        <v>0</v>
      </c>
      <c r="H70" s="74">
        <f t="shared" si="9"/>
        <v>0</v>
      </c>
      <c r="I70" s="74">
        <f t="shared" si="9"/>
        <v>0</v>
      </c>
      <c r="J70" s="74">
        <f t="shared" si="9"/>
        <v>0</v>
      </c>
      <c r="K70" s="74">
        <f t="shared" si="9"/>
        <v>0</v>
      </c>
      <c r="L70" s="74">
        <f t="shared" si="9"/>
        <v>0</v>
      </c>
      <c r="M70" s="74">
        <f t="shared" si="9"/>
        <v>0</v>
      </c>
      <c r="N70" s="74">
        <f t="shared" si="9"/>
        <v>0</v>
      </c>
      <c r="O70" s="74">
        <f t="shared" si="9"/>
        <v>0</v>
      </c>
      <c r="P70" s="74">
        <f t="shared" si="9"/>
        <v>0</v>
      </c>
      <c r="Q70" s="74">
        <f t="shared" si="9"/>
        <v>0</v>
      </c>
      <c r="R70" s="74">
        <f t="shared" si="9"/>
        <v>0</v>
      </c>
      <c r="S70" s="74">
        <f t="shared" si="9"/>
        <v>0</v>
      </c>
      <c r="T70" s="74">
        <f t="shared" si="9"/>
        <v>0</v>
      </c>
      <c r="U70" s="74">
        <f t="shared" si="9"/>
        <v>0</v>
      </c>
      <c r="V70" s="74">
        <f t="shared" si="9"/>
        <v>0</v>
      </c>
      <c r="W70" s="74">
        <f t="shared" si="9"/>
        <v>0</v>
      </c>
      <c r="X70" s="74">
        <f t="shared" si="9"/>
        <v>0</v>
      </c>
      <c r="Y70" s="74">
        <f t="shared" si="9"/>
        <v>0</v>
      </c>
      <c r="Z70" s="74">
        <f t="shared" si="9"/>
        <v>0</v>
      </c>
      <c r="AA70" s="74">
        <f t="shared" si="9"/>
        <v>0</v>
      </c>
      <c r="AB70" s="74">
        <f t="shared" si="9"/>
        <v>0</v>
      </c>
      <c r="AC70" s="74">
        <f t="shared" si="9"/>
        <v>0</v>
      </c>
      <c r="AD70" s="74">
        <f t="shared" si="9"/>
        <v>0</v>
      </c>
      <c r="AE70" s="74">
        <f t="shared" si="9"/>
        <v>0</v>
      </c>
      <c r="AF70" s="74">
        <f t="shared" si="9"/>
        <v>0</v>
      </c>
      <c r="AG70" s="79">
        <f>SUM(AG67:AG69)</f>
        <v>55.4</v>
      </c>
      <c r="AH70" s="56">
        <f t="shared" si="2"/>
        <v>0</v>
      </c>
      <c r="AI70" s="57">
        <f t="shared" si="3"/>
        <v>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73" t="s">
        <v>79</v>
      </c>
      <c r="B71" s="90">
        <f>B66+B54+B50+B36+B70</f>
        <v>815.74</v>
      </c>
      <c r="C71" s="90">
        <f t="shared" ref="C71:AG71" si="10">C66+C54+C50+C36+C70</f>
        <v>773.44</v>
      </c>
      <c r="D71" s="90">
        <f t="shared" si="10"/>
        <v>789.44</v>
      </c>
      <c r="E71" s="90">
        <f t="shared" si="10"/>
        <v>823.14</v>
      </c>
      <c r="F71" s="90">
        <f t="shared" si="10"/>
        <v>868.14</v>
      </c>
      <c r="G71" s="90">
        <f t="shared" si="10"/>
        <v>918.14</v>
      </c>
      <c r="H71" s="90">
        <f t="shared" si="10"/>
        <v>980.64</v>
      </c>
      <c r="I71" s="90">
        <f t="shared" si="10"/>
        <v>1074.04</v>
      </c>
      <c r="J71" s="90">
        <f t="shared" si="10"/>
        <v>1165.94</v>
      </c>
      <c r="K71" s="90">
        <f t="shared" si="10"/>
        <v>1182.04</v>
      </c>
      <c r="L71" s="90">
        <f t="shared" si="10"/>
        <v>1190.44</v>
      </c>
      <c r="M71" s="90">
        <f t="shared" si="10"/>
        <v>1142.8400000000001</v>
      </c>
      <c r="N71" s="90">
        <f t="shared" si="10"/>
        <v>1139.8400000000001</v>
      </c>
      <c r="O71" s="90">
        <f t="shared" si="10"/>
        <v>1088.3400000000001</v>
      </c>
      <c r="P71" s="90">
        <f t="shared" si="10"/>
        <v>1065.6400000000001</v>
      </c>
      <c r="Q71" s="90">
        <f t="shared" si="10"/>
        <v>1048.94</v>
      </c>
      <c r="R71" s="90">
        <f t="shared" si="10"/>
        <v>1028.0400000000002</v>
      </c>
      <c r="S71" s="90">
        <f t="shared" si="10"/>
        <v>1011.0400000000002</v>
      </c>
      <c r="T71" s="90">
        <f t="shared" si="10"/>
        <v>1107.8400000000001</v>
      </c>
      <c r="U71" s="90">
        <f t="shared" si="10"/>
        <v>1149.24</v>
      </c>
      <c r="V71" s="90">
        <f t="shared" si="10"/>
        <v>1262.94</v>
      </c>
      <c r="W71" s="90">
        <f t="shared" si="10"/>
        <v>1405.14</v>
      </c>
      <c r="X71" s="90">
        <f t="shared" si="10"/>
        <v>1346.44</v>
      </c>
      <c r="Y71" s="90">
        <f t="shared" si="10"/>
        <v>1287.94</v>
      </c>
      <c r="Z71" s="90">
        <f t="shared" si="10"/>
        <v>1205.6400000000001</v>
      </c>
      <c r="AA71" s="90">
        <f t="shared" si="10"/>
        <v>1179.94</v>
      </c>
      <c r="AB71" s="90">
        <f t="shared" si="10"/>
        <v>1119.1399999999999</v>
      </c>
      <c r="AC71" s="90">
        <f t="shared" si="10"/>
        <v>1052.74</v>
      </c>
      <c r="AD71" s="90">
        <f t="shared" si="10"/>
        <v>943.44</v>
      </c>
      <c r="AE71" s="90">
        <f t="shared" si="10"/>
        <v>873.74</v>
      </c>
      <c r="AF71" s="90">
        <f t="shared" si="10"/>
        <v>862.94</v>
      </c>
      <c r="AG71" s="90">
        <f t="shared" si="10"/>
        <v>2083.14</v>
      </c>
      <c r="AH71" s="56">
        <f t="shared" si="2"/>
        <v>1405.14</v>
      </c>
      <c r="AI71" s="57">
        <f t="shared" si="3"/>
        <v>773.44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91" t="s">
        <v>80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>
        <v>20</v>
      </c>
      <c r="S72" s="92">
        <v>20</v>
      </c>
      <c r="T72" s="92">
        <v>20</v>
      </c>
      <c r="U72" s="92">
        <v>20</v>
      </c>
      <c r="V72" s="92">
        <v>20</v>
      </c>
      <c r="W72" s="92">
        <v>20</v>
      </c>
      <c r="X72" s="92">
        <v>20</v>
      </c>
      <c r="Y72" s="92">
        <v>20</v>
      </c>
      <c r="Z72" s="92">
        <v>20</v>
      </c>
      <c r="AA72" s="92">
        <v>20</v>
      </c>
      <c r="AB72" s="92">
        <v>20</v>
      </c>
      <c r="AC72" s="92">
        <v>20</v>
      </c>
      <c r="AD72" s="92">
        <v>20</v>
      </c>
      <c r="AE72" s="92">
        <v>20</v>
      </c>
      <c r="AF72" s="92">
        <v>20</v>
      </c>
      <c r="AG72" s="79"/>
      <c r="AH72" s="56">
        <f t="shared" si="2"/>
        <v>20</v>
      </c>
      <c r="AI72" s="57">
        <f t="shared" si="3"/>
        <v>20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3" t="s">
        <v>81</v>
      </c>
      <c r="B73" s="90">
        <f>B70+B66+B54+B50+B36+B72</f>
        <v>815.74</v>
      </c>
      <c r="C73" s="90">
        <f t="shared" ref="C73:AF73" si="11">C70+C66+C54+C50+C36+C72</f>
        <v>773.44</v>
      </c>
      <c r="D73" s="90">
        <f t="shared" si="11"/>
        <v>789.44</v>
      </c>
      <c r="E73" s="90">
        <f t="shared" si="11"/>
        <v>823.14</v>
      </c>
      <c r="F73" s="90">
        <f t="shared" si="11"/>
        <v>868.14</v>
      </c>
      <c r="G73" s="90">
        <f t="shared" si="11"/>
        <v>918.14</v>
      </c>
      <c r="H73" s="90">
        <f t="shared" si="11"/>
        <v>980.64</v>
      </c>
      <c r="I73" s="90">
        <f t="shared" si="11"/>
        <v>1074.04</v>
      </c>
      <c r="J73" s="90">
        <f t="shared" si="11"/>
        <v>1165.94</v>
      </c>
      <c r="K73" s="90">
        <f t="shared" si="11"/>
        <v>1182.04</v>
      </c>
      <c r="L73" s="90">
        <f t="shared" si="11"/>
        <v>1190.44</v>
      </c>
      <c r="M73" s="90">
        <f t="shared" si="11"/>
        <v>1142.8400000000001</v>
      </c>
      <c r="N73" s="90">
        <f t="shared" si="11"/>
        <v>1139.8400000000001</v>
      </c>
      <c r="O73" s="90">
        <f t="shared" si="11"/>
        <v>1088.3400000000001</v>
      </c>
      <c r="P73" s="90">
        <f t="shared" si="11"/>
        <v>1065.6400000000001</v>
      </c>
      <c r="Q73" s="90">
        <f t="shared" si="11"/>
        <v>1048.94</v>
      </c>
      <c r="R73" s="90">
        <f t="shared" si="11"/>
        <v>1048.0400000000002</v>
      </c>
      <c r="S73" s="90">
        <f t="shared" si="11"/>
        <v>1031.0400000000002</v>
      </c>
      <c r="T73" s="90">
        <f t="shared" si="11"/>
        <v>1127.8400000000001</v>
      </c>
      <c r="U73" s="90">
        <f t="shared" si="11"/>
        <v>1169.24</v>
      </c>
      <c r="V73" s="90">
        <f t="shared" si="11"/>
        <v>1282.94</v>
      </c>
      <c r="W73" s="90">
        <f t="shared" si="11"/>
        <v>1425.14</v>
      </c>
      <c r="X73" s="90">
        <f t="shared" si="11"/>
        <v>1366.44</v>
      </c>
      <c r="Y73" s="90">
        <f t="shared" si="11"/>
        <v>1307.94</v>
      </c>
      <c r="Z73" s="90">
        <f t="shared" si="11"/>
        <v>1225.6400000000001</v>
      </c>
      <c r="AA73" s="90">
        <f t="shared" si="11"/>
        <v>1199.94</v>
      </c>
      <c r="AB73" s="90">
        <f t="shared" si="11"/>
        <v>1139.1399999999999</v>
      </c>
      <c r="AC73" s="90">
        <f t="shared" si="11"/>
        <v>1072.74</v>
      </c>
      <c r="AD73" s="90">
        <f t="shared" si="11"/>
        <v>963.44</v>
      </c>
      <c r="AE73" s="90">
        <f t="shared" si="11"/>
        <v>893.74</v>
      </c>
      <c r="AF73" s="90">
        <f t="shared" si="11"/>
        <v>882.94</v>
      </c>
      <c r="AG73" s="79">
        <f>AG70+AG66+AG54+AG50+AG36+AG72</f>
        <v>2083.14</v>
      </c>
      <c r="AH73" s="56">
        <f t="shared" si="2"/>
        <v>1425.14</v>
      </c>
      <c r="AI73" s="57">
        <f t="shared" si="3"/>
        <v>773.44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9" t="s">
        <v>66</v>
      </c>
      <c r="B74" s="60">
        <f>IF(B58&lt;0,B58*-1,0)</f>
        <v>0</v>
      </c>
      <c r="C74" s="60">
        <f t="shared" ref="C74:AF74" si="12">IF(C58&lt;0,C58*-1,0)</f>
        <v>0</v>
      </c>
      <c r="D74" s="60">
        <f t="shared" si="12"/>
        <v>0</v>
      </c>
      <c r="E74" s="60">
        <f t="shared" si="12"/>
        <v>0</v>
      </c>
      <c r="F74" s="60">
        <f t="shared" si="12"/>
        <v>0</v>
      </c>
      <c r="G74" s="60">
        <f t="shared" si="12"/>
        <v>0</v>
      </c>
      <c r="H74" s="60">
        <f t="shared" si="12"/>
        <v>0</v>
      </c>
      <c r="I74" s="60">
        <f t="shared" si="12"/>
        <v>0</v>
      </c>
      <c r="J74" s="60">
        <f t="shared" si="12"/>
        <v>0</v>
      </c>
      <c r="K74" s="60">
        <f t="shared" si="12"/>
        <v>0</v>
      </c>
      <c r="L74" s="60">
        <f t="shared" si="12"/>
        <v>0</v>
      </c>
      <c r="M74" s="60">
        <f t="shared" si="12"/>
        <v>0</v>
      </c>
      <c r="N74" s="60">
        <f t="shared" si="12"/>
        <v>0</v>
      </c>
      <c r="O74" s="60">
        <f t="shared" si="12"/>
        <v>0</v>
      </c>
      <c r="P74" s="60">
        <f t="shared" si="12"/>
        <v>0</v>
      </c>
      <c r="Q74" s="60">
        <f t="shared" si="12"/>
        <v>0</v>
      </c>
      <c r="R74" s="60">
        <f t="shared" si="12"/>
        <v>0</v>
      </c>
      <c r="S74" s="60">
        <f t="shared" si="12"/>
        <v>0</v>
      </c>
      <c r="T74" s="60">
        <f t="shared" si="12"/>
        <v>0</v>
      </c>
      <c r="U74" s="60">
        <f t="shared" si="12"/>
        <v>0</v>
      </c>
      <c r="V74" s="60">
        <f t="shared" si="12"/>
        <v>0</v>
      </c>
      <c r="W74" s="60">
        <f t="shared" si="12"/>
        <v>0</v>
      </c>
      <c r="X74" s="60">
        <f t="shared" si="12"/>
        <v>0</v>
      </c>
      <c r="Y74" s="60">
        <f t="shared" si="12"/>
        <v>0</v>
      </c>
      <c r="Z74" s="60">
        <f t="shared" si="12"/>
        <v>0</v>
      </c>
      <c r="AA74" s="60">
        <f t="shared" si="12"/>
        <v>0</v>
      </c>
      <c r="AB74" s="60">
        <f t="shared" si="12"/>
        <v>0</v>
      </c>
      <c r="AC74" s="60">
        <f t="shared" si="12"/>
        <v>0</v>
      </c>
      <c r="AD74" s="60">
        <f t="shared" si="12"/>
        <v>0</v>
      </c>
      <c r="AE74" s="60">
        <f t="shared" si="12"/>
        <v>0</v>
      </c>
      <c r="AF74" s="60">
        <f t="shared" si="12"/>
        <v>0</v>
      </c>
      <c r="AG74" s="64"/>
      <c r="AH74" s="56">
        <f t="shared" si="2"/>
        <v>0</v>
      </c>
      <c r="AI74" s="57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68" t="s">
        <v>64</v>
      </c>
      <c r="B75" s="60">
        <f>IF(B56&lt;0,B56*-1,0)</f>
        <v>0</v>
      </c>
      <c r="C75" s="60">
        <f t="shared" ref="C75:AF75" si="13">IF(C56&lt;0,C56*-1,0)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9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7" t="s">
        <v>82</v>
      </c>
      <c r="B76" s="60">
        <f>IF(B59&lt;0,B59*-1,0)</f>
        <v>0</v>
      </c>
      <c r="C76" s="60">
        <f t="shared" ref="C76:AF76" si="14">IF(C59&lt;0,C59*-1,0)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93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83</v>
      </c>
      <c r="B77" s="60">
        <f>IF(B57&lt;0,B57*-1,0)</f>
        <v>15.7</v>
      </c>
      <c r="C77" s="60">
        <f t="shared" ref="C77:AF77" si="15">IF(C57&lt;0,C57*-1,0)</f>
        <v>28</v>
      </c>
      <c r="D77" s="60">
        <f t="shared" si="15"/>
        <v>12</v>
      </c>
      <c r="E77" s="60">
        <f t="shared" si="15"/>
        <v>0</v>
      </c>
      <c r="F77" s="60">
        <f t="shared" si="15"/>
        <v>15</v>
      </c>
      <c r="G77" s="60">
        <f t="shared" si="15"/>
        <v>18</v>
      </c>
      <c r="H77" s="60">
        <f t="shared" si="15"/>
        <v>6</v>
      </c>
      <c r="I77" s="60">
        <f t="shared" si="15"/>
        <v>7</v>
      </c>
      <c r="J77" s="60">
        <f t="shared" si="15"/>
        <v>6</v>
      </c>
      <c r="K77" s="60">
        <f t="shared" si="15"/>
        <v>15</v>
      </c>
      <c r="L77" s="60">
        <f t="shared" si="15"/>
        <v>14.8</v>
      </c>
      <c r="M77" s="60">
        <f t="shared" si="15"/>
        <v>35.299999999999997</v>
      </c>
      <c r="N77" s="60">
        <f t="shared" si="15"/>
        <v>9.6</v>
      </c>
      <c r="O77" s="60">
        <f t="shared" si="15"/>
        <v>47.8</v>
      </c>
      <c r="P77" s="60">
        <f t="shared" si="15"/>
        <v>12</v>
      </c>
      <c r="Q77" s="60">
        <f t="shared" si="15"/>
        <v>23.1</v>
      </c>
      <c r="R77" s="60">
        <f t="shared" si="15"/>
        <v>14</v>
      </c>
      <c r="S77" s="60">
        <f t="shared" si="15"/>
        <v>31</v>
      </c>
      <c r="T77" s="60">
        <f t="shared" si="15"/>
        <v>18</v>
      </c>
      <c r="U77" s="60">
        <f t="shared" si="15"/>
        <v>19.600000000000001</v>
      </c>
      <c r="V77" s="60">
        <f t="shared" si="15"/>
        <v>30.2</v>
      </c>
      <c r="W77" s="60">
        <f t="shared" si="15"/>
        <v>5</v>
      </c>
      <c r="X77" s="60">
        <f t="shared" si="15"/>
        <v>32.200000000000003</v>
      </c>
      <c r="Y77" s="60">
        <f t="shared" si="15"/>
        <v>38.200000000000003</v>
      </c>
      <c r="Z77" s="60">
        <f t="shared" si="15"/>
        <v>22</v>
      </c>
      <c r="AA77" s="60">
        <f t="shared" si="15"/>
        <v>22.1</v>
      </c>
      <c r="AB77" s="60">
        <f t="shared" si="15"/>
        <v>21.8</v>
      </c>
      <c r="AC77" s="60">
        <f t="shared" si="15"/>
        <v>23.4</v>
      </c>
      <c r="AD77" s="60">
        <f t="shared" si="15"/>
        <v>32.200000000000003</v>
      </c>
      <c r="AE77" s="60">
        <f t="shared" si="15"/>
        <v>22.7</v>
      </c>
      <c r="AF77" s="60">
        <f t="shared" si="15"/>
        <v>33.5</v>
      </c>
      <c r="AG77" s="93"/>
      <c r="AH77" s="56">
        <f t="shared" ref="AH77:AH89" si="16">MAX(B77:AF77)</f>
        <v>47.8</v>
      </c>
      <c r="AI77" s="57">
        <f t="shared" ref="AI77:AI89" si="17">MIN(B77:AF77)</f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63</v>
      </c>
      <c r="B78" s="60">
        <f>IF(B55&lt;0,B55*-1,0)</f>
        <v>0</v>
      </c>
      <c r="C78" s="60">
        <f t="shared" ref="C78:AF78" si="18">IF(C55&lt;0,C55*-1,0)</f>
        <v>0</v>
      </c>
      <c r="D78" s="60">
        <f t="shared" si="18"/>
        <v>0</v>
      </c>
      <c r="E78" s="60">
        <f t="shared" si="18"/>
        <v>0</v>
      </c>
      <c r="F78" s="60">
        <f t="shared" si="18"/>
        <v>0</v>
      </c>
      <c r="G78" s="60">
        <f t="shared" si="18"/>
        <v>0</v>
      </c>
      <c r="H78" s="60">
        <f t="shared" si="18"/>
        <v>0</v>
      </c>
      <c r="I78" s="60">
        <f t="shared" si="18"/>
        <v>0</v>
      </c>
      <c r="J78" s="60">
        <f t="shared" si="18"/>
        <v>0</v>
      </c>
      <c r="K78" s="60">
        <f t="shared" si="18"/>
        <v>0</v>
      </c>
      <c r="L78" s="60">
        <f t="shared" si="18"/>
        <v>0</v>
      </c>
      <c r="M78" s="60">
        <f t="shared" si="18"/>
        <v>0</v>
      </c>
      <c r="N78" s="60">
        <f t="shared" si="18"/>
        <v>0</v>
      </c>
      <c r="O78" s="60">
        <f t="shared" si="18"/>
        <v>0</v>
      </c>
      <c r="P78" s="60">
        <f t="shared" si="18"/>
        <v>0</v>
      </c>
      <c r="Q78" s="60">
        <f t="shared" si="18"/>
        <v>0</v>
      </c>
      <c r="R78" s="60">
        <f t="shared" si="18"/>
        <v>0</v>
      </c>
      <c r="S78" s="60">
        <f t="shared" si="18"/>
        <v>0</v>
      </c>
      <c r="T78" s="60">
        <f t="shared" si="18"/>
        <v>0</v>
      </c>
      <c r="U78" s="60">
        <f t="shared" si="18"/>
        <v>0</v>
      </c>
      <c r="V78" s="60">
        <f t="shared" si="18"/>
        <v>0</v>
      </c>
      <c r="W78" s="60">
        <f t="shared" si="18"/>
        <v>0</v>
      </c>
      <c r="X78" s="60">
        <f t="shared" si="18"/>
        <v>0</v>
      </c>
      <c r="Y78" s="60">
        <f t="shared" si="18"/>
        <v>0</v>
      </c>
      <c r="Z78" s="60">
        <f t="shared" si="18"/>
        <v>0</v>
      </c>
      <c r="AA78" s="60">
        <f t="shared" si="18"/>
        <v>0</v>
      </c>
      <c r="AB78" s="60">
        <f t="shared" si="18"/>
        <v>0</v>
      </c>
      <c r="AC78" s="60">
        <f t="shared" si="18"/>
        <v>0</v>
      </c>
      <c r="AD78" s="60">
        <f t="shared" si="18"/>
        <v>0</v>
      </c>
      <c r="AE78" s="60">
        <f t="shared" si="18"/>
        <v>0</v>
      </c>
      <c r="AF78" s="60">
        <f t="shared" si="18"/>
        <v>0</v>
      </c>
      <c r="AG78" s="93"/>
      <c r="AH78" s="56">
        <f t="shared" si="16"/>
        <v>0</v>
      </c>
      <c r="AI78" s="57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ht="15.75" thickBot="1" x14ac:dyDescent="0.3">
      <c r="A79" s="87" t="s">
        <v>84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50"/>
      <c r="S79" s="50"/>
      <c r="T79" s="50"/>
      <c r="U79" s="50"/>
      <c r="V79" s="50"/>
      <c r="W79" s="50"/>
      <c r="X79" s="50"/>
      <c r="Y79" s="50"/>
      <c r="Z79" s="50"/>
      <c r="AA79" s="65"/>
      <c r="AB79" s="65"/>
      <c r="AC79" s="65"/>
      <c r="AD79" s="65"/>
      <c r="AE79" s="65"/>
      <c r="AF79" s="65"/>
      <c r="AG79" s="88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ht="15.75" thickBot="1" x14ac:dyDescent="0.3">
      <c r="A80" s="94" t="s">
        <v>85</v>
      </c>
      <c r="B80" s="74">
        <f>SUM(B74:B79)</f>
        <v>15.7</v>
      </c>
      <c r="C80" s="74">
        <f t="shared" ref="C80:AG80" si="19">SUM(C74:C79)</f>
        <v>28</v>
      </c>
      <c r="D80" s="74">
        <f t="shared" si="19"/>
        <v>12</v>
      </c>
      <c r="E80" s="74">
        <f t="shared" si="19"/>
        <v>0</v>
      </c>
      <c r="F80" s="74">
        <f t="shared" si="19"/>
        <v>15</v>
      </c>
      <c r="G80" s="74">
        <f t="shared" si="19"/>
        <v>18</v>
      </c>
      <c r="H80" s="74">
        <f t="shared" si="19"/>
        <v>6</v>
      </c>
      <c r="I80" s="74">
        <f t="shared" si="19"/>
        <v>7</v>
      </c>
      <c r="J80" s="74">
        <f t="shared" si="19"/>
        <v>6</v>
      </c>
      <c r="K80" s="74">
        <f t="shared" si="19"/>
        <v>15</v>
      </c>
      <c r="L80" s="74">
        <f t="shared" si="19"/>
        <v>14.8</v>
      </c>
      <c r="M80" s="74">
        <f t="shared" si="19"/>
        <v>35.299999999999997</v>
      </c>
      <c r="N80" s="74">
        <f t="shared" si="19"/>
        <v>9.6</v>
      </c>
      <c r="O80" s="74">
        <f t="shared" si="19"/>
        <v>47.8</v>
      </c>
      <c r="P80" s="74">
        <f t="shared" si="19"/>
        <v>12</v>
      </c>
      <c r="Q80" s="74">
        <f t="shared" si="19"/>
        <v>23.1</v>
      </c>
      <c r="R80" s="74">
        <f t="shared" si="19"/>
        <v>14</v>
      </c>
      <c r="S80" s="74">
        <f t="shared" si="19"/>
        <v>31</v>
      </c>
      <c r="T80" s="74">
        <f t="shared" si="19"/>
        <v>18</v>
      </c>
      <c r="U80" s="74">
        <f t="shared" si="19"/>
        <v>19.600000000000001</v>
      </c>
      <c r="V80" s="74">
        <f t="shared" si="19"/>
        <v>30.2</v>
      </c>
      <c r="W80" s="74">
        <f t="shared" si="19"/>
        <v>5</v>
      </c>
      <c r="X80" s="74">
        <f t="shared" si="19"/>
        <v>32.200000000000003</v>
      </c>
      <c r="Y80" s="74">
        <f t="shared" si="19"/>
        <v>38.200000000000003</v>
      </c>
      <c r="Z80" s="74">
        <f t="shared" si="19"/>
        <v>22</v>
      </c>
      <c r="AA80" s="74">
        <f t="shared" si="19"/>
        <v>22.1</v>
      </c>
      <c r="AB80" s="74">
        <f t="shared" si="19"/>
        <v>21.8</v>
      </c>
      <c r="AC80" s="74">
        <f t="shared" si="19"/>
        <v>23.4</v>
      </c>
      <c r="AD80" s="74">
        <f t="shared" si="19"/>
        <v>32.200000000000003</v>
      </c>
      <c r="AE80" s="74">
        <f t="shared" si="19"/>
        <v>22.7</v>
      </c>
      <c r="AF80" s="74">
        <f t="shared" si="19"/>
        <v>33.5</v>
      </c>
      <c r="AG80" s="79">
        <f t="shared" si="19"/>
        <v>0</v>
      </c>
      <c r="AH80" s="56">
        <f t="shared" si="16"/>
        <v>47.8</v>
      </c>
      <c r="AI80" s="57">
        <f t="shared" si="17"/>
        <v>0</v>
      </c>
      <c r="AK80" s="58"/>
    </row>
    <row r="81" spans="1:88" s="1" customFormat="1" ht="15.75" thickBot="1" x14ac:dyDescent="0.3">
      <c r="A81" s="73" t="s">
        <v>86</v>
      </c>
      <c r="B81" s="74">
        <f>SUM(B68:B80)</f>
        <v>1662.88</v>
      </c>
      <c r="C81" s="74">
        <f t="shared" ref="C81:AG81" si="20">SUM(C68:C80)</f>
        <v>1602.88</v>
      </c>
      <c r="D81" s="74">
        <f t="shared" si="20"/>
        <v>1602.88</v>
      </c>
      <c r="E81" s="74">
        <f t="shared" si="20"/>
        <v>1646.28</v>
      </c>
      <c r="F81" s="74">
        <f t="shared" si="20"/>
        <v>1766.28</v>
      </c>
      <c r="G81" s="74">
        <f t="shared" si="20"/>
        <v>1872.28</v>
      </c>
      <c r="H81" s="74">
        <f t="shared" si="20"/>
        <v>1973.28</v>
      </c>
      <c r="I81" s="74">
        <f t="shared" si="20"/>
        <v>2162.08</v>
      </c>
      <c r="J81" s="74">
        <f t="shared" si="20"/>
        <v>2343.88</v>
      </c>
      <c r="K81" s="74">
        <f t="shared" si="20"/>
        <v>2394.08</v>
      </c>
      <c r="L81" s="74">
        <f t="shared" si="20"/>
        <v>2410.4800000000005</v>
      </c>
      <c r="M81" s="74">
        <f t="shared" si="20"/>
        <v>2356.2800000000007</v>
      </c>
      <c r="N81" s="74">
        <f t="shared" si="20"/>
        <v>2298.88</v>
      </c>
      <c r="O81" s="74">
        <f t="shared" si="20"/>
        <v>2272.2800000000007</v>
      </c>
      <c r="P81" s="74">
        <f t="shared" si="20"/>
        <v>2155.2800000000002</v>
      </c>
      <c r="Q81" s="74">
        <f t="shared" si="20"/>
        <v>2144.08</v>
      </c>
      <c r="R81" s="74">
        <f t="shared" si="20"/>
        <v>2124.0800000000004</v>
      </c>
      <c r="S81" s="74">
        <f t="shared" si="20"/>
        <v>2124.0800000000004</v>
      </c>
      <c r="T81" s="74">
        <f t="shared" si="20"/>
        <v>2291.6800000000003</v>
      </c>
      <c r="U81" s="74">
        <f t="shared" si="20"/>
        <v>2377.6799999999998</v>
      </c>
      <c r="V81" s="74">
        <f t="shared" si="20"/>
        <v>2626.2799999999997</v>
      </c>
      <c r="W81" s="74">
        <f t="shared" si="20"/>
        <v>2860.28</v>
      </c>
      <c r="X81" s="74">
        <f t="shared" si="20"/>
        <v>2797.2799999999997</v>
      </c>
      <c r="Y81" s="74">
        <f t="shared" si="20"/>
        <v>2692.2799999999997</v>
      </c>
      <c r="Z81" s="74">
        <f t="shared" si="20"/>
        <v>2495.2800000000002</v>
      </c>
      <c r="AA81" s="74">
        <f t="shared" si="20"/>
        <v>2444.08</v>
      </c>
      <c r="AB81" s="74">
        <f t="shared" si="20"/>
        <v>2321.88</v>
      </c>
      <c r="AC81" s="74">
        <f t="shared" si="20"/>
        <v>2192.2800000000002</v>
      </c>
      <c r="AD81" s="74">
        <f t="shared" si="20"/>
        <v>1991.2800000000002</v>
      </c>
      <c r="AE81" s="74">
        <f t="shared" si="20"/>
        <v>1832.88</v>
      </c>
      <c r="AF81" s="74">
        <f t="shared" si="20"/>
        <v>1832.88</v>
      </c>
      <c r="AG81" s="79">
        <f t="shared" si="20"/>
        <v>4238.08</v>
      </c>
      <c r="AH81" s="56">
        <f t="shared" si="16"/>
        <v>2860.28</v>
      </c>
      <c r="AI81" s="57">
        <f t="shared" si="17"/>
        <v>1602.88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5" t="s">
        <v>87</v>
      </c>
      <c r="B82" s="97">
        <v>49.8</v>
      </c>
      <c r="C82" s="96">
        <v>49.8</v>
      </c>
      <c r="D82" s="96">
        <v>49.932000000000002</v>
      </c>
      <c r="E82" s="96">
        <v>49.932000000000002</v>
      </c>
      <c r="F82" s="96">
        <v>50.002000000000002</v>
      </c>
      <c r="G82" s="96">
        <v>50.024999999999999</v>
      </c>
      <c r="H82" s="96">
        <v>49.933</v>
      </c>
      <c r="I82" s="96">
        <v>49.962000000000003</v>
      </c>
      <c r="J82" s="96">
        <v>49.933999999999997</v>
      </c>
      <c r="K82" s="96">
        <v>49.98</v>
      </c>
      <c r="L82" s="96">
        <v>50.036999999999999</v>
      </c>
      <c r="M82" s="96">
        <v>49.994999999999997</v>
      </c>
      <c r="N82" s="96">
        <v>49.996000000000002</v>
      </c>
      <c r="O82" s="96">
        <v>49.965000000000003</v>
      </c>
      <c r="P82" s="96">
        <v>50.012</v>
      </c>
      <c r="Q82" s="96">
        <v>49.942999999999998</v>
      </c>
      <c r="R82" s="96">
        <v>49.942999999999998</v>
      </c>
      <c r="S82" s="96">
        <v>49.942999999999998</v>
      </c>
      <c r="T82" s="96">
        <v>49.942999999999998</v>
      </c>
      <c r="U82" s="96">
        <v>50</v>
      </c>
      <c r="V82" s="96">
        <v>50.04</v>
      </c>
      <c r="W82" s="96"/>
      <c r="X82" s="96">
        <v>49.96</v>
      </c>
      <c r="Y82" s="96">
        <v>50.1</v>
      </c>
      <c r="Z82" s="96">
        <v>50.06</v>
      </c>
      <c r="AA82" s="96">
        <v>50.005000000000003</v>
      </c>
      <c r="AB82" s="96">
        <v>49.999000000000002</v>
      </c>
      <c r="AC82" s="96">
        <v>49.94</v>
      </c>
      <c r="AD82" s="96">
        <v>49.984000000000002</v>
      </c>
      <c r="AE82" s="96">
        <v>49.99</v>
      </c>
      <c r="AF82" s="97">
        <v>50.064</v>
      </c>
      <c r="AG82" s="98"/>
      <c r="AH82" s="56">
        <f t="shared" si="16"/>
        <v>50.1</v>
      </c>
      <c r="AI82" s="57">
        <f t="shared" si="17"/>
        <v>49.8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9" t="s">
        <v>88</v>
      </c>
      <c r="B83" s="101">
        <v>126.8</v>
      </c>
      <c r="C83" s="52">
        <v>128.30000000000001</v>
      </c>
      <c r="D83" s="52">
        <v>127</v>
      </c>
      <c r="E83" s="52">
        <v>126.8</v>
      </c>
      <c r="F83" s="52">
        <v>125.8</v>
      </c>
      <c r="G83" s="52">
        <v>125.3</v>
      </c>
      <c r="H83" s="52">
        <v>124.6</v>
      </c>
      <c r="I83" s="52">
        <v>124.4</v>
      </c>
      <c r="J83" s="52">
        <v>123.5</v>
      </c>
      <c r="K83" s="52">
        <v>123.5</v>
      </c>
      <c r="L83" s="52">
        <v>124.5</v>
      </c>
      <c r="M83" s="52">
        <v>123.9</v>
      </c>
      <c r="N83" s="52">
        <v>123</v>
      </c>
      <c r="O83" s="52">
        <v>123.4</v>
      </c>
      <c r="P83" s="52">
        <v>123.4</v>
      </c>
      <c r="Q83" s="52">
        <v>123.6</v>
      </c>
      <c r="R83" s="52">
        <v>123.6</v>
      </c>
      <c r="S83" s="52">
        <v>123.6</v>
      </c>
      <c r="T83" s="52">
        <v>124.5</v>
      </c>
      <c r="U83" s="52">
        <v>124.3</v>
      </c>
      <c r="V83" s="52">
        <v>125</v>
      </c>
      <c r="W83" s="100">
        <v>125</v>
      </c>
      <c r="X83" s="100">
        <v>127.8</v>
      </c>
      <c r="Y83" s="100">
        <v>127.2</v>
      </c>
      <c r="Z83" s="100">
        <v>126.8</v>
      </c>
      <c r="AA83" s="52">
        <v>126.8</v>
      </c>
      <c r="AB83" s="52">
        <v>125.9</v>
      </c>
      <c r="AC83" s="52">
        <v>126.8</v>
      </c>
      <c r="AD83" s="52">
        <v>126.2</v>
      </c>
      <c r="AE83" s="52">
        <v>127</v>
      </c>
      <c r="AF83" s="101">
        <v>127.1</v>
      </c>
      <c r="AG83" s="102"/>
      <c r="AH83" s="56">
        <f t="shared" si="16"/>
        <v>128.30000000000001</v>
      </c>
      <c r="AI83" s="57">
        <f t="shared" si="17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89</v>
      </c>
      <c r="B84" s="101">
        <v>130.4</v>
      </c>
      <c r="C84" s="52">
        <v>131.4</v>
      </c>
      <c r="D84" s="52">
        <v>130.5</v>
      </c>
      <c r="E84" s="52">
        <v>130.19999999999999</v>
      </c>
      <c r="F84" s="52">
        <v>129.30000000000001</v>
      </c>
      <c r="G84" s="52">
        <v>128.5</v>
      </c>
      <c r="H84" s="52">
        <v>127.7</v>
      </c>
      <c r="I84" s="52">
        <v>127.1</v>
      </c>
      <c r="J84" s="52">
        <v>127.1</v>
      </c>
      <c r="K84" s="52">
        <v>126.6</v>
      </c>
      <c r="L84" s="52">
        <v>127.3</v>
      </c>
      <c r="M84" s="52">
        <v>127.2</v>
      </c>
      <c r="N84" s="52">
        <v>127.2</v>
      </c>
      <c r="O84" s="52">
        <v>126.8</v>
      </c>
      <c r="P84" s="52">
        <v>126.6</v>
      </c>
      <c r="Q84" s="52">
        <v>127.2</v>
      </c>
      <c r="R84" s="52">
        <v>127.2</v>
      </c>
      <c r="S84" s="52">
        <v>127.2</v>
      </c>
      <c r="T84" s="52">
        <v>128.1</v>
      </c>
      <c r="U84" s="52">
        <v>127.5</v>
      </c>
      <c r="V84" s="52">
        <v>128.19999999999999</v>
      </c>
      <c r="W84" s="100">
        <v>127.2</v>
      </c>
      <c r="X84" s="100">
        <v>129.9</v>
      </c>
      <c r="Y84" s="100">
        <v>129.5</v>
      </c>
      <c r="Z84" s="100">
        <v>129.6</v>
      </c>
      <c r="AA84" s="52">
        <v>129.5</v>
      </c>
      <c r="AB84" s="52">
        <v>129.1</v>
      </c>
      <c r="AC84" s="52">
        <v>130.1</v>
      </c>
      <c r="AD84" s="52">
        <v>130</v>
      </c>
      <c r="AE84" s="52">
        <v>130.69999999999999</v>
      </c>
      <c r="AF84" s="101">
        <v>131.1</v>
      </c>
      <c r="AG84" s="102"/>
      <c r="AH84" s="56">
        <f t="shared" si="16"/>
        <v>131.4</v>
      </c>
      <c r="AI84" s="57">
        <f t="shared" si="17"/>
        <v>126.6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90</v>
      </c>
      <c r="B85" s="101">
        <v>129.80000000000001</v>
      </c>
      <c r="C85" s="52">
        <v>130.1</v>
      </c>
      <c r="D85" s="52">
        <v>129.80000000000001</v>
      </c>
      <c r="E85" s="52">
        <v>129.30000000000001</v>
      </c>
      <c r="F85" s="52">
        <v>129.1</v>
      </c>
      <c r="G85" s="52">
        <v>128.19999999999999</v>
      </c>
      <c r="H85" s="52">
        <v>126.3</v>
      </c>
      <c r="I85" s="52">
        <v>127.9</v>
      </c>
      <c r="J85" s="52">
        <v>126.1</v>
      </c>
      <c r="K85" s="52">
        <v>126.5</v>
      </c>
      <c r="L85" s="52">
        <v>127.6</v>
      </c>
      <c r="M85" s="52">
        <v>126.8</v>
      </c>
      <c r="N85" s="52">
        <v>127.7</v>
      </c>
      <c r="O85" s="52">
        <v>126.7</v>
      </c>
      <c r="P85" s="52">
        <v>128.19999999999999</v>
      </c>
      <c r="Q85" s="52">
        <v>128.19999999999999</v>
      </c>
      <c r="R85" s="52">
        <v>128.19999999999999</v>
      </c>
      <c r="S85" s="52">
        <v>128.19999999999999</v>
      </c>
      <c r="T85" s="52">
        <v>126.5</v>
      </c>
      <c r="U85" s="52">
        <v>127.4</v>
      </c>
      <c r="V85" s="52">
        <v>126.5</v>
      </c>
      <c r="W85" s="100">
        <v>129.4</v>
      </c>
      <c r="X85" s="100">
        <v>130.1</v>
      </c>
      <c r="Y85" s="100">
        <v>130.5</v>
      </c>
      <c r="Z85" s="100">
        <v>131.5</v>
      </c>
      <c r="AA85" s="52">
        <v>128.5</v>
      </c>
      <c r="AB85" s="52">
        <v>128.5</v>
      </c>
      <c r="AC85" s="52">
        <v>128.69999999999999</v>
      </c>
      <c r="AD85" s="52">
        <v>128.4</v>
      </c>
      <c r="AE85" s="52">
        <v>129</v>
      </c>
      <c r="AF85" s="101">
        <v>131.19999999999999</v>
      </c>
      <c r="AG85" s="102"/>
      <c r="AH85" s="56">
        <f t="shared" si="16"/>
        <v>131.5</v>
      </c>
      <c r="AI85" s="57">
        <f t="shared" si="17"/>
        <v>126.1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103" t="s">
        <v>91</v>
      </c>
      <c r="B86" s="101">
        <v>132.80000000000001</v>
      </c>
      <c r="C86" s="52">
        <v>133</v>
      </c>
      <c r="D86" s="52">
        <v>132.9</v>
      </c>
      <c r="E86" s="52">
        <v>132.5</v>
      </c>
      <c r="F86" s="52">
        <v>132.4</v>
      </c>
      <c r="G86" s="52">
        <v>131.19999999999999</v>
      </c>
      <c r="H86" s="52">
        <v>129.5</v>
      </c>
      <c r="I86" s="52">
        <v>130.19999999999999</v>
      </c>
      <c r="J86" s="52">
        <v>128.30000000000001</v>
      </c>
      <c r="K86" s="52">
        <v>129.6</v>
      </c>
      <c r="L86" s="52">
        <v>130.69999999999999</v>
      </c>
      <c r="M86" s="52">
        <v>129.9</v>
      </c>
      <c r="N86" s="52">
        <v>130.30000000000001</v>
      </c>
      <c r="O86" s="52">
        <v>129.6</v>
      </c>
      <c r="P86" s="52">
        <v>131.19999999999999</v>
      </c>
      <c r="Q86" s="52">
        <v>131.69999999999999</v>
      </c>
      <c r="R86" s="52">
        <v>131.69999999999999</v>
      </c>
      <c r="S86" s="52">
        <v>131.69999999999999</v>
      </c>
      <c r="T86" s="52">
        <v>129.30000000000001</v>
      </c>
      <c r="U86" s="52">
        <v>130.69999999999999</v>
      </c>
      <c r="V86" s="52">
        <v>129.4</v>
      </c>
      <c r="W86" s="100">
        <v>131.5</v>
      </c>
      <c r="X86" s="100">
        <v>133.5</v>
      </c>
      <c r="Y86" s="100">
        <v>133.4</v>
      </c>
      <c r="Z86" s="100">
        <v>133.69999999999999</v>
      </c>
      <c r="AA86" s="52">
        <v>132.9</v>
      </c>
      <c r="AB86" s="52">
        <v>132.9</v>
      </c>
      <c r="AC86" s="52">
        <v>131.5</v>
      </c>
      <c r="AD86" s="52">
        <v>131.80000000000001</v>
      </c>
      <c r="AE86" s="52">
        <v>132.19999999999999</v>
      </c>
      <c r="AF86" s="101">
        <v>134.1</v>
      </c>
      <c r="AG86" s="102"/>
      <c r="AH86" s="56">
        <f t="shared" si="16"/>
        <v>134.1</v>
      </c>
      <c r="AI86" s="57">
        <f t="shared" si="17"/>
        <v>128.30000000000001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92</v>
      </c>
      <c r="B87" s="105" t="s">
        <v>261</v>
      </c>
      <c r="C87" s="104">
        <v>134.5</v>
      </c>
      <c r="D87" s="104">
        <v>134</v>
      </c>
      <c r="E87" s="104">
        <v>134</v>
      </c>
      <c r="F87" s="104">
        <v>133.69999999999999</v>
      </c>
      <c r="G87" s="104">
        <v>132.6</v>
      </c>
      <c r="H87" s="104">
        <v>130.9</v>
      </c>
      <c r="I87" s="104">
        <v>131.9</v>
      </c>
      <c r="J87" s="104">
        <v>132</v>
      </c>
      <c r="K87" s="104">
        <v>133.30000000000001</v>
      </c>
      <c r="L87" s="104">
        <v>134.5</v>
      </c>
      <c r="M87" s="104">
        <v>134.6</v>
      </c>
      <c r="N87" s="104">
        <v>131.5</v>
      </c>
      <c r="O87" s="104">
        <v>135.30000000000001</v>
      </c>
      <c r="P87" s="104">
        <v>136.9</v>
      </c>
      <c r="Q87" s="104">
        <v>132.1</v>
      </c>
      <c r="R87" s="104">
        <v>132.1</v>
      </c>
      <c r="S87" s="104">
        <v>132.1</v>
      </c>
      <c r="T87" s="104">
        <v>135.30000000000001</v>
      </c>
      <c r="U87" s="104">
        <v>134.5</v>
      </c>
      <c r="V87" s="104">
        <v>134.5</v>
      </c>
      <c r="W87" s="100">
        <v>132.6</v>
      </c>
      <c r="X87" s="100">
        <v>137.30000000000001</v>
      </c>
      <c r="Y87" s="100">
        <v>132.9</v>
      </c>
      <c r="Z87" s="100">
        <v>134.1</v>
      </c>
      <c r="AA87" s="104">
        <v>134.5</v>
      </c>
      <c r="AB87" s="104">
        <v>132.5</v>
      </c>
      <c r="AC87" s="104">
        <v>134.30000000000001</v>
      </c>
      <c r="AD87" s="104">
        <v>135.19999999999999</v>
      </c>
      <c r="AE87" s="104">
        <v>131.1</v>
      </c>
      <c r="AF87" s="105">
        <v>132.1</v>
      </c>
      <c r="AG87" s="106"/>
      <c r="AH87" s="56">
        <f t="shared" si="16"/>
        <v>137.30000000000001</v>
      </c>
      <c r="AI87" s="57">
        <f t="shared" si="17"/>
        <v>130.9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9" t="s">
        <v>93</v>
      </c>
      <c r="B88" s="101">
        <v>135</v>
      </c>
      <c r="C88" s="52">
        <v>136.30000000000001</v>
      </c>
      <c r="D88" s="52">
        <v>136</v>
      </c>
      <c r="E88" s="52">
        <v>136</v>
      </c>
      <c r="F88" s="52">
        <v>134.9</v>
      </c>
      <c r="G88" s="52">
        <v>132.30000000000001</v>
      </c>
      <c r="H88" s="52">
        <v>129.6</v>
      </c>
      <c r="I88" s="52">
        <v>128.19999999999999</v>
      </c>
      <c r="J88" s="52">
        <v>129.80000000000001</v>
      </c>
      <c r="K88" s="52">
        <v>129.6</v>
      </c>
      <c r="L88" s="52">
        <v>129.5</v>
      </c>
      <c r="M88" s="52">
        <v>129.5</v>
      </c>
      <c r="N88" s="52">
        <v>125.8</v>
      </c>
      <c r="O88" s="52">
        <v>132.4</v>
      </c>
      <c r="P88" s="52">
        <v>136.19999999999999</v>
      </c>
      <c r="Q88" s="52">
        <v>126.3</v>
      </c>
      <c r="R88" s="52">
        <v>126.3</v>
      </c>
      <c r="S88" s="52">
        <v>126.3</v>
      </c>
      <c r="T88" s="52">
        <v>133</v>
      </c>
      <c r="U88" s="52">
        <v>132.80000000000001</v>
      </c>
      <c r="V88" s="52">
        <v>130.9</v>
      </c>
      <c r="W88" s="100">
        <v>128.19999999999999</v>
      </c>
      <c r="X88" s="100">
        <v>135.80000000000001</v>
      </c>
      <c r="Y88" s="100">
        <v>130.6</v>
      </c>
      <c r="Z88" s="100">
        <v>133.6</v>
      </c>
      <c r="AA88" s="52">
        <v>135.1</v>
      </c>
      <c r="AB88" s="52">
        <v>129.1</v>
      </c>
      <c r="AC88" s="52">
        <v>131.9</v>
      </c>
      <c r="AD88" s="52">
        <v>134</v>
      </c>
      <c r="AE88" s="52">
        <v>131.19999999999999</v>
      </c>
      <c r="AF88" s="101">
        <v>132</v>
      </c>
      <c r="AG88" s="102"/>
      <c r="AH88" s="56">
        <f t="shared" si="16"/>
        <v>136.30000000000001</v>
      </c>
      <c r="AI88" s="57">
        <f t="shared" si="17"/>
        <v>125.8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ht="15.75" thickBot="1" x14ac:dyDescent="0.3">
      <c r="A89" s="99" t="s">
        <v>94</v>
      </c>
      <c r="B89" s="108">
        <v>66.8</v>
      </c>
      <c r="C89" s="107">
        <v>67.2</v>
      </c>
      <c r="D89" s="107">
        <v>67</v>
      </c>
      <c r="E89" s="107">
        <v>66.7</v>
      </c>
      <c r="F89" s="107">
        <v>66.400000000000006</v>
      </c>
      <c r="G89" s="107">
        <v>65.8</v>
      </c>
      <c r="H89" s="107">
        <v>65.400000000000006</v>
      </c>
      <c r="I89" s="107">
        <v>65.5</v>
      </c>
      <c r="J89" s="107">
        <v>64.8</v>
      </c>
      <c r="K89" s="107">
        <v>64.5</v>
      </c>
      <c r="L89" s="107">
        <v>65.14</v>
      </c>
      <c r="M89" s="107">
        <v>65.099999999999994</v>
      </c>
      <c r="N89" s="107">
        <v>64.8</v>
      </c>
      <c r="O89" s="107">
        <v>64.8</v>
      </c>
      <c r="P89" s="107">
        <v>64.599999999999994</v>
      </c>
      <c r="Q89" s="107">
        <v>64.900000000000006</v>
      </c>
      <c r="R89" s="107">
        <v>64.900000000000006</v>
      </c>
      <c r="S89" s="107">
        <v>64.900000000000006</v>
      </c>
      <c r="T89" s="107">
        <v>65.599999999999994</v>
      </c>
      <c r="U89" s="107">
        <v>65.2</v>
      </c>
      <c r="V89" s="107">
        <v>65.5</v>
      </c>
      <c r="W89" s="107">
        <v>65</v>
      </c>
      <c r="X89" s="107">
        <v>66.400000000000006</v>
      </c>
      <c r="Y89" s="107">
        <v>66.099999999999994</v>
      </c>
      <c r="Z89" s="107">
        <v>66.099999999999994</v>
      </c>
      <c r="AA89" s="107">
        <v>66</v>
      </c>
      <c r="AB89" s="107">
        <v>66</v>
      </c>
      <c r="AC89" s="107">
        <v>66.400000000000006</v>
      </c>
      <c r="AD89" s="107">
        <v>66.599999999999994</v>
      </c>
      <c r="AE89" s="107">
        <v>66.7</v>
      </c>
      <c r="AF89" s="108">
        <v>66.900000000000006</v>
      </c>
      <c r="AG89" s="109"/>
      <c r="AH89" s="56">
        <f t="shared" si="16"/>
        <v>67.2</v>
      </c>
      <c r="AI89" s="57">
        <f t="shared" si="17"/>
        <v>64.5</v>
      </c>
    </row>
    <row r="90" spans="1:88" ht="15.75" thickBot="1" x14ac:dyDescent="0.3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2"/>
      <c r="AH90" s="56"/>
      <c r="AI90" s="57"/>
    </row>
    <row r="91" spans="1:88" ht="15.75" thickBot="1" x14ac:dyDescent="0.3">
      <c r="A91" s="113" t="s">
        <v>95</v>
      </c>
      <c r="B91" s="115">
        <f>SUM(B14,B17,B20:B21,B40,B42:B43,B45,B47,B92:B95,B100,B106,B112,B121,B123,B135,B142,B145:B146,B153,B155,B157,B161:B163,B165:B167,B172,B178:B179,B181:B183,B191,B196)</f>
        <v>121.13999999999997</v>
      </c>
      <c r="C91" s="114">
        <f t="shared" ref="C91:AF91" si="21">SUM(C14,C17,C20:C21,C40,C42:C43,C45,C47,C92:C95,C100,C106,C112,C121,C123,C135,C142,C145:C146,C153,C155,C157,C161:C163,C165:C167,C172,C178:C179,C181:C183,C191,C196)</f>
        <v>116.83999999999999</v>
      </c>
      <c r="D91" s="114">
        <f t="shared" si="21"/>
        <v>123.33999999999999</v>
      </c>
      <c r="E91" s="114">
        <f t="shared" si="21"/>
        <v>128.44</v>
      </c>
      <c r="F91" s="115">
        <f t="shared" si="21"/>
        <v>155.33999999999997</v>
      </c>
      <c r="G91" s="115">
        <f t="shared" si="21"/>
        <v>178.33999999999997</v>
      </c>
      <c r="H91" s="115">
        <f t="shared" si="21"/>
        <v>193.93999999999997</v>
      </c>
      <c r="I91" s="115">
        <f t="shared" si="21"/>
        <v>241.93999999999997</v>
      </c>
      <c r="J91" s="115">
        <f t="shared" si="21"/>
        <v>263.44</v>
      </c>
      <c r="K91" s="115">
        <f t="shared" si="21"/>
        <v>287.74</v>
      </c>
      <c r="L91" s="115">
        <f t="shared" si="21"/>
        <v>297.74</v>
      </c>
      <c r="M91" s="115">
        <f t="shared" si="21"/>
        <v>282.14000000000004</v>
      </c>
      <c r="N91" s="115">
        <f t="shared" si="21"/>
        <v>271.94</v>
      </c>
      <c r="O91" s="115">
        <f t="shared" si="21"/>
        <v>257.03999999999996</v>
      </c>
      <c r="P91" s="115">
        <f t="shared" si="21"/>
        <v>239.23999999999998</v>
      </c>
      <c r="Q91" s="115">
        <f t="shared" si="21"/>
        <v>250.33999999999997</v>
      </c>
      <c r="R91" s="115">
        <f t="shared" si="21"/>
        <v>250.33999999999997</v>
      </c>
      <c r="S91" s="115">
        <f t="shared" si="21"/>
        <v>250.33999999999997</v>
      </c>
      <c r="T91" s="115">
        <f t="shared" si="21"/>
        <v>246.44</v>
      </c>
      <c r="U91" s="115">
        <f t="shared" si="21"/>
        <v>277.64000000000004</v>
      </c>
      <c r="V91" s="115">
        <f t="shared" si="21"/>
        <v>323.34000000000003</v>
      </c>
      <c r="W91" s="115">
        <f t="shared" si="21"/>
        <v>349.14000000000004</v>
      </c>
      <c r="X91" s="115">
        <f t="shared" si="21"/>
        <v>344.84000000000003</v>
      </c>
      <c r="Y91" s="115">
        <f>SUM(Y14,Y17,Y20:Y21,Y40,Y42:Y43,Y45,Y47,X92:X95,Y100,Y106,Y112,Y121,Y123,Y135,Y142,Y145:Y146,Y153,Y155,Y157,Y161:Y163,Y165:Y167,Y172,Y178:Y179,Y181:Y183,Y191,Y196)</f>
        <v>344.84000000000003</v>
      </c>
      <c r="Z91" s="115">
        <f t="shared" si="21"/>
        <v>300.04000000000002</v>
      </c>
      <c r="AA91" s="115">
        <f t="shared" si="21"/>
        <v>292.44000000000005</v>
      </c>
      <c r="AB91" s="115">
        <f t="shared" si="21"/>
        <v>266.44</v>
      </c>
      <c r="AC91" s="115">
        <f t="shared" si="21"/>
        <v>245.03999999999996</v>
      </c>
      <c r="AD91" s="115">
        <f t="shared" si="21"/>
        <v>188.83999999999997</v>
      </c>
      <c r="AE91" s="115">
        <f t="shared" si="21"/>
        <v>152.63999999999996</v>
      </c>
      <c r="AF91" s="115">
        <f t="shared" si="21"/>
        <v>139.13999999999999</v>
      </c>
      <c r="AG91" s="116"/>
      <c r="AH91" s="56">
        <f>MAX(B91:AF91)</f>
        <v>349.14000000000004</v>
      </c>
      <c r="AI91" s="57">
        <f>MIN(B91:AF91)</f>
        <v>116.83999999999999</v>
      </c>
    </row>
    <row r="92" spans="1:88" x14ac:dyDescent="0.25">
      <c r="A92" s="117" t="s">
        <v>96</v>
      </c>
      <c r="B92" s="119">
        <v>24.2</v>
      </c>
      <c r="C92" s="60">
        <v>19.8</v>
      </c>
      <c r="D92" s="60">
        <v>25</v>
      </c>
      <c r="E92" s="60">
        <v>29.3</v>
      </c>
      <c r="F92" s="118">
        <v>28</v>
      </c>
      <c r="G92" s="118">
        <v>25</v>
      </c>
      <c r="H92" s="118">
        <v>32</v>
      </c>
      <c r="I92" s="118">
        <v>40</v>
      </c>
      <c r="J92" s="118">
        <v>48</v>
      </c>
      <c r="K92" s="118">
        <v>46</v>
      </c>
      <c r="L92" s="54">
        <v>49.7</v>
      </c>
      <c r="M92" s="54">
        <v>63.7</v>
      </c>
      <c r="N92" s="118">
        <v>56.2</v>
      </c>
      <c r="O92" s="118">
        <v>60.3</v>
      </c>
      <c r="P92" s="118">
        <v>63.5</v>
      </c>
      <c r="Q92" s="118">
        <v>55</v>
      </c>
      <c r="R92" s="118">
        <v>55</v>
      </c>
      <c r="S92" s="118">
        <v>55</v>
      </c>
      <c r="T92" s="118">
        <v>60.8</v>
      </c>
      <c r="U92" s="118">
        <v>59.4</v>
      </c>
      <c r="V92" s="118">
        <v>47.6</v>
      </c>
      <c r="W92" s="118">
        <v>-2</v>
      </c>
      <c r="X92" s="118">
        <v>43.7</v>
      </c>
      <c r="Y92" s="118">
        <v>52.3</v>
      </c>
      <c r="Z92" s="118">
        <v>53.1</v>
      </c>
      <c r="AA92" s="54">
        <v>46.4</v>
      </c>
      <c r="AB92" s="54">
        <v>57.8</v>
      </c>
      <c r="AC92" s="54">
        <v>51.6</v>
      </c>
      <c r="AD92" s="54">
        <v>56.2</v>
      </c>
      <c r="AE92" s="54">
        <v>38.4</v>
      </c>
      <c r="AF92" s="119">
        <v>35.4</v>
      </c>
      <c r="AG92" s="120">
        <v>75</v>
      </c>
      <c r="AH92" s="56">
        <f t="shared" ref="AH92:AH97" si="22">IF(ABS(MAX(B92:AF92))&gt;ABS(MIN(B92:AF92)),MAX(B92:AF92),MIN(B92:AF92))</f>
        <v>63.7</v>
      </c>
      <c r="AI92" s="121">
        <f t="shared" ref="AI92:AI97" si="23">INDEX($B$9:$AF$9,1,MATCH(AH92,B92:AF92,0))</f>
        <v>0.375</v>
      </c>
    </row>
    <row r="93" spans="1:88" x14ac:dyDescent="0.25">
      <c r="A93" s="122" t="s">
        <v>97</v>
      </c>
      <c r="B93" s="123">
        <f>-32.1-39.4</f>
        <v>-71.5</v>
      </c>
      <c r="C93" s="62">
        <f>-29.5-35.9</f>
        <v>-65.400000000000006</v>
      </c>
      <c r="D93" s="62">
        <v>-64</v>
      </c>
      <c r="E93" s="62">
        <v>-62</v>
      </c>
      <c r="F93" s="62">
        <v>-54</v>
      </c>
      <c r="G93" s="62">
        <v>-47</v>
      </c>
      <c r="H93" s="62">
        <v>-44</v>
      </c>
      <c r="I93" s="62">
        <v>-41</v>
      </c>
      <c r="J93" s="62">
        <v>-48.6</v>
      </c>
      <c r="K93" s="62">
        <v>-45</v>
      </c>
      <c r="L93" s="62">
        <v>-46</v>
      </c>
      <c r="M93" s="62">
        <v>-54</v>
      </c>
      <c r="N93" s="62">
        <v>-49.6</v>
      </c>
      <c r="O93" s="62">
        <v>-55.3</v>
      </c>
      <c r="P93" s="62">
        <v>-53.1</v>
      </c>
      <c r="Q93" s="62">
        <v>-52.4</v>
      </c>
      <c r="R93" s="62">
        <v>-52.4</v>
      </c>
      <c r="S93" s="62">
        <v>-52.4</v>
      </c>
      <c r="T93" s="62">
        <f>-25.7-30.9</f>
        <v>-56.599999999999994</v>
      </c>
      <c r="U93" s="62">
        <f>-24.5-29.6</f>
        <v>-54.1</v>
      </c>
      <c r="V93" s="62">
        <f>-15-20.7</f>
        <v>-35.700000000000003</v>
      </c>
      <c r="W93" s="62">
        <f>-5.5-13.4</f>
        <v>-18.899999999999999</v>
      </c>
      <c r="X93" s="62">
        <v>-29.2</v>
      </c>
      <c r="Y93" s="62">
        <v>-36.6</v>
      </c>
      <c r="Z93" s="62">
        <v>-35.299999999999997</v>
      </c>
      <c r="AA93" s="52">
        <v>-35.5</v>
      </c>
      <c r="AB93" s="52">
        <v>-52.4</v>
      </c>
      <c r="AC93" s="52">
        <v>-54.4</v>
      </c>
      <c r="AD93" s="52">
        <v>-64.7</v>
      </c>
      <c r="AE93" s="52">
        <v>-64.900000000000006</v>
      </c>
      <c r="AF93" s="123">
        <v>-69.7</v>
      </c>
      <c r="AG93" s="120">
        <v>240</v>
      </c>
      <c r="AH93" s="56">
        <f t="shared" si="22"/>
        <v>-71.5</v>
      </c>
      <c r="AI93" s="121">
        <f t="shared" si="23"/>
        <v>4.1666666666666664E-2</v>
      </c>
    </row>
    <row r="94" spans="1:88" x14ac:dyDescent="0.25">
      <c r="A94" s="122" t="s">
        <v>98</v>
      </c>
      <c r="B94" s="123">
        <v>-8</v>
      </c>
      <c r="C94" s="62">
        <v>-3</v>
      </c>
      <c r="D94" s="62">
        <v>-5</v>
      </c>
      <c r="E94" s="62">
        <v>-8.1999999999999993</v>
      </c>
      <c r="F94" s="62">
        <v>-2</v>
      </c>
      <c r="G94" s="62">
        <v>2</v>
      </c>
      <c r="H94" s="62">
        <v>2.1</v>
      </c>
      <c r="I94" s="62">
        <v>6</v>
      </c>
      <c r="J94" s="62">
        <v>1.4</v>
      </c>
      <c r="K94" s="62">
        <v>4.5999999999999996</v>
      </c>
      <c r="L94" s="62">
        <v>8.1</v>
      </c>
      <c r="M94" s="62">
        <v>8.4</v>
      </c>
      <c r="N94" s="62">
        <v>4.9000000000000004</v>
      </c>
      <c r="O94" s="62">
        <v>3.8</v>
      </c>
      <c r="P94" s="62">
        <v>1.4</v>
      </c>
      <c r="Q94" s="62">
        <v>2.7</v>
      </c>
      <c r="R94" s="62">
        <v>2.7</v>
      </c>
      <c r="S94" s="62">
        <v>2.7</v>
      </c>
      <c r="T94" s="62">
        <v>5.9</v>
      </c>
      <c r="U94" s="62">
        <v>11.8</v>
      </c>
      <c r="V94" s="62">
        <v>17.5</v>
      </c>
      <c r="W94" s="62">
        <v>39.700000000000003</v>
      </c>
      <c r="X94" s="62">
        <v>34.1</v>
      </c>
      <c r="Y94" s="62">
        <v>18.399999999999999</v>
      </c>
      <c r="Z94" s="62">
        <v>12.7</v>
      </c>
      <c r="AA94" s="52">
        <v>13.8</v>
      </c>
      <c r="AB94" s="52">
        <v>10</v>
      </c>
      <c r="AC94" s="52">
        <v>9.9</v>
      </c>
      <c r="AD94" s="52">
        <v>-4.3</v>
      </c>
      <c r="AE94" s="52">
        <v>-4.3</v>
      </c>
      <c r="AF94" s="123">
        <v>-6.5</v>
      </c>
      <c r="AG94" s="120">
        <v>60</v>
      </c>
      <c r="AH94" s="56">
        <f t="shared" si="22"/>
        <v>39.700000000000003</v>
      </c>
      <c r="AI94" s="121">
        <f t="shared" si="23"/>
        <v>0.75</v>
      </c>
    </row>
    <row r="95" spans="1:88" x14ac:dyDescent="0.25">
      <c r="A95" s="124" t="s">
        <v>99</v>
      </c>
      <c r="B95" s="126">
        <v>1.8</v>
      </c>
      <c r="C95" s="65">
        <v>2.1</v>
      </c>
      <c r="D95" s="65">
        <v>4</v>
      </c>
      <c r="E95" s="65">
        <v>6</v>
      </c>
      <c r="F95" s="65">
        <v>20</v>
      </c>
      <c r="G95" s="65">
        <v>35</v>
      </c>
      <c r="H95" s="65">
        <v>40</v>
      </c>
      <c r="I95" s="65">
        <v>51</v>
      </c>
      <c r="J95" s="65">
        <v>49.5</v>
      </c>
      <c r="K95" s="65">
        <v>59</v>
      </c>
      <c r="L95" s="65">
        <v>53.5</v>
      </c>
      <c r="M95" s="65">
        <v>31.6</v>
      </c>
      <c r="N95" s="65">
        <v>41.7</v>
      </c>
      <c r="O95" s="65">
        <v>29.3</v>
      </c>
      <c r="P95" s="65">
        <v>20.7</v>
      </c>
      <c r="Q95" s="65">
        <v>38.200000000000003</v>
      </c>
      <c r="R95" s="65">
        <v>38.200000000000003</v>
      </c>
      <c r="S95" s="65">
        <v>38.200000000000003</v>
      </c>
      <c r="T95" s="65">
        <v>18.5</v>
      </c>
      <c r="U95" s="65">
        <v>32.700000000000003</v>
      </c>
      <c r="V95" s="65">
        <v>67.5</v>
      </c>
      <c r="W95" s="65">
        <v>101</v>
      </c>
      <c r="X95" s="65">
        <v>61.8</v>
      </c>
      <c r="Y95" s="65">
        <v>59</v>
      </c>
      <c r="Z95" s="65">
        <v>52.5</v>
      </c>
      <c r="AA95" s="125">
        <v>46.3</v>
      </c>
      <c r="AB95" s="125">
        <v>29.6</v>
      </c>
      <c r="AC95" s="125">
        <v>11.3</v>
      </c>
      <c r="AD95" s="125">
        <v>-2.8</v>
      </c>
      <c r="AE95" s="125">
        <v>6.4</v>
      </c>
      <c r="AF95" s="126">
        <v>2.9</v>
      </c>
      <c r="AG95" s="127">
        <v>120</v>
      </c>
      <c r="AH95" s="56">
        <f t="shared" si="22"/>
        <v>101</v>
      </c>
      <c r="AI95" s="121">
        <f t="shared" si="23"/>
        <v>0.75</v>
      </c>
    </row>
    <row r="96" spans="1:88" x14ac:dyDescent="0.25">
      <c r="A96" s="124" t="s">
        <v>100</v>
      </c>
      <c r="B96" s="126">
        <v>30.5</v>
      </c>
      <c r="C96" s="65">
        <v>28.2</v>
      </c>
      <c r="D96" s="65">
        <v>31</v>
      </c>
      <c r="E96" s="65">
        <v>35</v>
      </c>
      <c r="F96" s="65">
        <v>43</v>
      </c>
      <c r="G96" s="65">
        <v>51</v>
      </c>
      <c r="H96" s="65">
        <v>46</v>
      </c>
      <c r="I96" s="65">
        <v>56</v>
      </c>
      <c r="J96" s="65">
        <v>54</v>
      </c>
      <c r="K96" s="65">
        <v>59</v>
      </c>
      <c r="L96" s="65">
        <v>54.8</v>
      </c>
      <c r="M96" s="65">
        <v>38</v>
      </c>
      <c r="N96" s="65">
        <v>52.2</v>
      </c>
      <c r="O96" s="65">
        <v>43</v>
      </c>
      <c r="P96" s="65">
        <v>43.8</v>
      </c>
      <c r="Q96" s="65">
        <v>45</v>
      </c>
      <c r="R96" s="65">
        <v>45</v>
      </c>
      <c r="S96" s="65">
        <v>45</v>
      </c>
      <c r="T96" s="65">
        <v>33.9</v>
      </c>
      <c r="U96" s="65">
        <v>45.6</v>
      </c>
      <c r="V96" s="65">
        <v>61.3</v>
      </c>
      <c r="W96" s="65">
        <v>91.3</v>
      </c>
      <c r="X96" s="65">
        <v>56.6</v>
      </c>
      <c r="Y96" s="65">
        <v>57.9</v>
      </c>
      <c r="Z96" s="65">
        <v>53.9</v>
      </c>
      <c r="AA96" s="125">
        <v>47.7</v>
      </c>
      <c r="AB96" s="125">
        <v>38.1</v>
      </c>
      <c r="AC96" s="125">
        <v>31.2</v>
      </c>
      <c r="AD96" s="125">
        <v>22.6</v>
      </c>
      <c r="AE96" s="125">
        <v>30.3</v>
      </c>
      <c r="AF96" s="126">
        <v>29.3</v>
      </c>
      <c r="AG96" s="127"/>
      <c r="AH96" s="56">
        <f t="shared" si="22"/>
        <v>91.3</v>
      </c>
      <c r="AI96" s="121">
        <f t="shared" si="23"/>
        <v>0.75</v>
      </c>
    </row>
    <row r="97" spans="1:37" ht="15.75" thickBot="1" x14ac:dyDescent="0.3">
      <c r="A97" s="124" t="s">
        <v>101</v>
      </c>
      <c r="B97" s="126">
        <v>53.2</v>
      </c>
      <c r="C97" s="65">
        <v>46.3</v>
      </c>
      <c r="D97" s="65">
        <v>47</v>
      </c>
      <c r="E97" s="65">
        <v>48</v>
      </c>
      <c r="F97" s="65">
        <v>49</v>
      </c>
      <c r="G97" s="65">
        <v>53</v>
      </c>
      <c r="H97" s="65">
        <v>51</v>
      </c>
      <c r="I97" s="65">
        <v>56.5</v>
      </c>
      <c r="J97" s="65">
        <v>58</v>
      </c>
      <c r="K97" s="65">
        <v>50</v>
      </c>
      <c r="L97" s="65">
        <v>41.1</v>
      </c>
      <c r="M97" s="65">
        <v>31</v>
      </c>
      <c r="N97" s="65">
        <v>39.1</v>
      </c>
      <c r="O97" s="65">
        <v>34.4</v>
      </c>
      <c r="P97" s="65">
        <v>26</v>
      </c>
      <c r="Q97" s="65">
        <v>45.5</v>
      </c>
      <c r="R97" s="65">
        <v>45.5</v>
      </c>
      <c r="S97" s="65">
        <v>45.5</v>
      </c>
      <c r="T97" s="65"/>
      <c r="U97" s="65"/>
      <c r="V97" s="65"/>
      <c r="W97" s="65"/>
      <c r="X97" s="65"/>
      <c r="Y97" s="65"/>
      <c r="Z97" s="65"/>
      <c r="AA97" s="125">
        <v>52.7</v>
      </c>
      <c r="AB97" s="125">
        <v>46.1</v>
      </c>
      <c r="AC97" s="125">
        <v>34.299999999999997</v>
      </c>
      <c r="AD97" s="125">
        <v>20.9</v>
      </c>
      <c r="AE97" s="125">
        <v>39.200000000000003</v>
      </c>
      <c r="AF97" s="126">
        <v>40.299999999999997</v>
      </c>
      <c r="AG97" s="128"/>
      <c r="AH97" s="56">
        <f t="shared" si="22"/>
        <v>58</v>
      </c>
      <c r="AI97" s="121">
        <f t="shared" si="23"/>
        <v>0.29166666666666669</v>
      </c>
    </row>
    <row r="98" spans="1:37" ht="15.75" thickBot="1" x14ac:dyDescent="0.3">
      <c r="A98" s="129" t="s">
        <v>102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1"/>
      <c r="AH98" s="132"/>
      <c r="AI98" s="57"/>
      <c r="AK98" s="58"/>
    </row>
    <row r="99" spans="1:37" x14ac:dyDescent="0.25">
      <c r="A99" s="133" t="s">
        <v>103</v>
      </c>
      <c r="B99" s="55">
        <v>9.9</v>
      </c>
      <c r="C99" s="134">
        <f t="shared" ref="C99:R104" si="24">B99</f>
        <v>9.9</v>
      </c>
      <c r="D99" s="134">
        <f t="shared" si="24"/>
        <v>9.9</v>
      </c>
      <c r="E99" s="134">
        <f t="shared" si="24"/>
        <v>9.9</v>
      </c>
      <c r="F99" s="134">
        <f t="shared" si="24"/>
        <v>9.9</v>
      </c>
      <c r="G99" s="134">
        <f t="shared" si="24"/>
        <v>9.9</v>
      </c>
      <c r="H99" s="134">
        <f t="shared" si="24"/>
        <v>9.9</v>
      </c>
      <c r="I99" s="134">
        <f t="shared" si="24"/>
        <v>9.9</v>
      </c>
      <c r="J99" s="134">
        <f t="shared" si="24"/>
        <v>9.9</v>
      </c>
      <c r="K99" s="134">
        <f t="shared" si="24"/>
        <v>9.9</v>
      </c>
      <c r="L99" s="134">
        <f t="shared" si="24"/>
        <v>9.9</v>
      </c>
      <c r="M99" s="134">
        <f t="shared" si="24"/>
        <v>9.9</v>
      </c>
      <c r="N99" s="134">
        <f t="shared" si="24"/>
        <v>9.9</v>
      </c>
      <c r="O99" s="134">
        <f t="shared" si="24"/>
        <v>9.9</v>
      </c>
      <c r="P99" s="134">
        <f t="shared" si="24"/>
        <v>9.9</v>
      </c>
      <c r="Q99" s="134">
        <f t="shared" si="24"/>
        <v>9.9</v>
      </c>
      <c r="R99" s="134">
        <f t="shared" si="24"/>
        <v>9.9</v>
      </c>
      <c r="S99" s="134">
        <f t="shared" ref="S99:AF104" si="25">R99</f>
        <v>9.9</v>
      </c>
      <c r="T99" s="134">
        <f t="shared" si="25"/>
        <v>9.9</v>
      </c>
      <c r="U99" s="134">
        <f t="shared" si="25"/>
        <v>9.9</v>
      </c>
      <c r="V99" s="134">
        <f t="shared" si="25"/>
        <v>9.9</v>
      </c>
      <c r="W99" s="134">
        <f t="shared" si="25"/>
        <v>9.9</v>
      </c>
      <c r="X99" s="134">
        <f t="shared" si="25"/>
        <v>9.9</v>
      </c>
      <c r="Y99" s="134">
        <f t="shared" si="25"/>
        <v>9.9</v>
      </c>
      <c r="Z99" s="134">
        <f t="shared" si="25"/>
        <v>9.9</v>
      </c>
      <c r="AA99" s="134">
        <f t="shared" si="25"/>
        <v>9.9</v>
      </c>
      <c r="AB99" s="134">
        <f t="shared" si="25"/>
        <v>9.9</v>
      </c>
      <c r="AC99" s="134">
        <f t="shared" si="25"/>
        <v>9.9</v>
      </c>
      <c r="AD99" s="134">
        <f t="shared" si="25"/>
        <v>9.9</v>
      </c>
      <c r="AE99" s="134">
        <f t="shared" si="25"/>
        <v>9.9</v>
      </c>
      <c r="AF99" s="134">
        <f t="shared" si="25"/>
        <v>9.9</v>
      </c>
      <c r="AG99" s="135">
        <v>9.94</v>
      </c>
      <c r="AH99" s="56"/>
      <c r="AI99" s="57"/>
      <c r="AK99" s="58"/>
    </row>
    <row r="100" spans="1:37" x14ac:dyDescent="0.25">
      <c r="A100" s="122" t="s">
        <v>104</v>
      </c>
      <c r="B100" s="136">
        <v>9.6</v>
      </c>
      <c r="C100" s="137">
        <f t="shared" si="24"/>
        <v>9.6</v>
      </c>
      <c r="D100" s="137">
        <f t="shared" si="24"/>
        <v>9.6</v>
      </c>
      <c r="E100" s="137">
        <f t="shared" si="24"/>
        <v>9.6</v>
      </c>
      <c r="F100" s="137">
        <f t="shared" si="24"/>
        <v>9.6</v>
      </c>
      <c r="G100" s="137">
        <f t="shared" si="24"/>
        <v>9.6</v>
      </c>
      <c r="H100" s="137">
        <f t="shared" si="24"/>
        <v>9.6</v>
      </c>
      <c r="I100" s="137">
        <f t="shared" si="24"/>
        <v>9.6</v>
      </c>
      <c r="J100" s="137">
        <f t="shared" si="24"/>
        <v>9.6</v>
      </c>
      <c r="K100" s="137">
        <f t="shared" si="24"/>
        <v>9.6</v>
      </c>
      <c r="L100" s="137">
        <f t="shared" si="24"/>
        <v>9.6</v>
      </c>
      <c r="M100" s="137">
        <f t="shared" si="24"/>
        <v>9.6</v>
      </c>
      <c r="N100" s="137">
        <f t="shared" si="24"/>
        <v>9.6</v>
      </c>
      <c r="O100" s="137">
        <f t="shared" si="24"/>
        <v>9.6</v>
      </c>
      <c r="P100" s="137">
        <f t="shared" si="24"/>
        <v>9.6</v>
      </c>
      <c r="Q100" s="137">
        <f t="shared" si="24"/>
        <v>9.6</v>
      </c>
      <c r="R100" s="137">
        <f t="shared" si="24"/>
        <v>9.6</v>
      </c>
      <c r="S100" s="137">
        <f t="shared" si="25"/>
        <v>9.6</v>
      </c>
      <c r="T100" s="137">
        <f t="shared" si="25"/>
        <v>9.6</v>
      </c>
      <c r="U100" s="137">
        <f t="shared" si="25"/>
        <v>9.6</v>
      </c>
      <c r="V100" s="137">
        <f t="shared" si="25"/>
        <v>9.6</v>
      </c>
      <c r="W100" s="137">
        <f t="shared" si="25"/>
        <v>9.6</v>
      </c>
      <c r="X100" s="137">
        <f t="shared" si="25"/>
        <v>9.6</v>
      </c>
      <c r="Y100" s="137">
        <f t="shared" si="25"/>
        <v>9.6</v>
      </c>
      <c r="Z100" s="137">
        <f t="shared" si="25"/>
        <v>9.6</v>
      </c>
      <c r="AA100" s="137">
        <f t="shared" si="25"/>
        <v>9.6</v>
      </c>
      <c r="AB100" s="137">
        <f t="shared" si="25"/>
        <v>9.6</v>
      </c>
      <c r="AC100" s="137">
        <f t="shared" si="25"/>
        <v>9.6</v>
      </c>
      <c r="AD100" s="137">
        <f t="shared" si="25"/>
        <v>9.6</v>
      </c>
      <c r="AE100" s="137">
        <f t="shared" si="25"/>
        <v>9.6</v>
      </c>
      <c r="AF100" s="137">
        <f t="shared" si="25"/>
        <v>9.6</v>
      </c>
      <c r="AG100" s="138">
        <v>9.9</v>
      </c>
      <c r="AH100" s="56"/>
      <c r="AI100" s="57"/>
      <c r="AK100" s="58"/>
    </row>
    <row r="101" spans="1:37" x14ac:dyDescent="0.25">
      <c r="A101" s="124" t="s">
        <v>105</v>
      </c>
      <c r="B101" s="136">
        <v>9.98</v>
      </c>
      <c r="C101" s="137">
        <f t="shared" si="24"/>
        <v>9.98</v>
      </c>
      <c r="D101" s="137">
        <f t="shared" si="24"/>
        <v>9.98</v>
      </c>
      <c r="E101" s="137">
        <f t="shared" si="24"/>
        <v>9.98</v>
      </c>
      <c r="F101" s="137">
        <f t="shared" si="24"/>
        <v>9.98</v>
      </c>
      <c r="G101" s="137">
        <f t="shared" si="24"/>
        <v>9.98</v>
      </c>
      <c r="H101" s="137">
        <f t="shared" si="24"/>
        <v>9.98</v>
      </c>
      <c r="I101" s="137">
        <f t="shared" si="24"/>
        <v>9.98</v>
      </c>
      <c r="J101" s="137">
        <f t="shared" si="24"/>
        <v>9.98</v>
      </c>
      <c r="K101" s="137">
        <f t="shared" si="24"/>
        <v>9.98</v>
      </c>
      <c r="L101" s="137">
        <f t="shared" si="24"/>
        <v>9.98</v>
      </c>
      <c r="M101" s="137">
        <f t="shared" si="24"/>
        <v>9.98</v>
      </c>
      <c r="N101" s="137">
        <f t="shared" si="24"/>
        <v>9.98</v>
      </c>
      <c r="O101" s="137">
        <f t="shared" si="24"/>
        <v>9.98</v>
      </c>
      <c r="P101" s="137">
        <f t="shared" si="24"/>
        <v>9.98</v>
      </c>
      <c r="Q101" s="137">
        <f t="shared" si="24"/>
        <v>9.98</v>
      </c>
      <c r="R101" s="137">
        <f t="shared" si="24"/>
        <v>9.98</v>
      </c>
      <c r="S101" s="137">
        <f t="shared" si="25"/>
        <v>9.98</v>
      </c>
      <c r="T101" s="137">
        <f t="shared" si="25"/>
        <v>9.98</v>
      </c>
      <c r="U101" s="137">
        <f t="shared" si="25"/>
        <v>9.98</v>
      </c>
      <c r="V101" s="137">
        <f t="shared" si="25"/>
        <v>9.98</v>
      </c>
      <c r="W101" s="137">
        <f t="shared" si="25"/>
        <v>9.98</v>
      </c>
      <c r="X101" s="137">
        <f t="shared" si="25"/>
        <v>9.98</v>
      </c>
      <c r="Y101" s="137">
        <f t="shared" si="25"/>
        <v>9.98</v>
      </c>
      <c r="Z101" s="137">
        <f t="shared" si="25"/>
        <v>9.98</v>
      </c>
      <c r="AA101" s="137">
        <f t="shared" si="25"/>
        <v>9.98</v>
      </c>
      <c r="AB101" s="137">
        <f t="shared" si="25"/>
        <v>9.98</v>
      </c>
      <c r="AC101" s="137">
        <f t="shared" si="25"/>
        <v>9.98</v>
      </c>
      <c r="AD101" s="137">
        <f t="shared" si="25"/>
        <v>9.98</v>
      </c>
      <c r="AE101" s="137">
        <f t="shared" si="25"/>
        <v>9.98</v>
      </c>
      <c r="AF101" s="137">
        <f t="shared" si="25"/>
        <v>9.98</v>
      </c>
      <c r="AG101" s="139">
        <v>9.6579999999999995</v>
      </c>
      <c r="AH101" s="56"/>
      <c r="AI101" s="57"/>
      <c r="AK101" s="58"/>
    </row>
    <row r="102" spans="1:37" x14ac:dyDescent="0.25">
      <c r="A102" s="124" t="s">
        <v>106</v>
      </c>
      <c r="B102" s="136">
        <v>9.1</v>
      </c>
      <c r="C102" s="137">
        <f t="shared" si="24"/>
        <v>9.1</v>
      </c>
      <c r="D102" s="137">
        <f t="shared" si="24"/>
        <v>9.1</v>
      </c>
      <c r="E102" s="137">
        <f t="shared" si="24"/>
        <v>9.1</v>
      </c>
      <c r="F102" s="137">
        <f t="shared" si="24"/>
        <v>9.1</v>
      </c>
      <c r="G102" s="137">
        <f t="shared" si="24"/>
        <v>9.1</v>
      </c>
      <c r="H102" s="137">
        <f t="shared" si="24"/>
        <v>9.1</v>
      </c>
      <c r="I102" s="137">
        <f t="shared" si="24"/>
        <v>9.1</v>
      </c>
      <c r="J102" s="137">
        <f t="shared" si="24"/>
        <v>9.1</v>
      </c>
      <c r="K102" s="137">
        <f t="shared" si="24"/>
        <v>9.1</v>
      </c>
      <c r="L102" s="137">
        <f t="shared" si="24"/>
        <v>9.1</v>
      </c>
      <c r="M102" s="137">
        <f t="shared" si="24"/>
        <v>9.1</v>
      </c>
      <c r="N102" s="137">
        <f t="shared" si="24"/>
        <v>9.1</v>
      </c>
      <c r="O102" s="137">
        <f t="shared" si="24"/>
        <v>9.1</v>
      </c>
      <c r="P102" s="137">
        <f t="shared" si="24"/>
        <v>9.1</v>
      </c>
      <c r="Q102" s="137">
        <f t="shared" si="24"/>
        <v>9.1</v>
      </c>
      <c r="R102" s="137">
        <f t="shared" si="24"/>
        <v>9.1</v>
      </c>
      <c r="S102" s="137">
        <f t="shared" si="25"/>
        <v>9.1</v>
      </c>
      <c r="T102" s="137">
        <f t="shared" si="25"/>
        <v>9.1</v>
      </c>
      <c r="U102" s="137">
        <f t="shared" si="25"/>
        <v>9.1</v>
      </c>
      <c r="V102" s="137">
        <f t="shared" si="25"/>
        <v>9.1</v>
      </c>
      <c r="W102" s="137">
        <f t="shared" si="25"/>
        <v>9.1</v>
      </c>
      <c r="X102" s="137">
        <f t="shared" si="25"/>
        <v>9.1</v>
      </c>
      <c r="Y102" s="137">
        <f t="shared" si="25"/>
        <v>9.1</v>
      </c>
      <c r="Z102" s="137">
        <f t="shared" si="25"/>
        <v>9.1</v>
      </c>
      <c r="AA102" s="137">
        <f t="shared" si="25"/>
        <v>9.1</v>
      </c>
      <c r="AB102" s="137">
        <f t="shared" si="25"/>
        <v>9.1</v>
      </c>
      <c r="AC102" s="137">
        <f t="shared" si="25"/>
        <v>9.1</v>
      </c>
      <c r="AD102" s="137">
        <f t="shared" si="25"/>
        <v>9.1</v>
      </c>
      <c r="AE102" s="137">
        <f t="shared" si="25"/>
        <v>9.1</v>
      </c>
      <c r="AF102" s="137">
        <f t="shared" si="25"/>
        <v>9.1</v>
      </c>
      <c r="AG102" s="139">
        <v>9.6</v>
      </c>
      <c r="AH102" s="56"/>
      <c r="AI102" s="57"/>
      <c r="AK102" s="58"/>
    </row>
    <row r="103" spans="1:37" x14ac:dyDescent="0.25">
      <c r="A103" s="124" t="s">
        <v>107</v>
      </c>
      <c r="B103" s="136">
        <v>9.18</v>
      </c>
      <c r="C103" s="137">
        <f t="shared" si="24"/>
        <v>9.18</v>
      </c>
      <c r="D103" s="137">
        <f t="shared" si="24"/>
        <v>9.18</v>
      </c>
      <c r="E103" s="137">
        <f t="shared" si="24"/>
        <v>9.18</v>
      </c>
      <c r="F103" s="137">
        <f t="shared" si="24"/>
        <v>9.18</v>
      </c>
      <c r="G103" s="137">
        <f t="shared" si="24"/>
        <v>9.18</v>
      </c>
      <c r="H103" s="137">
        <f t="shared" si="24"/>
        <v>9.18</v>
      </c>
      <c r="I103" s="137">
        <f t="shared" si="24"/>
        <v>9.18</v>
      </c>
      <c r="J103" s="137">
        <f t="shared" si="24"/>
        <v>9.18</v>
      </c>
      <c r="K103" s="137">
        <f t="shared" si="24"/>
        <v>9.18</v>
      </c>
      <c r="L103" s="137">
        <f t="shared" si="24"/>
        <v>9.18</v>
      </c>
      <c r="M103" s="137">
        <f t="shared" si="24"/>
        <v>9.18</v>
      </c>
      <c r="N103" s="137">
        <f t="shared" si="24"/>
        <v>9.18</v>
      </c>
      <c r="O103" s="137">
        <f t="shared" si="24"/>
        <v>9.18</v>
      </c>
      <c r="P103" s="137">
        <f t="shared" si="24"/>
        <v>9.18</v>
      </c>
      <c r="Q103" s="137">
        <f t="shared" si="24"/>
        <v>9.18</v>
      </c>
      <c r="R103" s="137">
        <f t="shared" si="24"/>
        <v>9.18</v>
      </c>
      <c r="S103" s="137">
        <f t="shared" si="25"/>
        <v>9.18</v>
      </c>
      <c r="T103" s="137">
        <f t="shared" si="25"/>
        <v>9.18</v>
      </c>
      <c r="U103" s="137">
        <f t="shared" si="25"/>
        <v>9.18</v>
      </c>
      <c r="V103" s="137">
        <f t="shared" si="25"/>
        <v>9.18</v>
      </c>
      <c r="W103" s="137">
        <f t="shared" si="25"/>
        <v>9.18</v>
      </c>
      <c r="X103" s="137">
        <f t="shared" si="25"/>
        <v>9.18</v>
      </c>
      <c r="Y103" s="137">
        <f t="shared" si="25"/>
        <v>9.18</v>
      </c>
      <c r="Z103" s="137">
        <f t="shared" si="25"/>
        <v>9.18</v>
      </c>
      <c r="AA103" s="137">
        <f t="shared" si="25"/>
        <v>9.18</v>
      </c>
      <c r="AB103" s="137">
        <f t="shared" si="25"/>
        <v>9.18</v>
      </c>
      <c r="AC103" s="137">
        <f t="shared" si="25"/>
        <v>9.18</v>
      </c>
      <c r="AD103" s="137">
        <f t="shared" si="25"/>
        <v>9.18</v>
      </c>
      <c r="AE103" s="137">
        <f t="shared" si="25"/>
        <v>9.18</v>
      </c>
      <c r="AF103" s="137">
        <f t="shared" si="25"/>
        <v>9.18</v>
      </c>
      <c r="AG103" s="139">
        <v>9.51</v>
      </c>
      <c r="AH103" s="56"/>
      <c r="AI103" s="57"/>
      <c r="AK103" s="58"/>
    </row>
    <row r="104" spans="1:37" x14ac:dyDescent="0.25">
      <c r="A104" s="124" t="s">
        <v>108</v>
      </c>
      <c r="B104" s="136">
        <v>7</v>
      </c>
      <c r="C104" s="137">
        <f t="shared" si="24"/>
        <v>7</v>
      </c>
      <c r="D104" s="137">
        <f t="shared" si="24"/>
        <v>7</v>
      </c>
      <c r="E104" s="137">
        <f t="shared" si="24"/>
        <v>7</v>
      </c>
      <c r="F104" s="137">
        <f t="shared" si="24"/>
        <v>7</v>
      </c>
      <c r="G104" s="137">
        <f t="shared" si="24"/>
        <v>7</v>
      </c>
      <c r="H104" s="137">
        <f t="shared" si="24"/>
        <v>7</v>
      </c>
      <c r="I104" s="137">
        <f t="shared" si="24"/>
        <v>7</v>
      </c>
      <c r="J104" s="137">
        <f t="shared" si="24"/>
        <v>7</v>
      </c>
      <c r="K104" s="137">
        <f t="shared" si="24"/>
        <v>7</v>
      </c>
      <c r="L104" s="137">
        <f t="shared" si="24"/>
        <v>7</v>
      </c>
      <c r="M104" s="137">
        <f t="shared" si="24"/>
        <v>7</v>
      </c>
      <c r="N104" s="137">
        <f t="shared" si="24"/>
        <v>7</v>
      </c>
      <c r="O104" s="137">
        <f t="shared" si="24"/>
        <v>7</v>
      </c>
      <c r="P104" s="137">
        <f t="shared" si="24"/>
        <v>7</v>
      </c>
      <c r="Q104" s="137">
        <f t="shared" si="24"/>
        <v>7</v>
      </c>
      <c r="R104" s="137">
        <f t="shared" si="24"/>
        <v>7</v>
      </c>
      <c r="S104" s="137">
        <f t="shared" si="25"/>
        <v>7</v>
      </c>
      <c r="T104" s="137">
        <f t="shared" si="25"/>
        <v>7</v>
      </c>
      <c r="U104" s="137">
        <f t="shared" si="25"/>
        <v>7</v>
      </c>
      <c r="V104" s="137">
        <f t="shared" si="25"/>
        <v>7</v>
      </c>
      <c r="W104" s="137">
        <f t="shared" si="25"/>
        <v>7</v>
      </c>
      <c r="X104" s="137">
        <f t="shared" si="25"/>
        <v>7</v>
      </c>
      <c r="Y104" s="137">
        <f t="shared" si="25"/>
        <v>7</v>
      </c>
      <c r="Z104" s="137">
        <f t="shared" si="25"/>
        <v>7</v>
      </c>
      <c r="AA104" s="137">
        <f t="shared" si="25"/>
        <v>7</v>
      </c>
      <c r="AB104" s="137">
        <f t="shared" si="25"/>
        <v>7</v>
      </c>
      <c r="AC104" s="137">
        <f t="shared" si="25"/>
        <v>7</v>
      </c>
      <c r="AD104" s="137">
        <f t="shared" si="25"/>
        <v>7</v>
      </c>
      <c r="AE104" s="137">
        <f t="shared" si="25"/>
        <v>7</v>
      </c>
      <c r="AF104" s="137">
        <f t="shared" si="25"/>
        <v>7</v>
      </c>
      <c r="AG104" s="139">
        <v>9.4</v>
      </c>
      <c r="AH104" s="56"/>
      <c r="AI104" s="57"/>
      <c r="AK104" s="58"/>
    </row>
    <row r="105" spans="1:37" x14ac:dyDescent="0.25">
      <c r="A105" s="124" t="s">
        <v>109</v>
      </c>
      <c r="B105" s="136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9">
        <v>8.8000000000000007</v>
      </c>
      <c r="AH105" s="56"/>
      <c r="AI105" s="57"/>
      <c r="AK105" s="58"/>
    </row>
    <row r="106" spans="1:37" x14ac:dyDescent="0.25">
      <c r="A106" s="124" t="s">
        <v>110</v>
      </c>
      <c r="B106" s="136">
        <v>2.25</v>
      </c>
      <c r="C106" s="137">
        <f t="shared" ref="C106:R107" si="26">B106</f>
        <v>2.25</v>
      </c>
      <c r="D106" s="137">
        <f t="shared" si="26"/>
        <v>2.25</v>
      </c>
      <c r="E106" s="137">
        <f t="shared" si="26"/>
        <v>2.25</v>
      </c>
      <c r="F106" s="137">
        <f t="shared" si="26"/>
        <v>2.25</v>
      </c>
      <c r="G106" s="137">
        <f t="shared" si="26"/>
        <v>2.25</v>
      </c>
      <c r="H106" s="137">
        <f t="shared" si="26"/>
        <v>2.25</v>
      </c>
      <c r="I106" s="137">
        <f t="shared" si="26"/>
        <v>2.25</v>
      </c>
      <c r="J106" s="137">
        <f t="shared" si="26"/>
        <v>2.25</v>
      </c>
      <c r="K106" s="137">
        <f t="shared" si="26"/>
        <v>2.25</v>
      </c>
      <c r="L106" s="137">
        <f t="shared" si="26"/>
        <v>2.25</v>
      </c>
      <c r="M106" s="137">
        <f t="shared" si="26"/>
        <v>2.25</v>
      </c>
      <c r="N106" s="137">
        <f t="shared" si="26"/>
        <v>2.25</v>
      </c>
      <c r="O106" s="137">
        <f t="shared" si="26"/>
        <v>2.25</v>
      </c>
      <c r="P106" s="137">
        <f t="shared" si="26"/>
        <v>2.25</v>
      </c>
      <c r="Q106" s="137">
        <f t="shared" si="26"/>
        <v>2.25</v>
      </c>
      <c r="R106" s="137">
        <f t="shared" si="26"/>
        <v>2.25</v>
      </c>
      <c r="S106" s="137">
        <f t="shared" ref="S106:AF107" si="27">R106</f>
        <v>2.25</v>
      </c>
      <c r="T106" s="137">
        <f t="shared" si="27"/>
        <v>2.25</v>
      </c>
      <c r="U106" s="137">
        <f t="shared" si="27"/>
        <v>2.25</v>
      </c>
      <c r="V106" s="137">
        <f t="shared" si="27"/>
        <v>2.25</v>
      </c>
      <c r="W106" s="137">
        <f t="shared" si="27"/>
        <v>2.25</v>
      </c>
      <c r="X106" s="137">
        <f t="shared" si="27"/>
        <v>2.25</v>
      </c>
      <c r="Y106" s="137">
        <f t="shared" si="27"/>
        <v>2.25</v>
      </c>
      <c r="Z106" s="137">
        <f t="shared" si="27"/>
        <v>2.25</v>
      </c>
      <c r="AA106" s="137">
        <f t="shared" si="27"/>
        <v>2.25</v>
      </c>
      <c r="AB106" s="137">
        <f t="shared" si="27"/>
        <v>2.25</v>
      </c>
      <c r="AC106" s="137">
        <f t="shared" si="27"/>
        <v>2.25</v>
      </c>
      <c r="AD106" s="137">
        <f t="shared" si="27"/>
        <v>2.25</v>
      </c>
      <c r="AE106" s="137">
        <f t="shared" si="27"/>
        <v>2.25</v>
      </c>
      <c r="AF106" s="137">
        <f t="shared" si="27"/>
        <v>2.25</v>
      </c>
      <c r="AG106" s="139">
        <v>8.5</v>
      </c>
      <c r="AH106" s="56"/>
      <c r="AI106" s="57"/>
      <c r="AK106" s="58"/>
    </row>
    <row r="107" spans="1:37" x14ac:dyDescent="0.25">
      <c r="A107" s="124" t="s">
        <v>111</v>
      </c>
      <c r="B107" s="136">
        <v>1.64</v>
      </c>
      <c r="C107" s="137">
        <f t="shared" si="26"/>
        <v>1.64</v>
      </c>
      <c r="D107" s="137">
        <f t="shared" si="26"/>
        <v>1.64</v>
      </c>
      <c r="E107" s="137">
        <f t="shared" si="26"/>
        <v>1.64</v>
      </c>
      <c r="F107" s="137">
        <f t="shared" si="26"/>
        <v>1.64</v>
      </c>
      <c r="G107" s="137">
        <f t="shared" si="26"/>
        <v>1.64</v>
      </c>
      <c r="H107" s="137">
        <f t="shared" si="26"/>
        <v>1.64</v>
      </c>
      <c r="I107" s="137">
        <f t="shared" si="26"/>
        <v>1.64</v>
      </c>
      <c r="J107" s="137">
        <f t="shared" si="26"/>
        <v>1.64</v>
      </c>
      <c r="K107" s="137">
        <f t="shared" si="26"/>
        <v>1.64</v>
      </c>
      <c r="L107" s="137">
        <f t="shared" si="26"/>
        <v>1.64</v>
      </c>
      <c r="M107" s="137">
        <f t="shared" si="26"/>
        <v>1.64</v>
      </c>
      <c r="N107" s="137">
        <f t="shared" si="26"/>
        <v>1.64</v>
      </c>
      <c r="O107" s="137">
        <f t="shared" si="26"/>
        <v>1.64</v>
      </c>
      <c r="P107" s="137">
        <f t="shared" si="26"/>
        <v>1.64</v>
      </c>
      <c r="Q107" s="137">
        <f t="shared" si="26"/>
        <v>1.64</v>
      </c>
      <c r="R107" s="137">
        <f t="shared" si="26"/>
        <v>1.64</v>
      </c>
      <c r="S107" s="137">
        <f t="shared" si="27"/>
        <v>1.64</v>
      </c>
      <c r="T107" s="137">
        <f t="shared" si="27"/>
        <v>1.64</v>
      </c>
      <c r="U107" s="137">
        <f t="shared" si="27"/>
        <v>1.64</v>
      </c>
      <c r="V107" s="137">
        <f t="shared" si="27"/>
        <v>1.64</v>
      </c>
      <c r="W107" s="137">
        <f t="shared" si="27"/>
        <v>1.64</v>
      </c>
      <c r="X107" s="137">
        <f t="shared" si="27"/>
        <v>1.64</v>
      </c>
      <c r="Y107" s="137">
        <f t="shared" si="27"/>
        <v>1.64</v>
      </c>
      <c r="Z107" s="137">
        <f t="shared" si="27"/>
        <v>1.64</v>
      </c>
      <c r="AA107" s="137">
        <f t="shared" si="27"/>
        <v>1.64</v>
      </c>
      <c r="AB107" s="137">
        <f t="shared" si="27"/>
        <v>1.64</v>
      </c>
      <c r="AC107" s="137">
        <f t="shared" si="27"/>
        <v>1.64</v>
      </c>
      <c r="AD107" s="137">
        <f t="shared" si="27"/>
        <v>1.64</v>
      </c>
      <c r="AE107" s="137">
        <f t="shared" si="27"/>
        <v>1.64</v>
      </c>
      <c r="AF107" s="137">
        <f t="shared" si="27"/>
        <v>1.64</v>
      </c>
      <c r="AG107" s="139">
        <v>8.5</v>
      </c>
      <c r="AH107" s="56"/>
      <c r="AI107" s="57"/>
      <c r="AK107" s="58"/>
    </row>
    <row r="108" spans="1:37" x14ac:dyDescent="0.25">
      <c r="A108" s="124" t="s">
        <v>112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9">
        <v>8.4</v>
      </c>
      <c r="AH108" s="56"/>
      <c r="AI108" s="57"/>
      <c r="AK108" s="58"/>
    </row>
    <row r="109" spans="1:37" x14ac:dyDescent="0.25">
      <c r="A109" s="124" t="s">
        <v>113</v>
      </c>
      <c r="B109" s="136">
        <v>1.62</v>
      </c>
      <c r="C109" s="137">
        <f t="shared" ref="C109:R116" si="28">B109</f>
        <v>1.62</v>
      </c>
      <c r="D109" s="137">
        <f t="shared" si="28"/>
        <v>1.62</v>
      </c>
      <c r="E109" s="137">
        <f t="shared" si="28"/>
        <v>1.62</v>
      </c>
      <c r="F109" s="137">
        <f t="shared" si="28"/>
        <v>1.62</v>
      </c>
      <c r="G109" s="137">
        <f t="shared" si="28"/>
        <v>1.62</v>
      </c>
      <c r="H109" s="137">
        <f t="shared" si="28"/>
        <v>1.62</v>
      </c>
      <c r="I109" s="137">
        <f t="shared" si="28"/>
        <v>1.62</v>
      </c>
      <c r="J109" s="137">
        <f t="shared" si="28"/>
        <v>1.62</v>
      </c>
      <c r="K109" s="137">
        <f t="shared" si="28"/>
        <v>1.62</v>
      </c>
      <c r="L109" s="137">
        <f t="shared" si="28"/>
        <v>1.62</v>
      </c>
      <c r="M109" s="137">
        <f t="shared" si="28"/>
        <v>1.62</v>
      </c>
      <c r="N109" s="137">
        <f t="shared" si="28"/>
        <v>1.62</v>
      </c>
      <c r="O109" s="137">
        <f t="shared" si="28"/>
        <v>1.62</v>
      </c>
      <c r="P109" s="137">
        <f t="shared" si="28"/>
        <v>1.62</v>
      </c>
      <c r="Q109" s="137">
        <f t="shared" si="28"/>
        <v>1.62</v>
      </c>
      <c r="R109" s="137">
        <f t="shared" si="28"/>
        <v>1.62</v>
      </c>
      <c r="S109" s="137">
        <f t="shared" ref="S109:AF124" si="29">R109</f>
        <v>1.62</v>
      </c>
      <c r="T109" s="137">
        <f t="shared" si="29"/>
        <v>1.62</v>
      </c>
      <c r="U109" s="137">
        <f t="shared" si="29"/>
        <v>1.62</v>
      </c>
      <c r="V109" s="137">
        <f t="shared" si="29"/>
        <v>1.62</v>
      </c>
      <c r="W109" s="137">
        <f t="shared" si="29"/>
        <v>1.62</v>
      </c>
      <c r="X109" s="137">
        <f t="shared" si="29"/>
        <v>1.62</v>
      </c>
      <c r="Y109" s="137">
        <f t="shared" si="29"/>
        <v>1.62</v>
      </c>
      <c r="Z109" s="137">
        <f t="shared" si="29"/>
        <v>1.62</v>
      </c>
      <c r="AA109" s="137">
        <f t="shared" si="29"/>
        <v>1.62</v>
      </c>
      <c r="AB109" s="137">
        <f t="shared" si="29"/>
        <v>1.62</v>
      </c>
      <c r="AC109" s="137">
        <f t="shared" si="29"/>
        <v>1.62</v>
      </c>
      <c r="AD109" s="137">
        <f t="shared" si="29"/>
        <v>1.62</v>
      </c>
      <c r="AE109" s="137">
        <f t="shared" si="29"/>
        <v>1.62</v>
      </c>
      <c r="AF109" s="137">
        <f t="shared" si="29"/>
        <v>1.62</v>
      </c>
      <c r="AG109" s="139">
        <v>8</v>
      </c>
      <c r="AH109" s="56"/>
      <c r="AI109" s="57"/>
      <c r="AK109" s="58"/>
    </row>
    <row r="110" spans="1:37" x14ac:dyDescent="0.25">
      <c r="A110" s="124" t="s">
        <v>114</v>
      </c>
      <c r="B110" s="136">
        <v>8.36</v>
      </c>
      <c r="C110" s="137">
        <f t="shared" si="28"/>
        <v>8.36</v>
      </c>
      <c r="D110" s="137">
        <f t="shared" si="28"/>
        <v>8.36</v>
      </c>
      <c r="E110" s="137">
        <f t="shared" si="28"/>
        <v>8.36</v>
      </c>
      <c r="F110" s="137">
        <f t="shared" si="28"/>
        <v>8.36</v>
      </c>
      <c r="G110" s="137">
        <f t="shared" si="28"/>
        <v>8.36</v>
      </c>
      <c r="H110" s="137">
        <f t="shared" si="28"/>
        <v>8.36</v>
      </c>
      <c r="I110" s="137">
        <f t="shared" si="28"/>
        <v>8.36</v>
      </c>
      <c r="J110" s="137">
        <f t="shared" si="28"/>
        <v>8.36</v>
      </c>
      <c r="K110" s="137">
        <f t="shared" si="28"/>
        <v>8.36</v>
      </c>
      <c r="L110" s="137">
        <f t="shared" si="28"/>
        <v>8.36</v>
      </c>
      <c r="M110" s="137">
        <f t="shared" si="28"/>
        <v>8.36</v>
      </c>
      <c r="N110" s="137">
        <f t="shared" si="28"/>
        <v>8.36</v>
      </c>
      <c r="O110" s="137">
        <f t="shared" si="28"/>
        <v>8.36</v>
      </c>
      <c r="P110" s="137">
        <f t="shared" si="28"/>
        <v>8.36</v>
      </c>
      <c r="Q110" s="137">
        <f t="shared" si="28"/>
        <v>8.36</v>
      </c>
      <c r="R110" s="137">
        <f t="shared" si="28"/>
        <v>8.36</v>
      </c>
      <c r="S110" s="137">
        <f t="shared" si="29"/>
        <v>8.36</v>
      </c>
      <c r="T110" s="137">
        <f t="shared" si="29"/>
        <v>8.36</v>
      </c>
      <c r="U110" s="137">
        <f t="shared" si="29"/>
        <v>8.36</v>
      </c>
      <c r="V110" s="137">
        <f t="shared" si="29"/>
        <v>8.36</v>
      </c>
      <c r="W110" s="137">
        <f t="shared" si="29"/>
        <v>8.36</v>
      </c>
      <c r="X110" s="137">
        <f t="shared" si="29"/>
        <v>8.36</v>
      </c>
      <c r="Y110" s="137">
        <f t="shared" si="29"/>
        <v>8.36</v>
      </c>
      <c r="Z110" s="137">
        <f t="shared" si="29"/>
        <v>8.36</v>
      </c>
      <c r="AA110" s="137">
        <f t="shared" si="29"/>
        <v>8.36</v>
      </c>
      <c r="AB110" s="137">
        <f t="shared" si="29"/>
        <v>8.36</v>
      </c>
      <c r="AC110" s="137">
        <f t="shared" si="29"/>
        <v>8.36</v>
      </c>
      <c r="AD110" s="137">
        <f t="shared" si="29"/>
        <v>8.36</v>
      </c>
      <c r="AE110" s="137">
        <f t="shared" si="29"/>
        <v>8.36</v>
      </c>
      <c r="AF110" s="137">
        <f t="shared" si="29"/>
        <v>8.36</v>
      </c>
      <c r="AG110" s="139">
        <v>8</v>
      </c>
      <c r="AH110" s="56"/>
      <c r="AI110" s="57"/>
      <c r="AK110" s="58"/>
    </row>
    <row r="111" spans="1:37" x14ac:dyDescent="0.25">
      <c r="A111" s="124" t="s">
        <v>115</v>
      </c>
      <c r="B111" s="136">
        <v>8</v>
      </c>
      <c r="C111" s="137">
        <f t="shared" si="28"/>
        <v>8</v>
      </c>
      <c r="D111" s="137">
        <f t="shared" si="28"/>
        <v>8</v>
      </c>
      <c r="E111" s="137">
        <f t="shared" si="28"/>
        <v>8</v>
      </c>
      <c r="F111" s="137">
        <f t="shared" si="28"/>
        <v>8</v>
      </c>
      <c r="G111" s="137">
        <f t="shared" si="28"/>
        <v>8</v>
      </c>
      <c r="H111" s="137">
        <f t="shared" si="28"/>
        <v>8</v>
      </c>
      <c r="I111" s="137">
        <v>5.4</v>
      </c>
      <c r="J111" s="137">
        <f t="shared" si="28"/>
        <v>5.4</v>
      </c>
      <c r="K111" s="137">
        <f t="shared" si="28"/>
        <v>5.4</v>
      </c>
      <c r="L111" s="137">
        <f t="shared" si="28"/>
        <v>5.4</v>
      </c>
      <c r="M111" s="137">
        <f t="shared" si="28"/>
        <v>5.4</v>
      </c>
      <c r="N111" s="137">
        <f t="shared" si="28"/>
        <v>5.4</v>
      </c>
      <c r="O111" s="137">
        <f t="shared" si="28"/>
        <v>5.4</v>
      </c>
      <c r="P111" s="137">
        <f t="shared" si="28"/>
        <v>5.4</v>
      </c>
      <c r="Q111" s="137">
        <f t="shared" si="28"/>
        <v>5.4</v>
      </c>
      <c r="R111" s="137">
        <f t="shared" si="28"/>
        <v>5.4</v>
      </c>
      <c r="S111" s="137">
        <f t="shared" si="29"/>
        <v>5.4</v>
      </c>
      <c r="T111" s="137">
        <f t="shared" si="29"/>
        <v>5.4</v>
      </c>
      <c r="U111" s="137">
        <f t="shared" si="29"/>
        <v>5.4</v>
      </c>
      <c r="V111" s="137">
        <f t="shared" si="29"/>
        <v>5.4</v>
      </c>
      <c r="W111" s="137">
        <f t="shared" si="29"/>
        <v>5.4</v>
      </c>
      <c r="X111" s="137">
        <f t="shared" si="29"/>
        <v>5.4</v>
      </c>
      <c r="Y111" s="137">
        <f t="shared" si="29"/>
        <v>5.4</v>
      </c>
      <c r="Z111" s="137">
        <f t="shared" si="29"/>
        <v>5.4</v>
      </c>
      <c r="AA111" s="137">
        <f t="shared" si="29"/>
        <v>5.4</v>
      </c>
      <c r="AB111" s="137">
        <f t="shared" si="29"/>
        <v>5.4</v>
      </c>
      <c r="AC111" s="137">
        <f t="shared" si="29"/>
        <v>5.4</v>
      </c>
      <c r="AD111" s="137">
        <f t="shared" si="29"/>
        <v>5.4</v>
      </c>
      <c r="AE111" s="137">
        <f t="shared" si="29"/>
        <v>5.4</v>
      </c>
      <c r="AF111" s="137">
        <f t="shared" si="29"/>
        <v>5.4</v>
      </c>
      <c r="AG111" s="139">
        <v>8</v>
      </c>
      <c r="AH111" s="56"/>
      <c r="AI111" s="57"/>
      <c r="AK111" s="58"/>
    </row>
    <row r="112" spans="1:37" x14ac:dyDescent="0.25">
      <c r="A112" s="124" t="s">
        <v>116</v>
      </c>
      <c r="B112" s="136">
        <v>6.57</v>
      </c>
      <c r="C112" s="137">
        <f t="shared" si="28"/>
        <v>6.57</v>
      </c>
      <c r="D112" s="137">
        <f t="shared" si="28"/>
        <v>6.57</v>
      </c>
      <c r="E112" s="137">
        <f t="shared" si="28"/>
        <v>6.57</v>
      </c>
      <c r="F112" s="137">
        <f t="shared" si="28"/>
        <v>6.57</v>
      </c>
      <c r="G112" s="137">
        <f t="shared" si="28"/>
        <v>6.57</v>
      </c>
      <c r="H112" s="137">
        <f t="shared" si="28"/>
        <v>6.57</v>
      </c>
      <c r="I112" s="137">
        <f t="shared" si="28"/>
        <v>6.57</v>
      </c>
      <c r="J112" s="137">
        <f t="shared" si="28"/>
        <v>6.57</v>
      </c>
      <c r="K112" s="137">
        <f t="shared" si="28"/>
        <v>6.57</v>
      </c>
      <c r="L112" s="137">
        <f t="shared" si="28"/>
        <v>6.57</v>
      </c>
      <c r="M112" s="137">
        <f t="shared" si="28"/>
        <v>6.57</v>
      </c>
      <c r="N112" s="137">
        <f t="shared" si="28"/>
        <v>6.57</v>
      </c>
      <c r="O112" s="137">
        <f t="shared" si="28"/>
        <v>6.57</v>
      </c>
      <c r="P112" s="137">
        <f t="shared" si="28"/>
        <v>6.57</v>
      </c>
      <c r="Q112" s="137">
        <f t="shared" si="28"/>
        <v>6.57</v>
      </c>
      <c r="R112" s="137">
        <f t="shared" si="28"/>
        <v>6.57</v>
      </c>
      <c r="S112" s="137">
        <f t="shared" si="29"/>
        <v>6.57</v>
      </c>
      <c r="T112" s="137">
        <f t="shared" si="29"/>
        <v>6.57</v>
      </c>
      <c r="U112" s="137">
        <f t="shared" si="29"/>
        <v>6.57</v>
      </c>
      <c r="V112" s="137">
        <f t="shared" si="29"/>
        <v>6.57</v>
      </c>
      <c r="W112" s="137">
        <f t="shared" si="29"/>
        <v>6.57</v>
      </c>
      <c r="X112" s="137">
        <f t="shared" si="29"/>
        <v>6.57</v>
      </c>
      <c r="Y112" s="137">
        <f t="shared" si="29"/>
        <v>6.57</v>
      </c>
      <c r="Z112" s="137">
        <f t="shared" si="29"/>
        <v>6.57</v>
      </c>
      <c r="AA112" s="137">
        <f t="shared" si="29"/>
        <v>6.57</v>
      </c>
      <c r="AB112" s="137">
        <f t="shared" si="29"/>
        <v>6.57</v>
      </c>
      <c r="AC112" s="137">
        <f t="shared" si="29"/>
        <v>6.57</v>
      </c>
      <c r="AD112" s="137">
        <f t="shared" si="29"/>
        <v>6.57</v>
      </c>
      <c r="AE112" s="137">
        <f t="shared" si="29"/>
        <v>6.57</v>
      </c>
      <c r="AF112" s="137">
        <f t="shared" si="29"/>
        <v>6.57</v>
      </c>
      <c r="AG112" s="139">
        <v>7.8</v>
      </c>
      <c r="AH112" s="56"/>
      <c r="AI112" s="57"/>
      <c r="AK112" s="58"/>
    </row>
    <row r="113" spans="1:37" x14ac:dyDescent="0.25">
      <c r="A113" s="124" t="s">
        <v>117</v>
      </c>
      <c r="B113" s="136">
        <v>3.43</v>
      </c>
      <c r="C113" s="137">
        <f t="shared" si="28"/>
        <v>3.43</v>
      </c>
      <c r="D113" s="137">
        <f t="shared" si="28"/>
        <v>3.43</v>
      </c>
      <c r="E113" s="137">
        <f t="shared" si="28"/>
        <v>3.43</v>
      </c>
      <c r="F113" s="137">
        <f t="shared" si="28"/>
        <v>3.43</v>
      </c>
      <c r="G113" s="137">
        <f t="shared" si="28"/>
        <v>3.43</v>
      </c>
      <c r="H113" s="137">
        <f t="shared" si="28"/>
        <v>3.43</v>
      </c>
      <c r="I113" s="137">
        <f t="shared" si="28"/>
        <v>3.43</v>
      </c>
      <c r="J113" s="137">
        <f t="shared" si="28"/>
        <v>3.43</v>
      </c>
      <c r="K113" s="137">
        <f t="shared" si="28"/>
        <v>3.43</v>
      </c>
      <c r="L113" s="137">
        <f t="shared" si="28"/>
        <v>3.43</v>
      </c>
      <c r="M113" s="137">
        <f t="shared" si="28"/>
        <v>3.43</v>
      </c>
      <c r="N113" s="137">
        <f t="shared" si="28"/>
        <v>3.43</v>
      </c>
      <c r="O113" s="137">
        <f t="shared" si="28"/>
        <v>3.43</v>
      </c>
      <c r="P113" s="137">
        <f t="shared" si="28"/>
        <v>3.43</v>
      </c>
      <c r="Q113" s="137">
        <f t="shared" si="28"/>
        <v>3.43</v>
      </c>
      <c r="R113" s="137">
        <f t="shared" si="28"/>
        <v>3.43</v>
      </c>
      <c r="S113" s="137">
        <f t="shared" si="29"/>
        <v>3.43</v>
      </c>
      <c r="T113" s="137">
        <f t="shared" si="29"/>
        <v>3.43</v>
      </c>
      <c r="U113" s="137">
        <f t="shared" si="29"/>
        <v>3.43</v>
      </c>
      <c r="V113" s="137">
        <f t="shared" si="29"/>
        <v>3.43</v>
      </c>
      <c r="W113" s="137">
        <f t="shared" si="29"/>
        <v>3.43</v>
      </c>
      <c r="X113" s="137">
        <f t="shared" si="29"/>
        <v>3.43</v>
      </c>
      <c r="Y113" s="137">
        <f t="shared" si="29"/>
        <v>3.43</v>
      </c>
      <c r="Z113" s="137">
        <f t="shared" si="29"/>
        <v>3.43</v>
      </c>
      <c r="AA113" s="137">
        <f t="shared" si="29"/>
        <v>3.43</v>
      </c>
      <c r="AB113" s="137">
        <f t="shared" si="29"/>
        <v>3.43</v>
      </c>
      <c r="AC113" s="137">
        <f t="shared" si="29"/>
        <v>3.43</v>
      </c>
      <c r="AD113" s="137">
        <f t="shared" si="29"/>
        <v>3.43</v>
      </c>
      <c r="AE113" s="137">
        <f t="shared" si="29"/>
        <v>3.43</v>
      </c>
      <c r="AF113" s="137">
        <f t="shared" si="29"/>
        <v>3.43</v>
      </c>
      <c r="AG113" s="139">
        <v>7.6</v>
      </c>
      <c r="AH113" s="56"/>
      <c r="AI113" s="57"/>
      <c r="AK113" s="58"/>
    </row>
    <row r="114" spans="1:37" x14ac:dyDescent="0.25">
      <c r="A114" s="124" t="s">
        <v>118</v>
      </c>
      <c r="B114" s="136">
        <v>2.96</v>
      </c>
      <c r="C114" s="137">
        <f t="shared" si="28"/>
        <v>2.96</v>
      </c>
      <c r="D114" s="137">
        <f t="shared" si="28"/>
        <v>2.96</v>
      </c>
      <c r="E114" s="137">
        <f t="shared" si="28"/>
        <v>2.96</v>
      </c>
      <c r="F114" s="137">
        <f t="shared" si="28"/>
        <v>2.96</v>
      </c>
      <c r="G114" s="137">
        <f t="shared" si="28"/>
        <v>2.96</v>
      </c>
      <c r="H114" s="137">
        <f t="shared" si="28"/>
        <v>2.96</v>
      </c>
      <c r="I114" s="137">
        <f t="shared" si="28"/>
        <v>2.96</v>
      </c>
      <c r="J114" s="137">
        <f t="shared" si="28"/>
        <v>2.96</v>
      </c>
      <c r="K114" s="137">
        <f t="shared" si="28"/>
        <v>2.96</v>
      </c>
      <c r="L114" s="137">
        <f t="shared" si="28"/>
        <v>2.96</v>
      </c>
      <c r="M114" s="137">
        <f t="shared" si="28"/>
        <v>2.96</v>
      </c>
      <c r="N114" s="137">
        <f t="shared" si="28"/>
        <v>2.96</v>
      </c>
      <c r="O114" s="137">
        <f t="shared" si="28"/>
        <v>2.96</v>
      </c>
      <c r="P114" s="137">
        <f t="shared" si="28"/>
        <v>2.96</v>
      </c>
      <c r="Q114" s="137">
        <f t="shared" si="28"/>
        <v>2.96</v>
      </c>
      <c r="R114" s="137">
        <f t="shared" si="28"/>
        <v>2.96</v>
      </c>
      <c r="S114" s="137">
        <f t="shared" si="29"/>
        <v>2.96</v>
      </c>
      <c r="T114" s="137">
        <f t="shared" si="29"/>
        <v>2.96</v>
      </c>
      <c r="U114" s="137">
        <f t="shared" si="29"/>
        <v>2.96</v>
      </c>
      <c r="V114" s="137">
        <f t="shared" si="29"/>
        <v>2.96</v>
      </c>
      <c r="W114" s="137">
        <f t="shared" si="29"/>
        <v>2.96</v>
      </c>
      <c r="X114" s="137">
        <f t="shared" si="29"/>
        <v>2.96</v>
      </c>
      <c r="Y114" s="137">
        <f t="shared" si="29"/>
        <v>2.96</v>
      </c>
      <c r="Z114" s="137">
        <f t="shared" si="29"/>
        <v>2.96</v>
      </c>
      <c r="AA114" s="137">
        <f t="shared" si="29"/>
        <v>2.96</v>
      </c>
      <c r="AB114" s="137">
        <f t="shared" si="29"/>
        <v>2.96</v>
      </c>
      <c r="AC114" s="137">
        <f t="shared" si="29"/>
        <v>2.96</v>
      </c>
      <c r="AD114" s="137">
        <f t="shared" si="29"/>
        <v>2.96</v>
      </c>
      <c r="AE114" s="137">
        <f t="shared" si="29"/>
        <v>2.96</v>
      </c>
      <c r="AF114" s="137">
        <f t="shared" si="29"/>
        <v>2.96</v>
      </c>
      <c r="AG114" s="139">
        <v>7.5</v>
      </c>
      <c r="AH114" s="56"/>
      <c r="AI114" s="57"/>
      <c r="AK114" s="58"/>
    </row>
    <row r="115" spans="1:37" x14ac:dyDescent="0.25">
      <c r="A115" s="124" t="s">
        <v>119</v>
      </c>
      <c r="B115" s="136">
        <v>8</v>
      </c>
      <c r="C115" s="137">
        <f t="shared" si="28"/>
        <v>8</v>
      </c>
      <c r="D115" s="137">
        <f t="shared" si="28"/>
        <v>8</v>
      </c>
      <c r="E115" s="137">
        <f t="shared" si="28"/>
        <v>8</v>
      </c>
      <c r="F115" s="137">
        <f t="shared" si="28"/>
        <v>8</v>
      </c>
      <c r="G115" s="137">
        <f t="shared" si="28"/>
        <v>8</v>
      </c>
      <c r="H115" s="137">
        <f t="shared" si="28"/>
        <v>8</v>
      </c>
      <c r="I115" s="137">
        <f t="shared" si="28"/>
        <v>8</v>
      </c>
      <c r="J115" s="137">
        <f t="shared" si="28"/>
        <v>8</v>
      </c>
      <c r="K115" s="137">
        <f t="shared" si="28"/>
        <v>8</v>
      </c>
      <c r="L115" s="137">
        <f t="shared" si="28"/>
        <v>8</v>
      </c>
      <c r="M115" s="137">
        <f t="shared" si="28"/>
        <v>8</v>
      </c>
      <c r="N115" s="137">
        <f t="shared" si="28"/>
        <v>8</v>
      </c>
      <c r="O115" s="137">
        <f t="shared" si="28"/>
        <v>8</v>
      </c>
      <c r="P115" s="137">
        <f t="shared" si="28"/>
        <v>8</v>
      </c>
      <c r="Q115" s="137">
        <f t="shared" si="28"/>
        <v>8</v>
      </c>
      <c r="R115" s="137">
        <f t="shared" si="28"/>
        <v>8</v>
      </c>
      <c r="S115" s="137">
        <f t="shared" si="29"/>
        <v>8</v>
      </c>
      <c r="T115" s="137">
        <f t="shared" si="29"/>
        <v>8</v>
      </c>
      <c r="U115" s="137">
        <f t="shared" si="29"/>
        <v>8</v>
      </c>
      <c r="V115" s="137">
        <f t="shared" si="29"/>
        <v>8</v>
      </c>
      <c r="W115" s="137">
        <f t="shared" si="29"/>
        <v>8</v>
      </c>
      <c r="X115" s="137">
        <f t="shared" si="29"/>
        <v>8</v>
      </c>
      <c r="Y115" s="137">
        <f t="shared" si="29"/>
        <v>8</v>
      </c>
      <c r="Z115" s="137">
        <f t="shared" si="29"/>
        <v>8</v>
      </c>
      <c r="AA115" s="137">
        <f t="shared" si="29"/>
        <v>8</v>
      </c>
      <c r="AB115" s="137">
        <f t="shared" si="29"/>
        <v>8</v>
      </c>
      <c r="AC115" s="137">
        <f t="shared" si="29"/>
        <v>8</v>
      </c>
      <c r="AD115" s="137">
        <f t="shared" si="29"/>
        <v>8</v>
      </c>
      <c r="AE115" s="137">
        <f t="shared" si="29"/>
        <v>8</v>
      </c>
      <c r="AF115" s="137">
        <f t="shared" si="29"/>
        <v>8</v>
      </c>
      <c r="AG115" s="139">
        <v>7.5</v>
      </c>
      <c r="AH115" s="56"/>
      <c r="AI115" s="57"/>
      <c r="AK115" s="58"/>
    </row>
    <row r="116" spans="1:37" x14ac:dyDescent="0.25">
      <c r="A116" s="124" t="s">
        <v>120</v>
      </c>
      <c r="B116" s="136">
        <v>7</v>
      </c>
      <c r="C116" s="137">
        <f>B116</f>
        <v>7</v>
      </c>
      <c r="D116" s="137">
        <f t="shared" si="28"/>
        <v>7</v>
      </c>
      <c r="E116" s="137">
        <f t="shared" si="28"/>
        <v>7</v>
      </c>
      <c r="F116" s="137">
        <f t="shared" si="28"/>
        <v>7</v>
      </c>
      <c r="G116" s="137">
        <f t="shared" si="28"/>
        <v>7</v>
      </c>
      <c r="H116" s="137">
        <f t="shared" si="28"/>
        <v>7</v>
      </c>
      <c r="I116" s="137">
        <f t="shared" si="28"/>
        <v>7</v>
      </c>
      <c r="J116" s="137">
        <f t="shared" si="28"/>
        <v>7</v>
      </c>
      <c r="K116" s="137">
        <f t="shared" si="28"/>
        <v>7</v>
      </c>
      <c r="L116" s="137">
        <f t="shared" si="28"/>
        <v>7</v>
      </c>
      <c r="M116" s="137">
        <f t="shared" si="28"/>
        <v>7</v>
      </c>
      <c r="N116" s="137">
        <f t="shared" si="28"/>
        <v>7</v>
      </c>
      <c r="O116" s="137">
        <f t="shared" si="28"/>
        <v>7</v>
      </c>
      <c r="P116" s="137">
        <f t="shared" si="28"/>
        <v>7</v>
      </c>
      <c r="Q116" s="137">
        <f t="shared" si="28"/>
        <v>7</v>
      </c>
      <c r="R116" s="137">
        <f t="shared" si="28"/>
        <v>7</v>
      </c>
      <c r="S116" s="137">
        <f t="shared" si="29"/>
        <v>7</v>
      </c>
      <c r="T116" s="137">
        <f t="shared" si="29"/>
        <v>7</v>
      </c>
      <c r="U116" s="137">
        <f t="shared" si="29"/>
        <v>7</v>
      </c>
      <c r="V116" s="137">
        <f t="shared" si="29"/>
        <v>7</v>
      </c>
      <c r="W116" s="137">
        <f t="shared" si="29"/>
        <v>7</v>
      </c>
      <c r="X116" s="137">
        <f t="shared" si="29"/>
        <v>7</v>
      </c>
      <c r="Y116" s="137">
        <f t="shared" si="29"/>
        <v>7</v>
      </c>
      <c r="Z116" s="137">
        <f t="shared" si="29"/>
        <v>7</v>
      </c>
      <c r="AA116" s="137">
        <f t="shared" si="29"/>
        <v>7</v>
      </c>
      <c r="AB116" s="137">
        <f t="shared" si="29"/>
        <v>7</v>
      </c>
      <c r="AC116" s="137">
        <f t="shared" si="29"/>
        <v>7</v>
      </c>
      <c r="AD116" s="137">
        <f t="shared" si="29"/>
        <v>7</v>
      </c>
      <c r="AE116" s="137">
        <f t="shared" si="29"/>
        <v>7</v>
      </c>
      <c r="AF116" s="137">
        <f t="shared" si="29"/>
        <v>7</v>
      </c>
      <c r="AG116" s="139">
        <v>7</v>
      </c>
      <c r="AH116" s="56"/>
      <c r="AI116" s="57"/>
      <c r="AK116" s="58"/>
    </row>
    <row r="117" spans="1:37" x14ac:dyDescent="0.25">
      <c r="A117" s="124" t="s">
        <v>121</v>
      </c>
      <c r="B117" s="136">
        <v>3.47</v>
      </c>
      <c r="C117" s="137">
        <f t="shared" ref="C117:R126" si="30">B117</f>
        <v>3.47</v>
      </c>
      <c r="D117" s="137">
        <f t="shared" si="30"/>
        <v>3.47</v>
      </c>
      <c r="E117" s="137">
        <f t="shared" si="30"/>
        <v>3.47</v>
      </c>
      <c r="F117" s="137">
        <f t="shared" si="30"/>
        <v>3.47</v>
      </c>
      <c r="G117" s="137">
        <f t="shared" si="30"/>
        <v>3.47</v>
      </c>
      <c r="H117" s="137">
        <f t="shared" si="30"/>
        <v>3.47</v>
      </c>
      <c r="I117" s="137">
        <f t="shared" si="30"/>
        <v>3.47</v>
      </c>
      <c r="J117" s="137">
        <f t="shared" si="30"/>
        <v>3.47</v>
      </c>
      <c r="K117" s="137">
        <f t="shared" si="30"/>
        <v>3.47</v>
      </c>
      <c r="L117" s="137">
        <f t="shared" si="30"/>
        <v>3.47</v>
      </c>
      <c r="M117" s="137">
        <f t="shared" si="30"/>
        <v>3.47</v>
      </c>
      <c r="N117" s="137">
        <f t="shared" si="30"/>
        <v>3.47</v>
      </c>
      <c r="O117" s="137">
        <f t="shared" si="30"/>
        <v>3.47</v>
      </c>
      <c r="P117" s="137">
        <f t="shared" si="30"/>
        <v>3.47</v>
      </c>
      <c r="Q117" s="137">
        <f t="shared" si="30"/>
        <v>3.47</v>
      </c>
      <c r="R117" s="137">
        <f t="shared" si="30"/>
        <v>3.47</v>
      </c>
      <c r="S117" s="137">
        <f t="shared" si="29"/>
        <v>3.47</v>
      </c>
      <c r="T117" s="137">
        <f t="shared" si="29"/>
        <v>3.47</v>
      </c>
      <c r="U117" s="137">
        <f t="shared" si="29"/>
        <v>3.47</v>
      </c>
      <c r="V117" s="137">
        <f t="shared" si="29"/>
        <v>3.47</v>
      </c>
      <c r="W117" s="137">
        <f t="shared" si="29"/>
        <v>3.47</v>
      </c>
      <c r="X117" s="137">
        <f t="shared" si="29"/>
        <v>3.47</v>
      </c>
      <c r="Y117" s="137">
        <f t="shared" si="29"/>
        <v>3.47</v>
      </c>
      <c r="Z117" s="137">
        <f t="shared" si="29"/>
        <v>3.47</v>
      </c>
      <c r="AA117" s="137">
        <f t="shared" si="29"/>
        <v>3.47</v>
      </c>
      <c r="AB117" s="137">
        <f t="shared" si="29"/>
        <v>3.47</v>
      </c>
      <c r="AC117" s="137">
        <f t="shared" si="29"/>
        <v>3.47</v>
      </c>
      <c r="AD117" s="137">
        <f t="shared" si="29"/>
        <v>3.47</v>
      </c>
      <c r="AE117" s="137">
        <f t="shared" si="29"/>
        <v>3.47</v>
      </c>
      <c r="AF117" s="137">
        <f t="shared" si="29"/>
        <v>3.47</v>
      </c>
      <c r="AG117" s="139">
        <v>7</v>
      </c>
      <c r="AH117" s="56"/>
      <c r="AI117" s="57"/>
      <c r="AK117" s="58"/>
    </row>
    <row r="118" spans="1:37" x14ac:dyDescent="0.25">
      <c r="A118" s="124" t="s">
        <v>122</v>
      </c>
      <c r="B118" s="136">
        <v>2.1</v>
      </c>
      <c r="C118" s="137">
        <f t="shared" si="30"/>
        <v>2.1</v>
      </c>
      <c r="D118" s="137">
        <f t="shared" si="30"/>
        <v>2.1</v>
      </c>
      <c r="E118" s="137">
        <f t="shared" si="30"/>
        <v>2.1</v>
      </c>
      <c r="F118" s="137">
        <f t="shared" si="30"/>
        <v>2.1</v>
      </c>
      <c r="G118" s="137">
        <f t="shared" si="30"/>
        <v>2.1</v>
      </c>
      <c r="H118" s="137">
        <f t="shared" si="30"/>
        <v>2.1</v>
      </c>
      <c r="I118" s="137">
        <f t="shared" si="30"/>
        <v>2.1</v>
      </c>
      <c r="J118" s="137">
        <f t="shared" si="30"/>
        <v>2.1</v>
      </c>
      <c r="K118" s="137">
        <f t="shared" si="30"/>
        <v>2.1</v>
      </c>
      <c r="L118" s="137">
        <f t="shared" si="30"/>
        <v>2.1</v>
      </c>
      <c r="M118" s="137">
        <f t="shared" si="30"/>
        <v>2.1</v>
      </c>
      <c r="N118" s="137">
        <f t="shared" si="30"/>
        <v>2.1</v>
      </c>
      <c r="O118" s="137">
        <f t="shared" si="30"/>
        <v>2.1</v>
      </c>
      <c r="P118" s="137">
        <f t="shared" si="30"/>
        <v>2.1</v>
      </c>
      <c r="Q118" s="137">
        <f t="shared" si="30"/>
        <v>2.1</v>
      </c>
      <c r="R118" s="137">
        <f t="shared" si="30"/>
        <v>2.1</v>
      </c>
      <c r="S118" s="137">
        <f t="shared" si="29"/>
        <v>2.1</v>
      </c>
      <c r="T118" s="137">
        <f t="shared" si="29"/>
        <v>2.1</v>
      </c>
      <c r="U118" s="137">
        <f t="shared" si="29"/>
        <v>2.1</v>
      </c>
      <c r="V118" s="137">
        <f t="shared" si="29"/>
        <v>2.1</v>
      </c>
      <c r="W118" s="137">
        <f t="shared" si="29"/>
        <v>2.1</v>
      </c>
      <c r="X118" s="137">
        <f t="shared" si="29"/>
        <v>2.1</v>
      </c>
      <c r="Y118" s="137">
        <f t="shared" si="29"/>
        <v>2.1</v>
      </c>
      <c r="Z118" s="137">
        <f t="shared" si="29"/>
        <v>2.1</v>
      </c>
      <c r="AA118" s="137">
        <f t="shared" si="29"/>
        <v>2.1</v>
      </c>
      <c r="AB118" s="137">
        <f t="shared" si="29"/>
        <v>2.1</v>
      </c>
      <c r="AC118" s="137">
        <f t="shared" si="29"/>
        <v>2.1</v>
      </c>
      <c r="AD118" s="137">
        <f t="shared" si="29"/>
        <v>2.1</v>
      </c>
      <c r="AE118" s="137">
        <f t="shared" si="29"/>
        <v>2.1</v>
      </c>
      <c r="AF118" s="137">
        <f t="shared" si="29"/>
        <v>2.1</v>
      </c>
      <c r="AG118" s="139">
        <v>7</v>
      </c>
      <c r="AH118" s="56"/>
      <c r="AI118" s="57"/>
      <c r="AK118" s="58"/>
    </row>
    <row r="119" spans="1:37" x14ac:dyDescent="0.25">
      <c r="A119" s="124" t="s">
        <v>123</v>
      </c>
      <c r="B119" s="136">
        <v>9.3000000000000007</v>
      </c>
      <c r="C119" s="137">
        <f t="shared" si="30"/>
        <v>9.3000000000000007</v>
      </c>
      <c r="D119" s="137">
        <f t="shared" si="30"/>
        <v>9.3000000000000007</v>
      </c>
      <c r="E119" s="137">
        <f t="shared" si="30"/>
        <v>9.3000000000000007</v>
      </c>
      <c r="F119" s="137">
        <f t="shared" si="30"/>
        <v>9.3000000000000007</v>
      </c>
      <c r="G119" s="137">
        <f t="shared" si="30"/>
        <v>9.3000000000000007</v>
      </c>
      <c r="H119" s="137">
        <f t="shared" si="30"/>
        <v>9.3000000000000007</v>
      </c>
      <c r="I119" s="137">
        <f t="shared" si="30"/>
        <v>9.3000000000000007</v>
      </c>
      <c r="J119" s="137">
        <f t="shared" si="30"/>
        <v>9.3000000000000007</v>
      </c>
      <c r="K119" s="137">
        <f t="shared" si="30"/>
        <v>9.3000000000000007</v>
      </c>
      <c r="L119" s="137">
        <f t="shared" si="30"/>
        <v>9.3000000000000007</v>
      </c>
      <c r="M119" s="137">
        <f t="shared" si="30"/>
        <v>9.3000000000000007</v>
      </c>
      <c r="N119" s="137">
        <f t="shared" si="30"/>
        <v>9.3000000000000007</v>
      </c>
      <c r="O119" s="137">
        <f t="shared" si="30"/>
        <v>9.3000000000000007</v>
      </c>
      <c r="P119" s="137">
        <f t="shared" si="30"/>
        <v>9.3000000000000007</v>
      </c>
      <c r="Q119" s="137">
        <f t="shared" si="30"/>
        <v>9.3000000000000007</v>
      </c>
      <c r="R119" s="137">
        <f t="shared" si="30"/>
        <v>9.3000000000000007</v>
      </c>
      <c r="S119" s="137">
        <f t="shared" si="29"/>
        <v>9.3000000000000007</v>
      </c>
      <c r="T119" s="137">
        <f t="shared" si="29"/>
        <v>9.3000000000000007</v>
      </c>
      <c r="U119" s="137">
        <f t="shared" si="29"/>
        <v>9.3000000000000007</v>
      </c>
      <c r="V119" s="137">
        <f t="shared" si="29"/>
        <v>9.3000000000000007</v>
      </c>
      <c r="W119" s="137">
        <f t="shared" si="29"/>
        <v>9.3000000000000007</v>
      </c>
      <c r="X119" s="137">
        <f t="shared" si="29"/>
        <v>9.3000000000000007</v>
      </c>
      <c r="Y119" s="137">
        <f t="shared" si="29"/>
        <v>9.3000000000000007</v>
      </c>
      <c r="Z119" s="137">
        <f t="shared" si="29"/>
        <v>9.3000000000000007</v>
      </c>
      <c r="AA119" s="137">
        <f t="shared" si="29"/>
        <v>9.3000000000000007</v>
      </c>
      <c r="AB119" s="137">
        <f t="shared" si="29"/>
        <v>9.3000000000000007</v>
      </c>
      <c r="AC119" s="137">
        <f t="shared" si="29"/>
        <v>9.3000000000000007</v>
      </c>
      <c r="AD119" s="137">
        <f t="shared" si="29"/>
        <v>9.3000000000000007</v>
      </c>
      <c r="AE119" s="137">
        <f t="shared" si="29"/>
        <v>9.3000000000000007</v>
      </c>
      <c r="AF119" s="137">
        <f t="shared" si="29"/>
        <v>9.3000000000000007</v>
      </c>
      <c r="AG119" s="139">
        <v>7</v>
      </c>
      <c r="AH119" s="56"/>
      <c r="AI119" s="57"/>
      <c r="AK119" s="58"/>
    </row>
    <row r="120" spans="1:37" x14ac:dyDescent="0.25">
      <c r="A120" s="124" t="s">
        <v>124</v>
      </c>
      <c r="B120" s="136">
        <v>0</v>
      </c>
      <c r="C120" s="137">
        <f t="shared" si="30"/>
        <v>0</v>
      </c>
      <c r="D120" s="137">
        <f t="shared" si="30"/>
        <v>0</v>
      </c>
      <c r="E120" s="137">
        <f t="shared" si="30"/>
        <v>0</v>
      </c>
      <c r="F120" s="137">
        <f t="shared" si="30"/>
        <v>0</v>
      </c>
      <c r="G120" s="137">
        <f t="shared" si="30"/>
        <v>0</v>
      </c>
      <c r="H120" s="137">
        <f t="shared" si="30"/>
        <v>0</v>
      </c>
      <c r="I120" s="137">
        <f t="shared" si="30"/>
        <v>0</v>
      </c>
      <c r="J120" s="137">
        <f t="shared" si="30"/>
        <v>0</v>
      </c>
      <c r="K120" s="137">
        <f t="shared" si="30"/>
        <v>0</v>
      </c>
      <c r="L120" s="137">
        <f t="shared" si="30"/>
        <v>0</v>
      </c>
      <c r="M120" s="137">
        <f t="shared" si="30"/>
        <v>0</v>
      </c>
      <c r="N120" s="137">
        <f t="shared" si="30"/>
        <v>0</v>
      </c>
      <c r="O120" s="137">
        <f t="shared" si="30"/>
        <v>0</v>
      </c>
      <c r="P120" s="137">
        <f t="shared" si="30"/>
        <v>0</v>
      </c>
      <c r="Q120" s="137">
        <f t="shared" si="30"/>
        <v>0</v>
      </c>
      <c r="R120" s="137">
        <f t="shared" si="30"/>
        <v>0</v>
      </c>
      <c r="S120" s="137">
        <f t="shared" si="29"/>
        <v>0</v>
      </c>
      <c r="T120" s="137">
        <f t="shared" si="29"/>
        <v>0</v>
      </c>
      <c r="U120" s="137">
        <f t="shared" si="29"/>
        <v>0</v>
      </c>
      <c r="V120" s="137">
        <f t="shared" si="29"/>
        <v>0</v>
      </c>
      <c r="W120" s="137">
        <f t="shared" si="29"/>
        <v>0</v>
      </c>
      <c r="X120" s="137">
        <f t="shared" si="29"/>
        <v>0</v>
      </c>
      <c r="Y120" s="137">
        <f t="shared" si="29"/>
        <v>0</v>
      </c>
      <c r="Z120" s="137">
        <f t="shared" si="29"/>
        <v>0</v>
      </c>
      <c r="AA120" s="137">
        <f t="shared" si="29"/>
        <v>0</v>
      </c>
      <c r="AB120" s="137">
        <f t="shared" si="29"/>
        <v>0</v>
      </c>
      <c r="AC120" s="137">
        <f t="shared" si="29"/>
        <v>0</v>
      </c>
      <c r="AD120" s="137">
        <f t="shared" si="29"/>
        <v>0</v>
      </c>
      <c r="AE120" s="137">
        <f t="shared" si="29"/>
        <v>0</v>
      </c>
      <c r="AF120" s="137">
        <f t="shared" si="29"/>
        <v>0</v>
      </c>
      <c r="AG120" s="139">
        <v>6.6</v>
      </c>
      <c r="AH120" s="56"/>
      <c r="AI120" s="57"/>
      <c r="AK120" s="58"/>
    </row>
    <row r="121" spans="1:37" x14ac:dyDescent="0.25">
      <c r="A121" s="124" t="s">
        <v>125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126</v>
      </c>
      <c r="B122" s="136">
        <v>5</v>
      </c>
      <c r="C122" s="137">
        <f t="shared" si="30"/>
        <v>5</v>
      </c>
      <c r="D122" s="137">
        <f t="shared" si="30"/>
        <v>5</v>
      </c>
      <c r="E122" s="137">
        <f t="shared" si="30"/>
        <v>5</v>
      </c>
      <c r="F122" s="137">
        <f t="shared" si="30"/>
        <v>5</v>
      </c>
      <c r="G122" s="137">
        <f t="shared" si="30"/>
        <v>5</v>
      </c>
      <c r="H122" s="137">
        <f t="shared" si="30"/>
        <v>5</v>
      </c>
      <c r="I122" s="137">
        <f t="shared" si="30"/>
        <v>5</v>
      </c>
      <c r="J122" s="137">
        <f t="shared" si="30"/>
        <v>5</v>
      </c>
      <c r="K122" s="137">
        <f t="shared" si="30"/>
        <v>5</v>
      </c>
      <c r="L122" s="137">
        <f t="shared" si="30"/>
        <v>5</v>
      </c>
      <c r="M122" s="137">
        <f t="shared" si="30"/>
        <v>5</v>
      </c>
      <c r="N122" s="137">
        <f t="shared" si="30"/>
        <v>5</v>
      </c>
      <c r="O122" s="137">
        <f t="shared" si="30"/>
        <v>5</v>
      </c>
      <c r="P122" s="137">
        <f t="shared" si="30"/>
        <v>5</v>
      </c>
      <c r="Q122" s="137">
        <f t="shared" si="30"/>
        <v>5</v>
      </c>
      <c r="R122" s="137">
        <f t="shared" si="30"/>
        <v>5</v>
      </c>
      <c r="S122" s="137">
        <f t="shared" si="29"/>
        <v>5</v>
      </c>
      <c r="T122" s="137">
        <f t="shared" si="29"/>
        <v>5</v>
      </c>
      <c r="U122" s="137">
        <f t="shared" si="29"/>
        <v>5</v>
      </c>
      <c r="V122" s="137">
        <f t="shared" si="29"/>
        <v>5</v>
      </c>
      <c r="W122" s="137">
        <f t="shared" si="29"/>
        <v>5</v>
      </c>
      <c r="X122" s="137">
        <f t="shared" si="29"/>
        <v>5</v>
      </c>
      <c r="Y122" s="137">
        <f t="shared" si="29"/>
        <v>5</v>
      </c>
      <c r="Z122" s="137">
        <f t="shared" si="29"/>
        <v>5</v>
      </c>
      <c r="AA122" s="137">
        <f t="shared" si="29"/>
        <v>5</v>
      </c>
      <c r="AB122" s="137">
        <f t="shared" si="29"/>
        <v>5</v>
      </c>
      <c r="AC122" s="137">
        <f t="shared" si="29"/>
        <v>5</v>
      </c>
      <c r="AD122" s="137">
        <f t="shared" si="29"/>
        <v>5</v>
      </c>
      <c r="AE122" s="137">
        <f t="shared" si="29"/>
        <v>5</v>
      </c>
      <c r="AF122" s="137">
        <f t="shared" si="29"/>
        <v>5</v>
      </c>
      <c r="AG122" s="139">
        <v>6.4</v>
      </c>
      <c r="AH122" s="56"/>
      <c r="AI122" s="57"/>
      <c r="AK122" s="58"/>
    </row>
    <row r="123" spans="1:37" x14ac:dyDescent="0.25">
      <c r="A123" s="124" t="s">
        <v>127</v>
      </c>
      <c r="B123" s="136">
        <v>1</v>
      </c>
      <c r="C123" s="137">
        <f t="shared" si="30"/>
        <v>1</v>
      </c>
      <c r="D123" s="137">
        <f t="shared" si="30"/>
        <v>1</v>
      </c>
      <c r="E123" s="137">
        <f t="shared" si="30"/>
        <v>1</v>
      </c>
      <c r="F123" s="137">
        <f t="shared" si="30"/>
        <v>1</v>
      </c>
      <c r="G123" s="137">
        <f t="shared" si="30"/>
        <v>1</v>
      </c>
      <c r="H123" s="137">
        <f t="shared" si="30"/>
        <v>1</v>
      </c>
      <c r="I123" s="137">
        <f t="shared" si="30"/>
        <v>1</v>
      </c>
      <c r="J123" s="137">
        <f t="shared" si="30"/>
        <v>1</v>
      </c>
      <c r="K123" s="137">
        <f t="shared" si="30"/>
        <v>1</v>
      </c>
      <c r="L123" s="137">
        <f t="shared" si="30"/>
        <v>1</v>
      </c>
      <c r="M123" s="137">
        <f t="shared" si="30"/>
        <v>1</v>
      </c>
      <c r="N123" s="137">
        <f t="shared" si="30"/>
        <v>1</v>
      </c>
      <c r="O123" s="137">
        <f t="shared" si="30"/>
        <v>1</v>
      </c>
      <c r="P123" s="137">
        <f t="shared" si="30"/>
        <v>1</v>
      </c>
      <c r="Q123" s="137">
        <f t="shared" si="30"/>
        <v>1</v>
      </c>
      <c r="R123" s="137">
        <f t="shared" si="30"/>
        <v>1</v>
      </c>
      <c r="S123" s="137">
        <f t="shared" si="29"/>
        <v>1</v>
      </c>
      <c r="T123" s="137">
        <f t="shared" si="29"/>
        <v>1</v>
      </c>
      <c r="U123" s="137">
        <f t="shared" si="29"/>
        <v>1</v>
      </c>
      <c r="V123" s="137">
        <f t="shared" si="29"/>
        <v>1</v>
      </c>
      <c r="W123" s="137">
        <f t="shared" si="29"/>
        <v>1</v>
      </c>
      <c r="X123" s="137">
        <f t="shared" si="29"/>
        <v>1</v>
      </c>
      <c r="Y123" s="137">
        <f t="shared" si="29"/>
        <v>1</v>
      </c>
      <c r="Z123" s="137">
        <f t="shared" si="29"/>
        <v>1</v>
      </c>
      <c r="AA123" s="137">
        <f t="shared" si="29"/>
        <v>1</v>
      </c>
      <c r="AB123" s="137">
        <f t="shared" si="29"/>
        <v>1</v>
      </c>
      <c r="AC123" s="137">
        <f t="shared" si="29"/>
        <v>1</v>
      </c>
      <c r="AD123" s="137">
        <f t="shared" si="29"/>
        <v>1</v>
      </c>
      <c r="AE123" s="137">
        <f t="shared" si="29"/>
        <v>1</v>
      </c>
      <c r="AF123" s="137">
        <f t="shared" si="29"/>
        <v>1</v>
      </c>
      <c r="AG123" s="139">
        <v>6</v>
      </c>
      <c r="AH123" s="56"/>
      <c r="AI123" s="57"/>
      <c r="AK123" s="58"/>
    </row>
    <row r="124" spans="1:37" x14ac:dyDescent="0.25">
      <c r="A124" s="124" t="s">
        <v>128</v>
      </c>
      <c r="B124" s="136">
        <v>1.58</v>
      </c>
      <c r="C124" s="137">
        <f t="shared" si="30"/>
        <v>1.58</v>
      </c>
      <c r="D124" s="137">
        <f t="shared" si="30"/>
        <v>1.58</v>
      </c>
      <c r="E124" s="137">
        <f t="shared" si="30"/>
        <v>1.58</v>
      </c>
      <c r="F124" s="137">
        <f t="shared" si="30"/>
        <v>1.58</v>
      </c>
      <c r="G124" s="137">
        <f t="shared" si="30"/>
        <v>1.58</v>
      </c>
      <c r="H124" s="137">
        <f t="shared" si="30"/>
        <v>1.58</v>
      </c>
      <c r="I124" s="137">
        <f t="shared" si="30"/>
        <v>1.58</v>
      </c>
      <c r="J124" s="137">
        <f t="shared" si="30"/>
        <v>1.58</v>
      </c>
      <c r="K124" s="137">
        <f t="shared" si="30"/>
        <v>1.58</v>
      </c>
      <c r="L124" s="137">
        <f t="shared" si="30"/>
        <v>1.58</v>
      </c>
      <c r="M124" s="137">
        <f t="shared" si="30"/>
        <v>1.58</v>
      </c>
      <c r="N124" s="137">
        <f t="shared" si="30"/>
        <v>1.58</v>
      </c>
      <c r="O124" s="137">
        <f t="shared" si="30"/>
        <v>1.58</v>
      </c>
      <c r="P124" s="137">
        <f t="shared" si="30"/>
        <v>1.58</v>
      </c>
      <c r="Q124" s="137">
        <f t="shared" si="30"/>
        <v>1.58</v>
      </c>
      <c r="R124" s="137">
        <f t="shared" si="30"/>
        <v>1.58</v>
      </c>
      <c r="S124" s="137">
        <f t="shared" si="29"/>
        <v>1.58</v>
      </c>
      <c r="T124" s="137">
        <f t="shared" si="29"/>
        <v>1.58</v>
      </c>
      <c r="U124" s="137">
        <f t="shared" si="29"/>
        <v>1.58</v>
      </c>
      <c r="V124" s="137">
        <f t="shared" si="29"/>
        <v>1.58</v>
      </c>
      <c r="W124" s="137">
        <f t="shared" si="29"/>
        <v>1.58</v>
      </c>
      <c r="X124" s="137">
        <f t="shared" si="29"/>
        <v>1.58</v>
      </c>
      <c r="Y124" s="137">
        <f t="shared" si="29"/>
        <v>1.58</v>
      </c>
      <c r="Z124" s="137">
        <f t="shared" si="29"/>
        <v>1.58</v>
      </c>
      <c r="AA124" s="137">
        <f t="shared" si="29"/>
        <v>1.58</v>
      </c>
      <c r="AB124" s="137">
        <f t="shared" si="29"/>
        <v>1.58</v>
      </c>
      <c r="AC124" s="137">
        <f t="shared" si="29"/>
        <v>1.58</v>
      </c>
      <c r="AD124" s="137">
        <f t="shared" si="29"/>
        <v>1.58</v>
      </c>
      <c r="AE124" s="137">
        <f t="shared" si="29"/>
        <v>1.58</v>
      </c>
      <c r="AF124" s="137">
        <f t="shared" si="29"/>
        <v>1.58</v>
      </c>
      <c r="AG124" s="139">
        <v>5.0999999999999996</v>
      </c>
      <c r="AH124" s="56"/>
      <c r="AI124" s="57"/>
      <c r="AK124" s="58"/>
    </row>
    <row r="125" spans="1:37" x14ac:dyDescent="0.25">
      <c r="A125" s="124" t="s">
        <v>129</v>
      </c>
      <c r="B125" s="136">
        <v>1.46</v>
      </c>
      <c r="C125" s="137">
        <f t="shared" si="30"/>
        <v>1.46</v>
      </c>
      <c r="D125" s="137">
        <f t="shared" si="30"/>
        <v>1.46</v>
      </c>
      <c r="E125" s="137">
        <f t="shared" si="30"/>
        <v>1.46</v>
      </c>
      <c r="F125" s="137">
        <f t="shared" si="30"/>
        <v>1.46</v>
      </c>
      <c r="G125" s="137">
        <f t="shared" si="30"/>
        <v>1.46</v>
      </c>
      <c r="H125" s="137">
        <f t="shared" si="30"/>
        <v>1.46</v>
      </c>
      <c r="I125" s="137">
        <f t="shared" si="30"/>
        <v>1.46</v>
      </c>
      <c r="J125" s="137">
        <f t="shared" si="30"/>
        <v>1.46</v>
      </c>
      <c r="K125" s="137">
        <f t="shared" si="30"/>
        <v>1.46</v>
      </c>
      <c r="L125" s="137">
        <f t="shared" si="30"/>
        <v>1.46</v>
      </c>
      <c r="M125" s="137">
        <f t="shared" si="30"/>
        <v>1.46</v>
      </c>
      <c r="N125" s="137">
        <f t="shared" si="30"/>
        <v>1.46</v>
      </c>
      <c r="O125" s="137">
        <f t="shared" si="30"/>
        <v>1.46</v>
      </c>
      <c r="P125" s="137">
        <f t="shared" si="30"/>
        <v>1.46</v>
      </c>
      <c r="Q125" s="137">
        <f t="shared" si="30"/>
        <v>1.46</v>
      </c>
      <c r="R125" s="137">
        <f t="shared" si="30"/>
        <v>1.46</v>
      </c>
      <c r="S125" s="137">
        <f t="shared" ref="S125:AF126" si="31">R125</f>
        <v>1.46</v>
      </c>
      <c r="T125" s="137">
        <f t="shared" si="31"/>
        <v>1.46</v>
      </c>
      <c r="U125" s="137">
        <f t="shared" si="31"/>
        <v>1.46</v>
      </c>
      <c r="V125" s="137">
        <f t="shared" si="31"/>
        <v>1.46</v>
      </c>
      <c r="W125" s="137">
        <f t="shared" si="31"/>
        <v>1.46</v>
      </c>
      <c r="X125" s="137">
        <f t="shared" si="31"/>
        <v>1.46</v>
      </c>
      <c r="Y125" s="137">
        <f t="shared" si="31"/>
        <v>1.46</v>
      </c>
      <c r="Z125" s="137">
        <f t="shared" si="31"/>
        <v>1.46</v>
      </c>
      <c r="AA125" s="137">
        <f t="shared" si="31"/>
        <v>1.46</v>
      </c>
      <c r="AB125" s="137">
        <f t="shared" si="31"/>
        <v>1.46</v>
      </c>
      <c r="AC125" s="137">
        <f t="shared" si="31"/>
        <v>1.46</v>
      </c>
      <c r="AD125" s="137">
        <f t="shared" si="31"/>
        <v>1.46</v>
      </c>
      <c r="AE125" s="137">
        <f t="shared" si="31"/>
        <v>1.46</v>
      </c>
      <c r="AF125" s="137">
        <f t="shared" si="31"/>
        <v>1.46</v>
      </c>
      <c r="AG125" s="139">
        <v>5</v>
      </c>
      <c r="AH125" s="56"/>
      <c r="AI125" s="57"/>
      <c r="AK125" s="58"/>
    </row>
    <row r="126" spans="1:37" x14ac:dyDescent="0.25">
      <c r="A126" s="122" t="s">
        <v>130</v>
      </c>
      <c r="B126" s="136">
        <v>1.48</v>
      </c>
      <c r="C126" s="137">
        <f t="shared" si="30"/>
        <v>1.48</v>
      </c>
      <c r="D126" s="137">
        <f t="shared" si="30"/>
        <v>1.48</v>
      </c>
      <c r="E126" s="137">
        <f t="shared" si="30"/>
        <v>1.48</v>
      </c>
      <c r="F126" s="137">
        <f t="shared" si="30"/>
        <v>1.48</v>
      </c>
      <c r="G126" s="137">
        <f t="shared" si="30"/>
        <v>1.48</v>
      </c>
      <c r="H126" s="137">
        <f t="shared" si="30"/>
        <v>1.48</v>
      </c>
      <c r="I126" s="137">
        <f t="shared" si="30"/>
        <v>1.48</v>
      </c>
      <c r="J126" s="137">
        <f t="shared" si="30"/>
        <v>1.48</v>
      </c>
      <c r="K126" s="137">
        <f t="shared" si="30"/>
        <v>1.48</v>
      </c>
      <c r="L126" s="137">
        <f t="shared" si="30"/>
        <v>1.48</v>
      </c>
      <c r="M126" s="137">
        <f t="shared" si="30"/>
        <v>1.48</v>
      </c>
      <c r="N126" s="137">
        <f t="shared" si="30"/>
        <v>1.48</v>
      </c>
      <c r="O126" s="137">
        <f t="shared" si="30"/>
        <v>1.48</v>
      </c>
      <c r="P126" s="137">
        <f t="shared" si="30"/>
        <v>1.48</v>
      </c>
      <c r="Q126" s="137">
        <f t="shared" si="30"/>
        <v>1.48</v>
      </c>
      <c r="R126" s="137">
        <f t="shared" si="30"/>
        <v>1.48</v>
      </c>
      <c r="S126" s="137">
        <f t="shared" si="31"/>
        <v>1.48</v>
      </c>
      <c r="T126" s="137">
        <f t="shared" si="31"/>
        <v>1.48</v>
      </c>
      <c r="U126" s="137">
        <f t="shared" si="31"/>
        <v>1.48</v>
      </c>
      <c r="V126" s="137">
        <f t="shared" si="31"/>
        <v>1.48</v>
      </c>
      <c r="W126" s="137">
        <f t="shared" si="31"/>
        <v>1.48</v>
      </c>
      <c r="X126" s="137">
        <f t="shared" si="31"/>
        <v>1.48</v>
      </c>
      <c r="Y126" s="137">
        <f t="shared" si="31"/>
        <v>1.48</v>
      </c>
      <c r="Z126" s="137">
        <f t="shared" si="31"/>
        <v>1.48</v>
      </c>
      <c r="AA126" s="137">
        <f t="shared" si="31"/>
        <v>1.48</v>
      </c>
      <c r="AB126" s="137">
        <f t="shared" si="31"/>
        <v>1.48</v>
      </c>
      <c r="AC126" s="137">
        <f t="shared" si="31"/>
        <v>1.48</v>
      </c>
      <c r="AD126" s="137">
        <f t="shared" si="31"/>
        <v>1.48</v>
      </c>
      <c r="AE126" s="137">
        <f t="shared" si="31"/>
        <v>1.48</v>
      </c>
      <c r="AF126" s="137">
        <f t="shared" si="31"/>
        <v>1.48</v>
      </c>
      <c r="AG126" s="138">
        <v>5</v>
      </c>
      <c r="AH126" s="56"/>
      <c r="AI126" s="57"/>
      <c r="AK126" s="58"/>
    </row>
    <row r="127" spans="1:37" x14ac:dyDescent="0.25">
      <c r="A127" s="124" t="s">
        <v>131</v>
      </c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9">
        <v>5</v>
      </c>
      <c r="AH127" s="56"/>
      <c r="AI127" s="57"/>
      <c r="AK127" s="58"/>
    </row>
    <row r="128" spans="1:37" x14ac:dyDescent="0.25">
      <c r="A128" s="124" t="s">
        <v>132</v>
      </c>
      <c r="B128" s="136">
        <v>2.2000000000000002</v>
      </c>
      <c r="C128" s="137">
        <f t="shared" ref="C128:R135" si="32">B128</f>
        <v>2.2000000000000002</v>
      </c>
      <c r="D128" s="137">
        <f t="shared" si="32"/>
        <v>2.2000000000000002</v>
      </c>
      <c r="E128" s="137">
        <f t="shared" si="32"/>
        <v>2.2000000000000002</v>
      </c>
      <c r="F128" s="137">
        <f t="shared" si="32"/>
        <v>2.2000000000000002</v>
      </c>
      <c r="G128" s="137">
        <f t="shared" si="32"/>
        <v>2.2000000000000002</v>
      </c>
      <c r="H128" s="137">
        <f t="shared" si="32"/>
        <v>2.2000000000000002</v>
      </c>
      <c r="I128" s="137">
        <f t="shared" si="32"/>
        <v>2.2000000000000002</v>
      </c>
      <c r="J128" s="137">
        <f t="shared" si="32"/>
        <v>2.2000000000000002</v>
      </c>
      <c r="K128" s="137">
        <f t="shared" si="32"/>
        <v>2.2000000000000002</v>
      </c>
      <c r="L128" s="137">
        <f t="shared" si="32"/>
        <v>2.2000000000000002</v>
      </c>
      <c r="M128" s="137">
        <f t="shared" si="32"/>
        <v>2.2000000000000002</v>
      </c>
      <c r="N128" s="137">
        <f t="shared" si="32"/>
        <v>2.2000000000000002</v>
      </c>
      <c r="O128" s="137">
        <f t="shared" si="32"/>
        <v>2.2000000000000002</v>
      </c>
      <c r="P128" s="137">
        <f t="shared" si="32"/>
        <v>2.2000000000000002</v>
      </c>
      <c r="Q128" s="137">
        <f t="shared" si="32"/>
        <v>2.2000000000000002</v>
      </c>
      <c r="R128" s="137">
        <f t="shared" si="32"/>
        <v>2.2000000000000002</v>
      </c>
      <c r="S128" s="137">
        <f t="shared" ref="S128:AF135" si="33">R128</f>
        <v>2.2000000000000002</v>
      </c>
      <c r="T128" s="137">
        <f t="shared" si="33"/>
        <v>2.2000000000000002</v>
      </c>
      <c r="U128" s="137">
        <f t="shared" si="33"/>
        <v>2.2000000000000002</v>
      </c>
      <c r="V128" s="137">
        <f t="shared" si="33"/>
        <v>2.2000000000000002</v>
      </c>
      <c r="W128" s="137">
        <f t="shared" si="33"/>
        <v>2.2000000000000002</v>
      </c>
      <c r="X128" s="137">
        <f t="shared" si="33"/>
        <v>2.2000000000000002</v>
      </c>
      <c r="Y128" s="137">
        <f t="shared" si="33"/>
        <v>2.2000000000000002</v>
      </c>
      <c r="Z128" s="137">
        <f t="shared" si="33"/>
        <v>2.2000000000000002</v>
      </c>
      <c r="AA128" s="137">
        <f t="shared" si="33"/>
        <v>2.2000000000000002</v>
      </c>
      <c r="AB128" s="137">
        <f t="shared" si="33"/>
        <v>2.2000000000000002</v>
      </c>
      <c r="AC128" s="137">
        <f t="shared" si="33"/>
        <v>2.2000000000000002</v>
      </c>
      <c r="AD128" s="137">
        <f t="shared" si="33"/>
        <v>2.2000000000000002</v>
      </c>
      <c r="AE128" s="137">
        <f t="shared" si="33"/>
        <v>2.2000000000000002</v>
      </c>
      <c r="AF128" s="137">
        <f t="shared" si="33"/>
        <v>2.2000000000000002</v>
      </c>
      <c r="AG128" s="139">
        <v>5</v>
      </c>
      <c r="AH128" s="56"/>
      <c r="AI128" s="57"/>
      <c r="AK128" s="58"/>
    </row>
    <row r="129" spans="1:37" x14ac:dyDescent="0.25">
      <c r="A129" s="124" t="s">
        <v>133</v>
      </c>
      <c r="B129" s="136">
        <v>2</v>
      </c>
      <c r="C129" s="137">
        <f t="shared" si="32"/>
        <v>2</v>
      </c>
      <c r="D129" s="137">
        <f t="shared" si="32"/>
        <v>2</v>
      </c>
      <c r="E129" s="137">
        <f t="shared" si="32"/>
        <v>2</v>
      </c>
      <c r="F129" s="137">
        <f t="shared" si="32"/>
        <v>2</v>
      </c>
      <c r="G129" s="137">
        <f t="shared" si="32"/>
        <v>2</v>
      </c>
      <c r="H129" s="137">
        <f t="shared" si="32"/>
        <v>2</v>
      </c>
      <c r="I129" s="137">
        <f t="shared" si="32"/>
        <v>2</v>
      </c>
      <c r="J129" s="137">
        <f t="shared" si="32"/>
        <v>2</v>
      </c>
      <c r="K129" s="137">
        <f t="shared" si="32"/>
        <v>2</v>
      </c>
      <c r="L129" s="137">
        <f t="shared" si="32"/>
        <v>2</v>
      </c>
      <c r="M129" s="137">
        <f t="shared" si="32"/>
        <v>2</v>
      </c>
      <c r="N129" s="137">
        <f t="shared" si="32"/>
        <v>2</v>
      </c>
      <c r="O129" s="137">
        <f t="shared" si="32"/>
        <v>2</v>
      </c>
      <c r="P129" s="137">
        <f t="shared" si="32"/>
        <v>2</v>
      </c>
      <c r="Q129" s="137">
        <f t="shared" si="32"/>
        <v>2</v>
      </c>
      <c r="R129" s="137">
        <f t="shared" si="32"/>
        <v>2</v>
      </c>
      <c r="S129" s="137">
        <f t="shared" si="33"/>
        <v>2</v>
      </c>
      <c r="T129" s="137">
        <f t="shared" si="33"/>
        <v>2</v>
      </c>
      <c r="U129" s="137">
        <f t="shared" si="33"/>
        <v>2</v>
      </c>
      <c r="V129" s="137">
        <f t="shared" si="33"/>
        <v>2</v>
      </c>
      <c r="W129" s="137">
        <f t="shared" si="33"/>
        <v>2</v>
      </c>
      <c r="X129" s="137">
        <f t="shared" si="33"/>
        <v>2</v>
      </c>
      <c r="Y129" s="137">
        <f t="shared" si="33"/>
        <v>2</v>
      </c>
      <c r="Z129" s="137">
        <f t="shared" si="33"/>
        <v>2</v>
      </c>
      <c r="AA129" s="137">
        <f t="shared" si="33"/>
        <v>2</v>
      </c>
      <c r="AB129" s="137">
        <f t="shared" si="33"/>
        <v>2</v>
      </c>
      <c r="AC129" s="137">
        <f t="shared" si="33"/>
        <v>2</v>
      </c>
      <c r="AD129" s="137">
        <f t="shared" si="33"/>
        <v>2</v>
      </c>
      <c r="AE129" s="137">
        <f t="shared" si="33"/>
        <v>2</v>
      </c>
      <c r="AF129" s="137">
        <f t="shared" si="33"/>
        <v>2</v>
      </c>
      <c r="AG129" s="139">
        <v>5</v>
      </c>
      <c r="AH129" s="56"/>
      <c r="AI129" s="57"/>
      <c r="AK129" s="58"/>
    </row>
    <row r="130" spans="1:37" x14ac:dyDescent="0.25">
      <c r="A130" s="124" t="s">
        <v>134</v>
      </c>
      <c r="B130" s="136">
        <v>1.25</v>
      </c>
      <c r="C130" s="137">
        <f t="shared" si="32"/>
        <v>1.25</v>
      </c>
      <c r="D130" s="137">
        <f t="shared" si="32"/>
        <v>1.25</v>
      </c>
      <c r="E130" s="137">
        <f t="shared" si="32"/>
        <v>1.25</v>
      </c>
      <c r="F130" s="137">
        <f t="shared" si="32"/>
        <v>1.25</v>
      </c>
      <c r="G130" s="137">
        <f t="shared" si="32"/>
        <v>1.25</v>
      </c>
      <c r="H130" s="137">
        <f t="shared" si="32"/>
        <v>1.25</v>
      </c>
      <c r="I130" s="137">
        <f t="shared" si="32"/>
        <v>1.25</v>
      </c>
      <c r="J130" s="137">
        <f t="shared" si="32"/>
        <v>1.25</v>
      </c>
      <c r="K130" s="137">
        <f t="shared" si="32"/>
        <v>1.25</v>
      </c>
      <c r="L130" s="137">
        <f t="shared" si="32"/>
        <v>1.25</v>
      </c>
      <c r="M130" s="137">
        <f t="shared" si="32"/>
        <v>1.25</v>
      </c>
      <c r="N130" s="137">
        <f t="shared" si="32"/>
        <v>1.25</v>
      </c>
      <c r="O130" s="137">
        <f t="shared" si="32"/>
        <v>1.25</v>
      </c>
      <c r="P130" s="137">
        <f t="shared" si="32"/>
        <v>1.25</v>
      </c>
      <c r="Q130" s="137">
        <f t="shared" si="32"/>
        <v>1.25</v>
      </c>
      <c r="R130" s="137">
        <f t="shared" si="32"/>
        <v>1.25</v>
      </c>
      <c r="S130" s="137">
        <f t="shared" si="33"/>
        <v>1.25</v>
      </c>
      <c r="T130" s="137">
        <f t="shared" si="33"/>
        <v>1.25</v>
      </c>
      <c r="U130" s="137">
        <f t="shared" si="33"/>
        <v>1.25</v>
      </c>
      <c r="V130" s="137">
        <f t="shared" si="33"/>
        <v>1.25</v>
      </c>
      <c r="W130" s="137">
        <f t="shared" si="33"/>
        <v>1.25</v>
      </c>
      <c r="X130" s="137">
        <f t="shared" si="33"/>
        <v>1.25</v>
      </c>
      <c r="Y130" s="137">
        <f t="shared" si="33"/>
        <v>1.25</v>
      </c>
      <c r="Z130" s="137">
        <f t="shared" si="33"/>
        <v>1.25</v>
      </c>
      <c r="AA130" s="137">
        <f t="shared" si="33"/>
        <v>1.25</v>
      </c>
      <c r="AB130" s="137">
        <f t="shared" si="33"/>
        <v>1.25</v>
      </c>
      <c r="AC130" s="137">
        <f t="shared" si="33"/>
        <v>1.25</v>
      </c>
      <c r="AD130" s="137">
        <f t="shared" si="33"/>
        <v>1.25</v>
      </c>
      <c r="AE130" s="137">
        <f t="shared" si="33"/>
        <v>1.25</v>
      </c>
      <c r="AF130" s="137">
        <f t="shared" si="33"/>
        <v>1.25</v>
      </c>
      <c r="AG130" s="139">
        <v>5</v>
      </c>
      <c r="AH130" s="56"/>
      <c r="AI130" s="57"/>
      <c r="AK130" s="58"/>
    </row>
    <row r="131" spans="1:37" x14ac:dyDescent="0.25">
      <c r="A131" s="124" t="s">
        <v>135</v>
      </c>
      <c r="B131" s="136">
        <v>1.1499999999999999</v>
      </c>
      <c r="C131" s="137">
        <f t="shared" si="32"/>
        <v>1.1499999999999999</v>
      </c>
      <c r="D131" s="137">
        <f t="shared" si="32"/>
        <v>1.1499999999999999</v>
      </c>
      <c r="E131" s="137">
        <f t="shared" si="32"/>
        <v>1.1499999999999999</v>
      </c>
      <c r="F131" s="137">
        <f t="shared" si="32"/>
        <v>1.1499999999999999</v>
      </c>
      <c r="G131" s="137">
        <f t="shared" si="32"/>
        <v>1.1499999999999999</v>
      </c>
      <c r="H131" s="137">
        <f t="shared" si="32"/>
        <v>1.1499999999999999</v>
      </c>
      <c r="I131" s="137">
        <f t="shared" si="32"/>
        <v>1.1499999999999999</v>
      </c>
      <c r="J131" s="137">
        <f t="shared" si="32"/>
        <v>1.1499999999999999</v>
      </c>
      <c r="K131" s="137">
        <f t="shared" si="32"/>
        <v>1.1499999999999999</v>
      </c>
      <c r="L131" s="137">
        <f t="shared" si="32"/>
        <v>1.1499999999999999</v>
      </c>
      <c r="M131" s="137">
        <f t="shared" si="32"/>
        <v>1.1499999999999999</v>
      </c>
      <c r="N131" s="137">
        <f t="shared" si="32"/>
        <v>1.1499999999999999</v>
      </c>
      <c r="O131" s="137">
        <f t="shared" si="32"/>
        <v>1.1499999999999999</v>
      </c>
      <c r="P131" s="137">
        <f t="shared" si="32"/>
        <v>1.1499999999999999</v>
      </c>
      <c r="Q131" s="137">
        <f t="shared" si="32"/>
        <v>1.1499999999999999</v>
      </c>
      <c r="R131" s="137">
        <f t="shared" si="32"/>
        <v>1.1499999999999999</v>
      </c>
      <c r="S131" s="137">
        <f t="shared" si="33"/>
        <v>1.1499999999999999</v>
      </c>
      <c r="T131" s="137">
        <f t="shared" si="33"/>
        <v>1.1499999999999999</v>
      </c>
      <c r="U131" s="137">
        <f t="shared" si="33"/>
        <v>1.1499999999999999</v>
      </c>
      <c r="V131" s="137">
        <f t="shared" si="33"/>
        <v>1.1499999999999999</v>
      </c>
      <c r="W131" s="137">
        <f t="shared" si="33"/>
        <v>1.1499999999999999</v>
      </c>
      <c r="X131" s="137">
        <f t="shared" si="33"/>
        <v>1.1499999999999999</v>
      </c>
      <c r="Y131" s="137">
        <f t="shared" si="33"/>
        <v>1.1499999999999999</v>
      </c>
      <c r="Z131" s="137">
        <f t="shared" si="33"/>
        <v>1.1499999999999999</v>
      </c>
      <c r="AA131" s="137">
        <f t="shared" si="33"/>
        <v>1.1499999999999999</v>
      </c>
      <c r="AB131" s="137">
        <f t="shared" si="33"/>
        <v>1.1499999999999999</v>
      </c>
      <c r="AC131" s="137">
        <f t="shared" si="33"/>
        <v>1.1499999999999999</v>
      </c>
      <c r="AD131" s="137">
        <f t="shared" si="33"/>
        <v>1.1499999999999999</v>
      </c>
      <c r="AE131" s="137">
        <f t="shared" si="33"/>
        <v>1.1499999999999999</v>
      </c>
      <c r="AF131" s="137">
        <f t="shared" si="33"/>
        <v>1.1499999999999999</v>
      </c>
      <c r="AG131" s="139">
        <v>5</v>
      </c>
      <c r="AH131" s="56"/>
      <c r="AI131" s="57"/>
      <c r="AK131" s="58"/>
    </row>
    <row r="132" spans="1:37" x14ac:dyDescent="0.25">
      <c r="A132" s="124" t="s">
        <v>136</v>
      </c>
      <c r="B132" s="136">
        <v>2.133</v>
      </c>
      <c r="C132" s="137">
        <f t="shared" si="32"/>
        <v>2.133</v>
      </c>
      <c r="D132" s="137">
        <f t="shared" si="32"/>
        <v>2.133</v>
      </c>
      <c r="E132" s="137">
        <f t="shared" si="32"/>
        <v>2.133</v>
      </c>
      <c r="F132" s="137">
        <f t="shared" si="32"/>
        <v>2.133</v>
      </c>
      <c r="G132" s="137">
        <f t="shared" si="32"/>
        <v>2.133</v>
      </c>
      <c r="H132" s="137">
        <f t="shared" si="32"/>
        <v>2.133</v>
      </c>
      <c r="I132" s="137">
        <f t="shared" si="32"/>
        <v>2.133</v>
      </c>
      <c r="J132" s="137">
        <f t="shared" si="32"/>
        <v>2.133</v>
      </c>
      <c r="K132" s="137">
        <f t="shared" si="32"/>
        <v>2.133</v>
      </c>
      <c r="L132" s="137">
        <f t="shared" si="32"/>
        <v>2.133</v>
      </c>
      <c r="M132" s="137">
        <f t="shared" si="32"/>
        <v>2.133</v>
      </c>
      <c r="N132" s="137">
        <f t="shared" si="32"/>
        <v>2.133</v>
      </c>
      <c r="O132" s="137">
        <f t="shared" si="32"/>
        <v>2.133</v>
      </c>
      <c r="P132" s="137">
        <f t="shared" si="32"/>
        <v>2.133</v>
      </c>
      <c r="Q132" s="137">
        <f t="shared" si="32"/>
        <v>2.133</v>
      </c>
      <c r="R132" s="137">
        <f t="shared" si="32"/>
        <v>2.133</v>
      </c>
      <c r="S132" s="137">
        <f t="shared" si="33"/>
        <v>2.133</v>
      </c>
      <c r="T132" s="137">
        <f t="shared" si="33"/>
        <v>2.133</v>
      </c>
      <c r="U132" s="137">
        <f t="shared" si="33"/>
        <v>2.133</v>
      </c>
      <c r="V132" s="137">
        <f t="shared" si="33"/>
        <v>2.133</v>
      </c>
      <c r="W132" s="137">
        <f t="shared" si="33"/>
        <v>2.133</v>
      </c>
      <c r="X132" s="137">
        <f t="shared" si="33"/>
        <v>2.133</v>
      </c>
      <c r="Y132" s="137">
        <f t="shared" si="33"/>
        <v>2.133</v>
      </c>
      <c r="Z132" s="137">
        <f t="shared" si="33"/>
        <v>2.133</v>
      </c>
      <c r="AA132" s="137">
        <f t="shared" si="33"/>
        <v>2.133</v>
      </c>
      <c r="AB132" s="137">
        <f t="shared" si="33"/>
        <v>2.133</v>
      </c>
      <c r="AC132" s="137">
        <f t="shared" si="33"/>
        <v>2.133</v>
      </c>
      <c r="AD132" s="137">
        <f t="shared" si="33"/>
        <v>2.133</v>
      </c>
      <c r="AE132" s="137">
        <f t="shared" si="33"/>
        <v>2.133</v>
      </c>
      <c r="AF132" s="137">
        <f t="shared" si="33"/>
        <v>2.133</v>
      </c>
      <c r="AG132" s="139">
        <v>4.9930000000000003</v>
      </c>
      <c r="AH132" s="56"/>
      <c r="AI132" s="57"/>
      <c r="AK132" s="58"/>
    </row>
    <row r="133" spans="1:37" x14ac:dyDescent="0.25">
      <c r="A133" s="124" t="s">
        <v>137</v>
      </c>
      <c r="B133" s="136">
        <v>2.09</v>
      </c>
      <c r="C133" s="137">
        <f t="shared" si="32"/>
        <v>2.09</v>
      </c>
      <c r="D133" s="137">
        <f t="shared" si="32"/>
        <v>2.09</v>
      </c>
      <c r="E133" s="137">
        <f t="shared" si="32"/>
        <v>2.09</v>
      </c>
      <c r="F133" s="137">
        <f t="shared" si="32"/>
        <v>2.09</v>
      </c>
      <c r="G133" s="137">
        <f t="shared" si="32"/>
        <v>2.09</v>
      </c>
      <c r="H133" s="137">
        <f t="shared" si="32"/>
        <v>2.09</v>
      </c>
      <c r="I133" s="137">
        <f t="shared" si="32"/>
        <v>2.09</v>
      </c>
      <c r="J133" s="137">
        <f t="shared" si="32"/>
        <v>2.09</v>
      </c>
      <c r="K133" s="137">
        <f t="shared" si="32"/>
        <v>2.09</v>
      </c>
      <c r="L133" s="137">
        <f t="shared" si="32"/>
        <v>2.09</v>
      </c>
      <c r="M133" s="137">
        <f t="shared" si="32"/>
        <v>2.09</v>
      </c>
      <c r="N133" s="137">
        <f t="shared" si="32"/>
        <v>2.09</v>
      </c>
      <c r="O133" s="137">
        <f t="shared" si="32"/>
        <v>2.09</v>
      </c>
      <c r="P133" s="137">
        <f t="shared" si="32"/>
        <v>2.09</v>
      </c>
      <c r="Q133" s="137">
        <f t="shared" si="32"/>
        <v>2.09</v>
      </c>
      <c r="R133" s="137">
        <f t="shared" si="32"/>
        <v>2.09</v>
      </c>
      <c r="S133" s="137">
        <f t="shared" si="33"/>
        <v>2.09</v>
      </c>
      <c r="T133" s="137">
        <f t="shared" si="33"/>
        <v>2.09</v>
      </c>
      <c r="U133" s="137">
        <f t="shared" si="33"/>
        <v>2.09</v>
      </c>
      <c r="V133" s="137">
        <f t="shared" si="33"/>
        <v>2.09</v>
      </c>
      <c r="W133" s="137">
        <f t="shared" si="33"/>
        <v>2.09</v>
      </c>
      <c r="X133" s="137">
        <f t="shared" si="33"/>
        <v>2.09</v>
      </c>
      <c r="Y133" s="137">
        <f t="shared" si="33"/>
        <v>2.09</v>
      </c>
      <c r="Z133" s="137">
        <f t="shared" si="33"/>
        <v>2.09</v>
      </c>
      <c r="AA133" s="137">
        <f t="shared" si="33"/>
        <v>2.09</v>
      </c>
      <c r="AB133" s="137">
        <f t="shared" si="33"/>
        <v>2.09</v>
      </c>
      <c r="AC133" s="137">
        <f t="shared" si="33"/>
        <v>2.09</v>
      </c>
      <c r="AD133" s="137">
        <f t="shared" si="33"/>
        <v>2.09</v>
      </c>
      <c r="AE133" s="137">
        <f t="shared" si="33"/>
        <v>2.09</v>
      </c>
      <c r="AF133" s="137">
        <f t="shared" si="33"/>
        <v>2.09</v>
      </c>
      <c r="AG133" s="139">
        <v>4.9800000000000004</v>
      </c>
      <c r="AH133" s="56"/>
      <c r="AI133" s="57"/>
      <c r="AK133" s="58"/>
    </row>
    <row r="134" spans="1:37" x14ac:dyDescent="0.25">
      <c r="A134" s="124" t="s">
        <v>138</v>
      </c>
      <c r="B134" s="136">
        <v>1.1399999999999999</v>
      </c>
      <c r="C134" s="137">
        <f t="shared" si="32"/>
        <v>1.1399999999999999</v>
      </c>
      <c r="D134" s="137">
        <f t="shared" si="32"/>
        <v>1.1399999999999999</v>
      </c>
      <c r="E134" s="137">
        <f t="shared" si="32"/>
        <v>1.1399999999999999</v>
      </c>
      <c r="F134" s="137">
        <f t="shared" si="32"/>
        <v>1.1399999999999999</v>
      </c>
      <c r="G134" s="137">
        <f t="shared" si="32"/>
        <v>1.1399999999999999</v>
      </c>
      <c r="H134" s="137">
        <f t="shared" si="32"/>
        <v>1.1399999999999999</v>
      </c>
      <c r="I134" s="137">
        <f t="shared" si="32"/>
        <v>1.1399999999999999</v>
      </c>
      <c r="J134" s="137">
        <f t="shared" si="32"/>
        <v>1.1399999999999999</v>
      </c>
      <c r="K134" s="137">
        <f t="shared" si="32"/>
        <v>1.1399999999999999</v>
      </c>
      <c r="L134" s="137">
        <f t="shared" si="32"/>
        <v>1.1399999999999999</v>
      </c>
      <c r="M134" s="137">
        <f t="shared" si="32"/>
        <v>1.1399999999999999</v>
      </c>
      <c r="N134" s="137">
        <f t="shared" si="32"/>
        <v>1.1399999999999999</v>
      </c>
      <c r="O134" s="137">
        <f t="shared" si="32"/>
        <v>1.1399999999999999</v>
      </c>
      <c r="P134" s="137">
        <f t="shared" si="32"/>
        <v>1.1399999999999999</v>
      </c>
      <c r="Q134" s="137">
        <f t="shared" si="32"/>
        <v>1.1399999999999999</v>
      </c>
      <c r="R134" s="137">
        <f t="shared" si="32"/>
        <v>1.1399999999999999</v>
      </c>
      <c r="S134" s="137">
        <f t="shared" si="33"/>
        <v>1.1399999999999999</v>
      </c>
      <c r="T134" s="137">
        <f t="shared" si="33"/>
        <v>1.1399999999999999</v>
      </c>
      <c r="U134" s="137">
        <f t="shared" si="33"/>
        <v>1.1399999999999999</v>
      </c>
      <c r="V134" s="137">
        <f t="shared" si="33"/>
        <v>1.1399999999999999</v>
      </c>
      <c r="W134" s="137">
        <f t="shared" si="33"/>
        <v>1.1399999999999999</v>
      </c>
      <c r="X134" s="137">
        <f t="shared" si="33"/>
        <v>1.1399999999999999</v>
      </c>
      <c r="Y134" s="137">
        <f t="shared" si="33"/>
        <v>1.1399999999999999</v>
      </c>
      <c r="Z134" s="137">
        <f t="shared" si="33"/>
        <v>1.1399999999999999</v>
      </c>
      <c r="AA134" s="137">
        <f t="shared" si="33"/>
        <v>1.1399999999999999</v>
      </c>
      <c r="AB134" s="137">
        <f t="shared" si="33"/>
        <v>1.1399999999999999</v>
      </c>
      <c r="AC134" s="137">
        <f t="shared" si="33"/>
        <v>1.1399999999999999</v>
      </c>
      <c r="AD134" s="137">
        <f t="shared" si="33"/>
        <v>1.1399999999999999</v>
      </c>
      <c r="AE134" s="137">
        <f t="shared" si="33"/>
        <v>1.1399999999999999</v>
      </c>
      <c r="AF134" s="137">
        <f t="shared" si="33"/>
        <v>1.1399999999999999</v>
      </c>
      <c r="AG134" s="139">
        <v>4.95</v>
      </c>
      <c r="AH134" s="56"/>
      <c r="AI134" s="57"/>
      <c r="AK134" s="58"/>
    </row>
    <row r="135" spans="1:37" x14ac:dyDescent="0.25">
      <c r="A135" s="124" t="s">
        <v>139</v>
      </c>
      <c r="B135" s="136">
        <v>0.82</v>
      </c>
      <c r="C135" s="137">
        <f t="shared" si="32"/>
        <v>0.82</v>
      </c>
      <c r="D135" s="137">
        <f t="shared" si="32"/>
        <v>0.82</v>
      </c>
      <c r="E135" s="137">
        <f t="shared" si="32"/>
        <v>0.82</v>
      </c>
      <c r="F135" s="137">
        <f t="shared" si="32"/>
        <v>0.82</v>
      </c>
      <c r="G135" s="137">
        <f t="shared" si="32"/>
        <v>0.82</v>
      </c>
      <c r="H135" s="137">
        <f t="shared" si="32"/>
        <v>0.82</v>
      </c>
      <c r="I135" s="137">
        <f t="shared" si="32"/>
        <v>0.82</v>
      </c>
      <c r="J135" s="137">
        <f t="shared" si="32"/>
        <v>0.82</v>
      </c>
      <c r="K135" s="137">
        <f t="shared" si="32"/>
        <v>0.82</v>
      </c>
      <c r="L135" s="137">
        <f t="shared" si="32"/>
        <v>0.82</v>
      </c>
      <c r="M135" s="137">
        <f t="shared" si="32"/>
        <v>0.82</v>
      </c>
      <c r="N135" s="137">
        <f t="shared" si="32"/>
        <v>0.82</v>
      </c>
      <c r="O135" s="137">
        <f t="shared" si="32"/>
        <v>0.82</v>
      </c>
      <c r="P135" s="137">
        <f t="shared" si="32"/>
        <v>0.82</v>
      </c>
      <c r="Q135" s="137">
        <f t="shared" si="32"/>
        <v>0.82</v>
      </c>
      <c r="R135" s="137">
        <f t="shared" si="32"/>
        <v>0.82</v>
      </c>
      <c r="S135" s="137">
        <f t="shared" si="33"/>
        <v>0.82</v>
      </c>
      <c r="T135" s="137">
        <f t="shared" si="33"/>
        <v>0.82</v>
      </c>
      <c r="U135" s="137">
        <f t="shared" si="33"/>
        <v>0.82</v>
      </c>
      <c r="V135" s="137">
        <f t="shared" si="33"/>
        <v>0.82</v>
      </c>
      <c r="W135" s="137">
        <f t="shared" si="33"/>
        <v>0.82</v>
      </c>
      <c r="X135" s="137">
        <f t="shared" si="33"/>
        <v>0.82</v>
      </c>
      <c r="Y135" s="137">
        <f t="shared" si="33"/>
        <v>0.82</v>
      </c>
      <c r="Z135" s="137">
        <f t="shared" si="33"/>
        <v>0.82</v>
      </c>
      <c r="AA135" s="137">
        <f t="shared" si="33"/>
        <v>0.82</v>
      </c>
      <c r="AB135" s="137">
        <f t="shared" si="33"/>
        <v>0.82</v>
      </c>
      <c r="AC135" s="137">
        <f t="shared" si="33"/>
        <v>0.82</v>
      </c>
      <c r="AD135" s="137">
        <f t="shared" si="33"/>
        <v>0.82</v>
      </c>
      <c r="AE135" s="137">
        <f t="shared" si="33"/>
        <v>0.82</v>
      </c>
      <c r="AF135" s="137">
        <f t="shared" si="33"/>
        <v>0.82</v>
      </c>
      <c r="AG135" s="139">
        <v>4.95</v>
      </c>
      <c r="AH135" s="56"/>
      <c r="AI135" s="57"/>
      <c r="AK135" s="58"/>
    </row>
    <row r="136" spans="1:37" x14ac:dyDescent="0.25">
      <c r="A136" s="124" t="s">
        <v>140</v>
      </c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9">
        <v>4.8</v>
      </c>
      <c r="AH136" s="56"/>
      <c r="AI136" s="57"/>
      <c r="AK136" s="58"/>
    </row>
    <row r="137" spans="1:37" x14ac:dyDescent="0.25">
      <c r="A137" s="124" t="s">
        <v>141</v>
      </c>
      <c r="B137" s="136">
        <v>2</v>
      </c>
      <c r="C137" s="137">
        <f t="shared" ref="C137:R143" si="34">B137</f>
        <v>2</v>
      </c>
      <c r="D137" s="137">
        <f t="shared" si="34"/>
        <v>2</v>
      </c>
      <c r="E137" s="137">
        <f t="shared" si="34"/>
        <v>2</v>
      </c>
      <c r="F137" s="137">
        <f t="shared" si="34"/>
        <v>2</v>
      </c>
      <c r="G137" s="137">
        <f t="shared" si="34"/>
        <v>2</v>
      </c>
      <c r="H137" s="137">
        <f t="shared" si="34"/>
        <v>2</v>
      </c>
      <c r="I137" s="137">
        <f t="shared" si="34"/>
        <v>2</v>
      </c>
      <c r="J137" s="137">
        <f t="shared" si="34"/>
        <v>2</v>
      </c>
      <c r="K137" s="137">
        <f t="shared" si="34"/>
        <v>2</v>
      </c>
      <c r="L137" s="137">
        <f t="shared" si="34"/>
        <v>2</v>
      </c>
      <c r="M137" s="137">
        <f t="shared" si="34"/>
        <v>2</v>
      </c>
      <c r="N137" s="137">
        <f t="shared" si="34"/>
        <v>2</v>
      </c>
      <c r="O137" s="137">
        <f t="shared" si="34"/>
        <v>2</v>
      </c>
      <c r="P137" s="137">
        <f t="shared" si="34"/>
        <v>2</v>
      </c>
      <c r="Q137" s="137">
        <f t="shared" si="34"/>
        <v>2</v>
      </c>
      <c r="R137" s="137">
        <f t="shared" si="34"/>
        <v>2</v>
      </c>
      <c r="S137" s="137">
        <f t="shared" ref="S137:AF143" si="35">R137</f>
        <v>2</v>
      </c>
      <c r="T137" s="137">
        <f t="shared" si="35"/>
        <v>2</v>
      </c>
      <c r="U137" s="137">
        <f t="shared" si="35"/>
        <v>2</v>
      </c>
      <c r="V137" s="137">
        <f t="shared" si="35"/>
        <v>2</v>
      </c>
      <c r="W137" s="137">
        <f t="shared" si="35"/>
        <v>2</v>
      </c>
      <c r="X137" s="137">
        <f t="shared" si="35"/>
        <v>2</v>
      </c>
      <c r="Y137" s="137">
        <f t="shared" si="35"/>
        <v>2</v>
      </c>
      <c r="Z137" s="137">
        <f t="shared" si="35"/>
        <v>2</v>
      </c>
      <c r="AA137" s="137">
        <f t="shared" si="35"/>
        <v>2</v>
      </c>
      <c r="AB137" s="137">
        <f t="shared" si="35"/>
        <v>2</v>
      </c>
      <c r="AC137" s="137">
        <f t="shared" si="35"/>
        <v>2</v>
      </c>
      <c r="AD137" s="137">
        <f t="shared" si="35"/>
        <v>2</v>
      </c>
      <c r="AE137" s="137">
        <f t="shared" si="35"/>
        <v>2</v>
      </c>
      <c r="AF137" s="137">
        <f t="shared" si="35"/>
        <v>2</v>
      </c>
      <c r="AG137" s="139">
        <v>4.8</v>
      </c>
      <c r="AH137" s="56"/>
      <c r="AI137" s="57"/>
      <c r="AK137" s="58"/>
    </row>
    <row r="138" spans="1:37" x14ac:dyDescent="0.25">
      <c r="A138" s="124" t="s">
        <v>142</v>
      </c>
      <c r="B138" s="136">
        <v>5.61</v>
      </c>
      <c r="C138" s="137">
        <f t="shared" si="34"/>
        <v>5.61</v>
      </c>
      <c r="D138" s="137">
        <f t="shared" si="34"/>
        <v>5.61</v>
      </c>
      <c r="E138" s="137">
        <f t="shared" si="34"/>
        <v>5.61</v>
      </c>
      <c r="F138" s="137">
        <f t="shared" si="34"/>
        <v>5.61</v>
      </c>
      <c r="G138" s="137">
        <f t="shared" si="34"/>
        <v>5.61</v>
      </c>
      <c r="H138" s="137">
        <f t="shared" si="34"/>
        <v>5.61</v>
      </c>
      <c r="I138" s="137">
        <f t="shared" si="34"/>
        <v>5.61</v>
      </c>
      <c r="J138" s="137">
        <f t="shared" si="34"/>
        <v>5.61</v>
      </c>
      <c r="K138" s="137">
        <f t="shared" si="34"/>
        <v>5.61</v>
      </c>
      <c r="L138" s="137">
        <f t="shared" si="34"/>
        <v>5.61</v>
      </c>
      <c r="M138" s="137">
        <f t="shared" si="34"/>
        <v>5.61</v>
      </c>
      <c r="N138" s="137">
        <f t="shared" si="34"/>
        <v>5.61</v>
      </c>
      <c r="O138" s="137">
        <f t="shared" si="34"/>
        <v>5.61</v>
      </c>
      <c r="P138" s="137">
        <f t="shared" si="34"/>
        <v>5.61</v>
      </c>
      <c r="Q138" s="137">
        <f t="shared" si="34"/>
        <v>5.61</v>
      </c>
      <c r="R138" s="137">
        <f t="shared" si="34"/>
        <v>5.61</v>
      </c>
      <c r="S138" s="137">
        <f t="shared" si="35"/>
        <v>5.61</v>
      </c>
      <c r="T138" s="137">
        <f t="shared" si="35"/>
        <v>5.61</v>
      </c>
      <c r="U138" s="137">
        <f t="shared" si="35"/>
        <v>5.61</v>
      </c>
      <c r="V138" s="137">
        <f t="shared" si="35"/>
        <v>5.61</v>
      </c>
      <c r="W138" s="137">
        <f t="shared" si="35"/>
        <v>5.61</v>
      </c>
      <c r="X138" s="137">
        <f t="shared" si="35"/>
        <v>5.61</v>
      </c>
      <c r="Y138" s="137">
        <f t="shared" si="35"/>
        <v>5.61</v>
      </c>
      <c r="Z138" s="137">
        <f t="shared" si="35"/>
        <v>5.61</v>
      </c>
      <c r="AA138" s="137">
        <f t="shared" si="35"/>
        <v>5.61</v>
      </c>
      <c r="AB138" s="137">
        <f t="shared" si="35"/>
        <v>5.61</v>
      </c>
      <c r="AC138" s="137">
        <f t="shared" si="35"/>
        <v>5.61</v>
      </c>
      <c r="AD138" s="137">
        <f t="shared" si="35"/>
        <v>5.61</v>
      </c>
      <c r="AE138" s="137">
        <f t="shared" si="35"/>
        <v>5.61</v>
      </c>
      <c r="AF138" s="137">
        <f t="shared" si="35"/>
        <v>5.61</v>
      </c>
      <c r="AG138" s="139">
        <v>4.8</v>
      </c>
      <c r="AH138" s="56"/>
      <c r="AI138" s="57"/>
      <c r="AK138" s="58"/>
    </row>
    <row r="139" spans="1:37" x14ac:dyDescent="0.25">
      <c r="A139" s="124" t="s">
        <v>143</v>
      </c>
      <c r="B139" s="136">
        <v>1.25</v>
      </c>
      <c r="C139" s="137">
        <f t="shared" si="34"/>
        <v>1.25</v>
      </c>
      <c r="D139" s="137">
        <f t="shared" si="34"/>
        <v>1.25</v>
      </c>
      <c r="E139" s="137">
        <f t="shared" si="34"/>
        <v>1.25</v>
      </c>
      <c r="F139" s="137">
        <f t="shared" si="34"/>
        <v>1.25</v>
      </c>
      <c r="G139" s="137">
        <f t="shared" si="34"/>
        <v>1.25</v>
      </c>
      <c r="H139" s="137">
        <f t="shared" si="34"/>
        <v>1.25</v>
      </c>
      <c r="I139" s="137">
        <f t="shared" si="34"/>
        <v>1.25</v>
      </c>
      <c r="J139" s="137">
        <f t="shared" si="34"/>
        <v>1.25</v>
      </c>
      <c r="K139" s="137">
        <f t="shared" si="34"/>
        <v>1.25</v>
      </c>
      <c r="L139" s="137">
        <f t="shared" si="34"/>
        <v>1.25</v>
      </c>
      <c r="M139" s="137">
        <f t="shared" si="34"/>
        <v>1.25</v>
      </c>
      <c r="N139" s="137">
        <f t="shared" si="34"/>
        <v>1.25</v>
      </c>
      <c r="O139" s="137">
        <f t="shared" si="34"/>
        <v>1.25</v>
      </c>
      <c r="P139" s="137">
        <f t="shared" si="34"/>
        <v>1.25</v>
      </c>
      <c r="Q139" s="137">
        <f t="shared" si="34"/>
        <v>1.25</v>
      </c>
      <c r="R139" s="137">
        <f t="shared" si="34"/>
        <v>1.25</v>
      </c>
      <c r="S139" s="137">
        <f t="shared" si="35"/>
        <v>1.25</v>
      </c>
      <c r="T139" s="137">
        <f t="shared" si="35"/>
        <v>1.25</v>
      </c>
      <c r="U139" s="137">
        <f t="shared" si="35"/>
        <v>1.25</v>
      </c>
      <c r="V139" s="137">
        <f t="shared" si="35"/>
        <v>1.25</v>
      </c>
      <c r="W139" s="137">
        <f t="shared" si="35"/>
        <v>1.25</v>
      </c>
      <c r="X139" s="137">
        <f t="shared" si="35"/>
        <v>1.25</v>
      </c>
      <c r="Y139" s="137">
        <f t="shared" si="35"/>
        <v>1.25</v>
      </c>
      <c r="Z139" s="137">
        <f t="shared" si="35"/>
        <v>1.25</v>
      </c>
      <c r="AA139" s="137">
        <f t="shared" si="35"/>
        <v>1.25</v>
      </c>
      <c r="AB139" s="137">
        <f t="shared" si="35"/>
        <v>1.25</v>
      </c>
      <c r="AC139" s="137">
        <f t="shared" si="35"/>
        <v>1.25</v>
      </c>
      <c r="AD139" s="137">
        <f t="shared" si="35"/>
        <v>1.25</v>
      </c>
      <c r="AE139" s="137">
        <f t="shared" si="35"/>
        <v>1.25</v>
      </c>
      <c r="AF139" s="137">
        <f t="shared" si="35"/>
        <v>1.25</v>
      </c>
      <c r="AG139" s="139">
        <v>4.5</v>
      </c>
      <c r="AH139" s="56"/>
      <c r="AI139" s="57"/>
      <c r="AK139" s="58"/>
    </row>
    <row r="140" spans="1:37" x14ac:dyDescent="0.25">
      <c r="A140" s="124" t="s">
        <v>144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145</v>
      </c>
      <c r="B141" s="136">
        <v>1.46</v>
      </c>
      <c r="C141" s="137">
        <f t="shared" si="34"/>
        <v>1.46</v>
      </c>
      <c r="D141" s="137">
        <f t="shared" si="34"/>
        <v>1.46</v>
      </c>
      <c r="E141" s="137">
        <f t="shared" si="34"/>
        <v>1.46</v>
      </c>
      <c r="F141" s="137">
        <f t="shared" si="34"/>
        <v>1.46</v>
      </c>
      <c r="G141" s="137">
        <f t="shared" si="34"/>
        <v>1.46</v>
      </c>
      <c r="H141" s="137">
        <f t="shared" si="34"/>
        <v>1.46</v>
      </c>
      <c r="I141" s="137">
        <f t="shared" si="34"/>
        <v>1.46</v>
      </c>
      <c r="J141" s="137">
        <f t="shared" si="34"/>
        <v>1.46</v>
      </c>
      <c r="K141" s="137">
        <f t="shared" si="34"/>
        <v>1.46</v>
      </c>
      <c r="L141" s="137">
        <f t="shared" si="34"/>
        <v>1.46</v>
      </c>
      <c r="M141" s="137">
        <f t="shared" si="34"/>
        <v>1.46</v>
      </c>
      <c r="N141" s="137">
        <f t="shared" si="34"/>
        <v>1.46</v>
      </c>
      <c r="O141" s="137">
        <f t="shared" si="34"/>
        <v>1.46</v>
      </c>
      <c r="P141" s="137">
        <f t="shared" si="34"/>
        <v>1.46</v>
      </c>
      <c r="Q141" s="137">
        <f t="shared" si="34"/>
        <v>1.46</v>
      </c>
      <c r="R141" s="137">
        <f t="shared" si="34"/>
        <v>1.46</v>
      </c>
      <c r="S141" s="137">
        <f t="shared" si="35"/>
        <v>1.46</v>
      </c>
      <c r="T141" s="137">
        <f t="shared" si="35"/>
        <v>1.46</v>
      </c>
      <c r="U141" s="137">
        <f t="shared" si="35"/>
        <v>1.46</v>
      </c>
      <c r="V141" s="137">
        <f t="shared" si="35"/>
        <v>1.46</v>
      </c>
      <c r="W141" s="137">
        <f t="shared" si="35"/>
        <v>1.46</v>
      </c>
      <c r="X141" s="137">
        <f t="shared" si="35"/>
        <v>1.46</v>
      </c>
      <c r="Y141" s="137">
        <f t="shared" si="35"/>
        <v>1.46</v>
      </c>
      <c r="Z141" s="137">
        <f t="shared" si="35"/>
        <v>1.46</v>
      </c>
      <c r="AA141" s="137">
        <f t="shared" si="35"/>
        <v>1.46</v>
      </c>
      <c r="AB141" s="137">
        <f t="shared" si="35"/>
        <v>1.46</v>
      </c>
      <c r="AC141" s="137">
        <f t="shared" si="35"/>
        <v>1.46</v>
      </c>
      <c r="AD141" s="137">
        <f t="shared" si="35"/>
        <v>1.46</v>
      </c>
      <c r="AE141" s="137">
        <f t="shared" si="35"/>
        <v>1.46</v>
      </c>
      <c r="AF141" s="137">
        <f t="shared" si="35"/>
        <v>1.46</v>
      </c>
      <c r="AG141" s="139">
        <v>4.4550000000000001</v>
      </c>
      <c r="AH141" s="56"/>
      <c r="AI141" s="57"/>
      <c r="AK141" s="58"/>
    </row>
    <row r="142" spans="1:37" x14ac:dyDescent="0.25">
      <c r="A142" s="124" t="s">
        <v>146</v>
      </c>
      <c r="B142" s="136">
        <v>3</v>
      </c>
      <c r="C142" s="137">
        <f t="shared" si="34"/>
        <v>3</v>
      </c>
      <c r="D142" s="137">
        <f t="shared" si="34"/>
        <v>3</v>
      </c>
      <c r="E142" s="137">
        <f t="shared" si="34"/>
        <v>3</v>
      </c>
      <c r="F142" s="137">
        <f t="shared" si="34"/>
        <v>3</v>
      </c>
      <c r="G142" s="137">
        <f t="shared" si="34"/>
        <v>3</v>
      </c>
      <c r="H142" s="137">
        <f t="shared" si="34"/>
        <v>3</v>
      </c>
      <c r="I142" s="137">
        <f t="shared" si="34"/>
        <v>3</v>
      </c>
      <c r="J142" s="137">
        <f t="shared" si="34"/>
        <v>3</v>
      </c>
      <c r="K142" s="137">
        <f t="shared" si="34"/>
        <v>3</v>
      </c>
      <c r="L142" s="137">
        <f t="shared" si="34"/>
        <v>3</v>
      </c>
      <c r="M142" s="137">
        <f t="shared" si="34"/>
        <v>3</v>
      </c>
      <c r="N142" s="137">
        <f t="shared" si="34"/>
        <v>3</v>
      </c>
      <c r="O142" s="137">
        <f t="shared" si="34"/>
        <v>3</v>
      </c>
      <c r="P142" s="137">
        <f t="shared" si="34"/>
        <v>3</v>
      </c>
      <c r="Q142" s="137">
        <f t="shared" si="34"/>
        <v>3</v>
      </c>
      <c r="R142" s="137">
        <f t="shared" si="34"/>
        <v>3</v>
      </c>
      <c r="S142" s="137">
        <f t="shared" si="35"/>
        <v>3</v>
      </c>
      <c r="T142" s="137">
        <f t="shared" si="35"/>
        <v>3</v>
      </c>
      <c r="U142" s="137">
        <f t="shared" si="35"/>
        <v>3</v>
      </c>
      <c r="V142" s="137">
        <f t="shared" si="35"/>
        <v>3</v>
      </c>
      <c r="W142" s="137">
        <f t="shared" si="35"/>
        <v>3</v>
      </c>
      <c r="X142" s="137">
        <f t="shared" si="35"/>
        <v>3</v>
      </c>
      <c r="Y142" s="137">
        <f t="shared" si="35"/>
        <v>3</v>
      </c>
      <c r="Z142" s="137">
        <f t="shared" si="35"/>
        <v>3</v>
      </c>
      <c r="AA142" s="137">
        <f t="shared" si="35"/>
        <v>3</v>
      </c>
      <c r="AB142" s="137">
        <f t="shared" si="35"/>
        <v>3</v>
      </c>
      <c r="AC142" s="137">
        <f t="shared" si="35"/>
        <v>3</v>
      </c>
      <c r="AD142" s="137">
        <f t="shared" si="35"/>
        <v>3</v>
      </c>
      <c r="AE142" s="137">
        <f t="shared" si="35"/>
        <v>3</v>
      </c>
      <c r="AF142" s="137">
        <f t="shared" si="35"/>
        <v>3</v>
      </c>
      <c r="AG142" s="139">
        <v>4.41</v>
      </c>
      <c r="AH142" s="56"/>
      <c r="AI142" s="57"/>
      <c r="AK142" s="58"/>
    </row>
    <row r="143" spans="1:37" x14ac:dyDescent="0.25">
      <c r="A143" s="124" t="s">
        <v>147</v>
      </c>
      <c r="B143" s="136">
        <v>3.3</v>
      </c>
      <c r="C143" s="137">
        <f t="shared" si="34"/>
        <v>3.3</v>
      </c>
      <c r="D143" s="137">
        <f t="shared" si="34"/>
        <v>3.3</v>
      </c>
      <c r="E143" s="137">
        <f t="shared" si="34"/>
        <v>3.3</v>
      </c>
      <c r="F143" s="137">
        <f t="shared" si="34"/>
        <v>3.3</v>
      </c>
      <c r="G143" s="137">
        <f t="shared" si="34"/>
        <v>3.3</v>
      </c>
      <c r="H143" s="137">
        <f t="shared" si="34"/>
        <v>3.3</v>
      </c>
      <c r="I143" s="137">
        <f t="shared" si="34"/>
        <v>3.3</v>
      </c>
      <c r="J143" s="137">
        <f t="shared" si="34"/>
        <v>3.3</v>
      </c>
      <c r="K143" s="137">
        <f t="shared" si="34"/>
        <v>3.3</v>
      </c>
      <c r="L143" s="137">
        <f t="shared" si="34"/>
        <v>3.3</v>
      </c>
      <c r="M143" s="137">
        <f t="shared" si="34"/>
        <v>3.3</v>
      </c>
      <c r="N143" s="137">
        <f t="shared" si="34"/>
        <v>3.3</v>
      </c>
      <c r="O143" s="137">
        <f t="shared" si="34"/>
        <v>3.3</v>
      </c>
      <c r="P143" s="137">
        <f t="shared" si="34"/>
        <v>3.3</v>
      </c>
      <c r="Q143" s="137">
        <f t="shared" si="34"/>
        <v>3.3</v>
      </c>
      <c r="R143" s="137">
        <f t="shared" si="34"/>
        <v>3.3</v>
      </c>
      <c r="S143" s="137">
        <f t="shared" si="35"/>
        <v>3.3</v>
      </c>
      <c r="T143" s="137">
        <f t="shared" si="35"/>
        <v>3.3</v>
      </c>
      <c r="U143" s="137">
        <f t="shared" si="35"/>
        <v>3.3</v>
      </c>
      <c r="V143" s="137">
        <f t="shared" si="35"/>
        <v>3.3</v>
      </c>
      <c r="W143" s="137">
        <f t="shared" si="35"/>
        <v>3.3</v>
      </c>
      <c r="X143" s="137">
        <f t="shared" si="35"/>
        <v>3.3</v>
      </c>
      <c r="Y143" s="137">
        <f t="shared" si="35"/>
        <v>3.3</v>
      </c>
      <c r="Z143" s="137">
        <f t="shared" si="35"/>
        <v>3.3</v>
      </c>
      <c r="AA143" s="137">
        <f t="shared" si="35"/>
        <v>3.3</v>
      </c>
      <c r="AB143" s="137">
        <f t="shared" si="35"/>
        <v>3.3</v>
      </c>
      <c r="AC143" s="137">
        <f t="shared" si="35"/>
        <v>3.3</v>
      </c>
      <c r="AD143" s="137">
        <f t="shared" si="35"/>
        <v>3.3</v>
      </c>
      <c r="AE143" s="137">
        <f t="shared" si="35"/>
        <v>3.3</v>
      </c>
      <c r="AF143" s="137">
        <f t="shared" si="35"/>
        <v>3.3</v>
      </c>
      <c r="AG143" s="139">
        <v>4.4000000000000004</v>
      </c>
      <c r="AH143" s="56"/>
      <c r="AI143" s="57"/>
      <c r="AK143" s="58"/>
    </row>
    <row r="144" spans="1:37" x14ac:dyDescent="0.25">
      <c r="A144" s="124" t="s">
        <v>148</v>
      </c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9">
        <v>4.3600000000000003</v>
      </c>
      <c r="AH144" s="56"/>
      <c r="AI144" s="57"/>
      <c r="AK144" s="58"/>
    </row>
    <row r="145" spans="1:37" x14ac:dyDescent="0.25">
      <c r="A145" s="124" t="s">
        <v>149</v>
      </c>
      <c r="B145" s="136">
        <v>1.76</v>
      </c>
      <c r="C145" s="137">
        <f t="shared" ref="C145:R146" si="36">B145</f>
        <v>1.76</v>
      </c>
      <c r="D145" s="137">
        <f t="shared" si="36"/>
        <v>1.76</v>
      </c>
      <c r="E145" s="137">
        <f t="shared" si="36"/>
        <v>1.76</v>
      </c>
      <c r="F145" s="137">
        <f t="shared" si="36"/>
        <v>1.76</v>
      </c>
      <c r="G145" s="137">
        <f t="shared" si="36"/>
        <v>1.76</v>
      </c>
      <c r="H145" s="137">
        <f t="shared" si="36"/>
        <v>1.76</v>
      </c>
      <c r="I145" s="137">
        <f t="shared" si="36"/>
        <v>1.76</v>
      </c>
      <c r="J145" s="137">
        <f t="shared" si="36"/>
        <v>1.76</v>
      </c>
      <c r="K145" s="137">
        <f t="shared" si="36"/>
        <v>1.76</v>
      </c>
      <c r="L145" s="137">
        <f t="shared" si="36"/>
        <v>1.76</v>
      </c>
      <c r="M145" s="137">
        <f t="shared" si="36"/>
        <v>1.76</v>
      </c>
      <c r="N145" s="137">
        <f t="shared" si="36"/>
        <v>1.76</v>
      </c>
      <c r="O145" s="137">
        <f t="shared" si="36"/>
        <v>1.76</v>
      </c>
      <c r="P145" s="137">
        <f t="shared" si="36"/>
        <v>1.76</v>
      </c>
      <c r="Q145" s="137">
        <f t="shared" si="36"/>
        <v>1.76</v>
      </c>
      <c r="R145" s="137">
        <f t="shared" si="36"/>
        <v>1.76</v>
      </c>
      <c r="S145" s="137">
        <f t="shared" ref="S145:AF146" si="37">R145</f>
        <v>1.76</v>
      </c>
      <c r="T145" s="137">
        <f t="shared" si="37"/>
        <v>1.76</v>
      </c>
      <c r="U145" s="137">
        <f t="shared" si="37"/>
        <v>1.76</v>
      </c>
      <c r="V145" s="137">
        <f t="shared" si="37"/>
        <v>1.76</v>
      </c>
      <c r="W145" s="137">
        <f t="shared" si="37"/>
        <v>1.76</v>
      </c>
      <c r="X145" s="137">
        <f t="shared" si="37"/>
        <v>1.76</v>
      </c>
      <c r="Y145" s="137">
        <f t="shared" si="37"/>
        <v>1.76</v>
      </c>
      <c r="Z145" s="137">
        <f t="shared" si="37"/>
        <v>1.76</v>
      </c>
      <c r="AA145" s="137">
        <f t="shared" si="37"/>
        <v>1.76</v>
      </c>
      <c r="AB145" s="137">
        <f t="shared" si="37"/>
        <v>1.76</v>
      </c>
      <c r="AC145" s="137">
        <f t="shared" si="37"/>
        <v>1.76</v>
      </c>
      <c r="AD145" s="137">
        <f t="shared" si="37"/>
        <v>1.76</v>
      </c>
      <c r="AE145" s="137">
        <f t="shared" si="37"/>
        <v>1.76</v>
      </c>
      <c r="AF145" s="137">
        <f t="shared" si="37"/>
        <v>1.76</v>
      </c>
      <c r="AG145" s="139">
        <v>4.2</v>
      </c>
      <c r="AH145" s="56"/>
      <c r="AI145" s="57"/>
      <c r="AK145" s="58"/>
    </row>
    <row r="146" spans="1:37" x14ac:dyDescent="0.25">
      <c r="A146" s="124" t="s">
        <v>150</v>
      </c>
      <c r="B146" s="136">
        <v>0</v>
      </c>
      <c r="C146" s="137">
        <f t="shared" si="36"/>
        <v>0</v>
      </c>
      <c r="D146" s="137">
        <f t="shared" si="36"/>
        <v>0</v>
      </c>
      <c r="E146" s="137">
        <f t="shared" si="36"/>
        <v>0</v>
      </c>
      <c r="F146" s="137">
        <f t="shared" si="36"/>
        <v>0</v>
      </c>
      <c r="G146" s="137">
        <f t="shared" si="36"/>
        <v>0</v>
      </c>
      <c r="H146" s="137">
        <f t="shared" si="36"/>
        <v>0</v>
      </c>
      <c r="I146" s="137">
        <f t="shared" si="36"/>
        <v>0</v>
      </c>
      <c r="J146" s="137">
        <f t="shared" si="36"/>
        <v>0</v>
      </c>
      <c r="K146" s="137">
        <f t="shared" si="36"/>
        <v>0</v>
      </c>
      <c r="L146" s="137">
        <f t="shared" si="36"/>
        <v>0</v>
      </c>
      <c r="M146" s="137">
        <f t="shared" si="36"/>
        <v>0</v>
      </c>
      <c r="N146" s="137">
        <f t="shared" si="36"/>
        <v>0</v>
      </c>
      <c r="O146" s="137">
        <f t="shared" si="36"/>
        <v>0</v>
      </c>
      <c r="P146" s="137">
        <f t="shared" si="36"/>
        <v>0</v>
      </c>
      <c r="Q146" s="137">
        <f t="shared" si="36"/>
        <v>0</v>
      </c>
      <c r="R146" s="137">
        <f t="shared" si="36"/>
        <v>0</v>
      </c>
      <c r="S146" s="137">
        <f t="shared" si="37"/>
        <v>0</v>
      </c>
      <c r="T146" s="137">
        <f t="shared" si="37"/>
        <v>0</v>
      </c>
      <c r="U146" s="137">
        <f t="shared" si="37"/>
        <v>0</v>
      </c>
      <c r="V146" s="137">
        <f t="shared" si="37"/>
        <v>0</v>
      </c>
      <c r="W146" s="137">
        <f t="shared" si="37"/>
        <v>0</v>
      </c>
      <c r="X146" s="137">
        <f t="shared" si="37"/>
        <v>0</v>
      </c>
      <c r="Y146" s="137">
        <f t="shared" si="37"/>
        <v>0</v>
      </c>
      <c r="Z146" s="137">
        <f t="shared" si="37"/>
        <v>0</v>
      </c>
      <c r="AA146" s="137">
        <f t="shared" si="37"/>
        <v>0</v>
      </c>
      <c r="AB146" s="137">
        <f t="shared" si="37"/>
        <v>0</v>
      </c>
      <c r="AC146" s="137">
        <f t="shared" si="37"/>
        <v>0</v>
      </c>
      <c r="AD146" s="137">
        <f t="shared" si="37"/>
        <v>0</v>
      </c>
      <c r="AE146" s="137">
        <f t="shared" si="37"/>
        <v>0</v>
      </c>
      <c r="AF146" s="137">
        <f t="shared" si="37"/>
        <v>0</v>
      </c>
      <c r="AG146" s="139">
        <v>4</v>
      </c>
      <c r="AH146" s="56"/>
      <c r="AI146" s="57"/>
      <c r="AK146" s="58"/>
    </row>
    <row r="147" spans="1:37" x14ac:dyDescent="0.25">
      <c r="A147" s="124" t="s">
        <v>151</v>
      </c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9">
        <v>4</v>
      </c>
      <c r="AH147" s="56"/>
      <c r="AI147" s="57"/>
      <c r="AK147" s="58"/>
    </row>
    <row r="148" spans="1:37" x14ac:dyDescent="0.25">
      <c r="A148" s="124" t="s">
        <v>152</v>
      </c>
      <c r="B148" s="136">
        <v>0.1</v>
      </c>
      <c r="C148" s="137">
        <f t="shared" ref="C148:R151" si="38">B148</f>
        <v>0.1</v>
      </c>
      <c r="D148" s="137">
        <f t="shared" si="38"/>
        <v>0.1</v>
      </c>
      <c r="E148" s="137">
        <f t="shared" si="38"/>
        <v>0.1</v>
      </c>
      <c r="F148" s="137">
        <f t="shared" si="38"/>
        <v>0.1</v>
      </c>
      <c r="G148" s="137">
        <f t="shared" si="38"/>
        <v>0.1</v>
      </c>
      <c r="H148" s="137">
        <f t="shared" si="38"/>
        <v>0.1</v>
      </c>
      <c r="I148" s="137">
        <f t="shared" si="38"/>
        <v>0.1</v>
      </c>
      <c r="J148" s="137">
        <f t="shared" si="38"/>
        <v>0.1</v>
      </c>
      <c r="K148" s="137">
        <f t="shared" si="38"/>
        <v>0.1</v>
      </c>
      <c r="L148" s="137">
        <f t="shared" si="38"/>
        <v>0.1</v>
      </c>
      <c r="M148" s="137">
        <f t="shared" si="38"/>
        <v>0.1</v>
      </c>
      <c r="N148" s="137">
        <f t="shared" si="38"/>
        <v>0.1</v>
      </c>
      <c r="O148" s="137">
        <f t="shared" si="38"/>
        <v>0.1</v>
      </c>
      <c r="P148" s="137">
        <f t="shared" si="38"/>
        <v>0.1</v>
      </c>
      <c r="Q148" s="137">
        <f t="shared" si="38"/>
        <v>0.1</v>
      </c>
      <c r="R148" s="137">
        <f t="shared" si="38"/>
        <v>0.1</v>
      </c>
      <c r="S148" s="137">
        <f t="shared" ref="S148:AF151" si="39">R148</f>
        <v>0.1</v>
      </c>
      <c r="T148" s="137">
        <f t="shared" si="39"/>
        <v>0.1</v>
      </c>
      <c r="U148" s="137">
        <f t="shared" si="39"/>
        <v>0.1</v>
      </c>
      <c r="V148" s="137">
        <f t="shared" si="39"/>
        <v>0.1</v>
      </c>
      <c r="W148" s="137">
        <f t="shared" si="39"/>
        <v>0.1</v>
      </c>
      <c r="X148" s="137">
        <f t="shared" si="39"/>
        <v>0.1</v>
      </c>
      <c r="Y148" s="137">
        <f t="shared" si="39"/>
        <v>0.1</v>
      </c>
      <c r="Z148" s="137">
        <f t="shared" si="39"/>
        <v>0.1</v>
      </c>
      <c r="AA148" s="137">
        <f t="shared" si="39"/>
        <v>0.1</v>
      </c>
      <c r="AB148" s="137">
        <f t="shared" si="39"/>
        <v>0.1</v>
      </c>
      <c r="AC148" s="137">
        <f t="shared" si="39"/>
        <v>0.1</v>
      </c>
      <c r="AD148" s="137">
        <f t="shared" si="39"/>
        <v>0.1</v>
      </c>
      <c r="AE148" s="137">
        <f t="shared" si="39"/>
        <v>0.1</v>
      </c>
      <c r="AF148" s="137">
        <f t="shared" si="39"/>
        <v>0.1</v>
      </c>
      <c r="AG148" s="139">
        <v>4</v>
      </c>
      <c r="AH148" s="56"/>
      <c r="AI148" s="57"/>
      <c r="AK148" s="58"/>
    </row>
    <row r="149" spans="1:37" x14ac:dyDescent="0.25">
      <c r="A149" s="124" t="s">
        <v>153</v>
      </c>
      <c r="B149" s="136">
        <v>2.0499999999999998</v>
      </c>
      <c r="C149" s="137">
        <f t="shared" si="38"/>
        <v>2.0499999999999998</v>
      </c>
      <c r="D149" s="137">
        <f t="shared" si="38"/>
        <v>2.0499999999999998</v>
      </c>
      <c r="E149" s="137">
        <f t="shared" si="38"/>
        <v>2.0499999999999998</v>
      </c>
      <c r="F149" s="137">
        <f t="shared" si="38"/>
        <v>2.0499999999999998</v>
      </c>
      <c r="G149" s="137">
        <f t="shared" si="38"/>
        <v>2.0499999999999998</v>
      </c>
      <c r="H149" s="137">
        <f t="shared" si="38"/>
        <v>2.0499999999999998</v>
      </c>
      <c r="I149" s="137">
        <f t="shared" si="38"/>
        <v>2.0499999999999998</v>
      </c>
      <c r="J149" s="137">
        <f t="shared" si="38"/>
        <v>2.0499999999999998</v>
      </c>
      <c r="K149" s="137">
        <f t="shared" si="38"/>
        <v>2.0499999999999998</v>
      </c>
      <c r="L149" s="137">
        <f t="shared" si="38"/>
        <v>2.0499999999999998</v>
      </c>
      <c r="M149" s="137">
        <f t="shared" si="38"/>
        <v>2.0499999999999998</v>
      </c>
      <c r="N149" s="137">
        <f t="shared" si="38"/>
        <v>2.0499999999999998</v>
      </c>
      <c r="O149" s="137">
        <f t="shared" si="38"/>
        <v>2.0499999999999998</v>
      </c>
      <c r="P149" s="137">
        <f t="shared" si="38"/>
        <v>2.0499999999999998</v>
      </c>
      <c r="Q149" s="137">
        <f t="shared" si="38"/>
        <v>2.0499999999999998</v>
      </c>
      <c r="R149" s="137">
        <f t="shared" si="38"/>
        <v>2.0499999999999998</v>
      </c>
      <c r="S149" s="137">
        <f t="shared" si="39"/>
        <v>2.0499999999999998</v>
      </c>
      <c r="T149" s="137">
        <f t="shared" si="39"/>
        <v>2.0499999999999998</v>
      </c>
      <c r="U149" s="137">
        <f t="shared" si="39"/>
        <v>2.0499999999999998</v>
      </c>
      <c r="V149" s="137">
        <f t="shared" si="39"/>
        <v>2.0499999999999998</v>
      </c>
      <c r="W149" s="137">
        <f t="shared" si="39"/>
        <v>2.0499999999999998</v>
      </c>
      <c r="X149" s="137">
        <f t="shared" si="39"/>
        <v>2.0499999999999998</v>
      </c>
      <c r="Y149" s="137">
        <f t="shared" si="39"/>
        <v>2.0499999999999998</v>
      </c>
      <c r="Z149" s="137">
        <f t="shared" si="39"/>
        <v>2.0499999999999998</v>
      </c>
      <c r="AA149" s="137">
        <f t="shared" si="39"/>
        <v>2.0499999999999998</v>
      </c>
      <c r="AB149" s="137">
        <f t="shared" si="39"/>
        <v>2.0499999999999998</v>
      </c>
      <c r="AC149" s="137">
        <f t="shared" si="39"/>
        <v>2.0499999999999998</v>
      </c>
      <c r="AD149" s="137">
        <f t="shared" si="39"/>
        <v>2.0499999999999998</v>
      </c>
      <c r="AE149" s="137">
        <f t="shared" si="39"/>
        <v>2.0499999999999998</v>
      </c>
      <c r="AF149" s="137">
        <f t="shared" si="39"/>
        <v>2.0499999999999998</v>
      </c>
      <c r="AG149" s="139">
        <v>4</v>
      </c>
      <c r="AH149" s="56"/>
      <c r="AI149" s="57"/>
      <c r="AK149" s="58"/>
    </row>
    <row r="150" spans="1:37" x14ac:dyDescent="0.25">
      <c r="A150" s="124" t="s">
        <v>154</v>
      </c>
      <c r="B150" s="136">
        <v>2.7</v>
      </c>
      <c r="C150" s="137">
        <f t="shared" si="38"/>
        <v>2.7</v>
      </c>
      <c r="D150" s="137">
        <f t="shared" si="38"/>
        <v>2.7</v>
      </c>
      <c r="E150" s="137">
        <f t="shared" si="38"/>
        <v>2.7</v>
      </c>
      <c r="F150" s="137">
        <f t="shared" si="38"/>
        <v>2.7</v>
      </c>
      <c r="G150" s="137">
        <f t="shared" si="38"/>
        <v>2.7</v>
      </c>
      <c r="H150" s="137">
        <f t="shared" si="38"/>
        <v>2.7</v>
      </c>
      <c r="I150" s="137">
        <f t="shared" si="38"/>
        <v>2.7</v>
      </c>
      <c r="J150" s="137">
        <f t="shared" si="38"/>
        <v>2.7</v>
      </c>
      <c r="K150" s="137">
        <f t="shared" si="38"/>
        <v>2.7</v>
      </c>
      <c r="L150" s="137">
        <f t="shared" si="38"/>
        <v>2.7</v>
      </c>
      <c r="M150" s="137">
        <f t="shared" si="38"/>
        <v>2.7</v>
      </c>
      <c r="N150" s="137">
        <f t="shared" si="38"/>
        <v>2.7</v>
      </c>
      <c r="O150" s="137">
        <f t="shared" si="38"/>
        <v>2.7</v>
      </c>
      <c r="P150" s="137">
        <f t="shared" si="38"/>
        <v>2.7</v>
      </c>
      <c r="Q150" s="137">
        <f t="shared" si="38"/>
        <v>2.7</v>
      </c>
      <c r="R150" s="137">
        <f t="shared" si="38"/>
        <v>2.7</v>
      </c>
      <c r="S150" s="137">
        <f t="shared" si="39"/>
        <v>2.7</v>
      </c>
      <c r="T150" s="137">
        <f t="shared" si="39"/>
        <v>2.7</v>
      </c>
      <c r="U150" s="137">
        <f t="shared" si="39"/>
        <v>2.7</v>
      </c>
      <c r="V150" s="137">
        <f t="shared" si="39"/>
        <v>2.7</v>
      </c>
      <c r="W150" s="137">
        <f t="shared" si="39"/>
        <v>2.7</v>
      </c>
      <c r="X150" s="137">
        <f t="shared" si="39"/>
        <v>2.7</v>
      </c>
      <c r="Y150" s="137">
        <f t="shared" si="39"/>
        <v>2.7</v>
      </c>
      <c r="Z150" s="137">
        <f t="shared" si="39"/>
        <v>2.7</v>
      </c>
      <c r="AA150" s="137">
        <f t="shared" si="39"/>
        <v>2.7</v>
      </c>
      <c r="AB150" s="137">
        <f t="shared" si="39"/>
        <v>2.7</v>
      </c>
      <c r="AC150" s="137">
        <f t="shared" si="39"/>
        <v>2.7</v>
      </c>
      <c r="AD150" s="137">
        <f t="shared" si="39"/>
        <v>2.7</v>
      </c>
      <c r="AE150" s="137">
        <f t="shared" si="39"/>
        <v>2.7</v>
      </c>
      <c r="AF150" s="137">
        <f t="shared" si="39"/>
        <v>2.7</v>
      </c>
      <c r="AG150" s="139">
        <v>4</v>
      </c>
      <c r="AH150" s="56"/>
      <c r="AI150" s="57"/>
      <c r="AK150" s="58"/>
    </row>
    <row r="151" spans="1:37" x14ac:dyDescent="0.25">
      <c r="A151" s="124" t="s">
        <v>155</v>
      </c>
      <c r="B151" s="136">
        <v>2.15</v>
      </c>
      <c r="C151" s="137">
        <f t="shared" si="38"/>
        <v>2.15</v>
      </c>
      <c r="D151" s="137">
        <f t="shared" si="38"/>
        <v>2.15</v>
      </c>
      <c r="E151" s="137">
        <f t="shared" si="38"/>
        <v>2.15</v>
      </c>
      <c r="F151" s="137">
        <f t="shared" si="38"/>
        <v>2.15</v>
      </c>
      <c r="G151" s="137">
        <f t="shared" si="38"/>
        <v>2.15</v>
      </c>
      <c r="H151" s="137">
        <f t="shared" si="38"/>
        <v>2.15</v>
      </c>
      <c r="I151" s="137">
        <f t="shared" si="38"/>
        <v>2.15</v>
      </c>
      <c r="J151" s="137">
        <f t="shared" si="38"/>
        <v>2.15</v>
      </c>
      <c r="K151" s="137">
        <f t="shared" si="38"/>
        <v>2.15</v>
      </c>
      <c r="L151" s="137">
        <f t="shared" si="38"/>
        <v>2.15</v>
      </c>
      <c r="M151" s="137">
        <f t="shared" si="38"/>
        <v>2.15</v>
      </c>
      <c r="N151" s="137">
        <f t="shared" si="38"/>
        <v>2.15</v>
      </c>
      <c r="O151" s="137">
        <f t="shared" si="38"/>
        <v>2.15</v>
      </c>
      <c r="P151" s="137">
        <f t="shared" si="38"/>
        <v>2.15</v>
      </c>
      <c r="Q151" s="137">
        <f t="shared" si="38"/>
        <v>2.15</v>
      </c>
      <c r="R151" s="137">
        <f t="shared" si="38"/>
        <v>2.15</v>
      </c>
      <c r="S151" s="137">
        <f t="shared" si="39"/>
        <v>2.15</v>
      </c>
      <c r="T151" s="137">
        <f t="shared" si="39"/>
        <v>2.15</v>
      </c>
      <c r="U151" s="137">
        <f t="shared" si="39"/>
        <v>2.15</v>
      </c>
      <c r="V151" s="137">
        <f t="shared" si="39"/>
        <v>2.15</v>
      </c>
      <c r="W151" s="137">
        <f t="shared" si="39"/>
        <v>2.15</v>
      </c>
      <c r="X151" s="137">
        <f t="shared" si="39"/>
        <v>2.15</v>
      </c>
      <c r="Y151" s="137">
        <f t="shared" si="39"/>
        <v>2.15</v>
      </c>
      <c r="Z151" s="137">
        <f t="shared" si="39"/>
        <v>2.15</v>
      </c>
      <c r="AA151" s="137">
        <f t="shared" si="39"/>
        <v>2.15</v>
      </c>
      <c r="AB151" s="137">
        <f t="shared" si="39"/>
        <v>2.15</v>
      </c>
      <c r="AC151" s="137">
        <f t="shared" si="39"/>
        <v>2.15</v>
      </c>
      <c r="AD151" s="137">
        <f t="shared" si="39"/>
        <v>2.15</v>
      </c>
      <c r="AE151" s="137">
        <f t="shared" si="39"/>
        <v>2.15</v>
      </c>
      <c r="AF151" s="137">
        <f t="shared" si="39"/>
        <v>2.15</v>
      </c>
      <c r="AG151" s="139">
        <v>4</v>
      </c>
      <c r="AH151" s="56"/>
      <c r="AI151" s="57"/>
      <c r="AK151" s="58"/>
    </row>
    <row r="152" spans="1:37" x14ac:dyDescent="0.25">
      <c r="A152" s="124" t="s">
        <v>156</v>
      </c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9">
        <v>4</v>
      </c>
      <c r="AH152" s="56"/>
      <c r="AI152" s="57"/>
      <c r="AK152" s="58"/>
    </row>
    <row r="153" spans="1:37" x14ac:dyDescent="0.25">
      <c r="A153" s="124" t="s">
        <v>157</v>
      </c>
      <c r="B153" s="136">
        <v>0.9</v>
      </c>
      <c r="C153" s="137">
        <f t="shared" ref="C153:R165" si="40">B153</f>
        <v>0.9</v>
      </c>
      <c r="D153" s="137">
        <f t="shared" si="40"/>
        <v>0.9</v>
      </c>
      <c r="E153" s="137">
        <f t="shared" si="40"/>
        <v>0.9</v>
      </c>
      <c r="F153" s="137">
        <f t="shared" si="40"/>
        <v>0.9</v>
      </c>
      <c r="G153" s="137">
        <f t="shared" si="40"/>
        <v>0.9</v>
      </c>
      <c r="H153" s="137">
        <f t="shared" si="40"/>
        <v>0.9</v>
      </c>
      <c r="I153" s="137">
        <f t="shared" si="40"/>
        <v>0.9</v>
      </c>
      <c r="J153" s="137">
        <f t="shared" si="40"/>
        <v>0.9</v>
      </c>
      <c r="K153" s="137">
        <f t="shared" si="40"/>
        <v>0.9</v>
      </c>
      <c r="L153" s="137">
        <f t="shared" si="40"/>
        <v>0.9</v>
      </c>
      <c r="M153" s="137">
        <f t="shared" si="40"/>
        <v>0.9</v>
      </c>
      <c r="N153" s="137">
        <f t="shared" si="40"/>
        <v>0.9</v>
      </c>
      <c r="O153" s="137">
        <f t="shared" si="40"/>
        <v>0.9</v>
      </c>
      <c r="P153" s="137">
        <f t="shared" si="40"/>
        <v>0.9</v>
      </c>
      <c r="Q153" s="137">
        <f t="shared" si="40"/>
        <v>0.9</v>
      </c>
      <c r="R153" s="137">
        <f t="shared" si="40"/>
        <v>0.9</v>
      </c>
      <c r="S153" s="137">
        <f t="shared" ref="R153:AF165" si="41">R153</f>
        <v>0.9</v>
      </c>
      <c r="T153" s="137">
        <f t="shared" si="41"/>
        <v>0.9</v>
      </c>
      <c r="U153" s="137">
        <f t="shared" si="41"/>
        <v>0.9</v>
      </c>
      <c r="V153" s="137">
        <f t="shared" si="41"/>
        <v>0.9</v>
      </c>
      <c r="W153" s="137">
        <f t="shared" si="41"/>
        <v>0.9</v>
      </c>
      <c r="X153" s="137">
        <f t="shared" si="41"/>
        <v>0.9</v>
      </c>
      <c r="Y153" s="137">
        <f t="shared" si="41"/>
        <v>0.9</v>
      </c>
      <c r="Z153" s="137">
        <f t="shared" si="41"/>
        <v>0.9</v>
      </c>
      <c r="AA153" s="137">
        <f t="shared" si="41"/>
        <v>0.9</v>
      </c>
      <c r="AB153" s="137">
        <f t="shared" si="41"/>
        <v>0.9</v>
      </c>
      <c r="AC153" s="137">
        <f t="shared" si="41"/>
        <v>0.9</v>
      </c>
      <c r="AD153" s="137">
        <f t="shared" si="41"/>
        <v>0.9</v>
      </c>
      <c r="AE153" s="137">
        <f t="shared" si="41"/>
        <v>0.9</v>
      </c>
      <c r="AF153" s="137">
        <f t="shared" si="41"/>
        <v>0.9</v>
      </c>
      <c r="AG153" s="139">
        <v>4</v>
      </c>
      <c r="AH153" s="56"/>
      <c r="AI153" s="57"/>
      <c r="AK153" s="58"/>
    </row>
    <row r="154" spans="1:37" x14ac:dyDescent="0.25">
      <c r="A154" s="124" t="s">
        <v>158</v>
      </c>
      <c r="B154" s="136">
        <v>1.08</v>
      </c>
      <c r="C154" s="137">
        <f t="shared" si="40"/>
        <v>1.08</v>
      </c>
      <c r="D154" s="137">
        <f t="shared" si="40"/>
        <v>1.08</v>
      </c>
      <c r="E154" s="137">
        <f t="shared" si="40"/>
        <v>1.08</v>
      </c>
      <c r="F154" s="137">
        <f t="shared" si="40"/>
        <v>1.08</v>
      </c>
      <c r="G154" s="137">
        <f t="shared" si="40"/>
        <v>1.08</v>
      </c>
      <c r="H154" s="137">
        <f t="shared" si="40"/>
        <v>1.08</v>
      </c>
      <c r="I154" s="137">
        <f t="shared" si="40"/>
        <v>1.08</v>
      </c>
      <c r="J154" s="137">
        <f t="shared" si="40"/>
        <v>1.08</v>
      </c>
      <c r="K154" s="137">
        <f t="shared" si="40"/>
        <v>1.08</v>
      </c>
      <c r="L154" s="137">
        <f t="shared" si="40"/>
        <v>1.08</v>
      </c>
      <c r="M154" s="137">
        <f t="shared" si="40"/>
        <v>1.08</v>
      </c>
      <c r="N154" s="137">
        <f t="shared" si="40"/>
        <v>1.08</v>
      </c>
      <c r="O154" s="137">
        <f t="shared" si="40"/>
        <v>1.08</v>
      </c>
      <c r="P154" s="137">
        <f t="shared" si="40"/>
        <v>1.08</v>
      </c>
      <c r="Q154" s="137">
        <f t="shared" si="40"/>
        <v>1.08</v>
      </c>
      <c r="R154" s="137">
        <f t="shared" si="40"/>
        <v>1.08</v>
      </c>
      <c r="S154" s="137">
        <f t="shared" si="41"/>
        <v>1.08</v>
      </c>
      <c r="T154" s="137">
        <f t="shared" si="41"/>
        <v>1.08</v>
      </c>
      <c r="U154" s="137">
        <f t="shared" si="41"/>
        <v>1.08</v>
      </c>
      <c r="V154" s="137">
        <f t="shared" si="41"/>
        <v>1.08</v>
      </c>
      <c r="W154" s="137">
        <f t="shared" si="41"/>
        <v>1.08</v>
      </c>
      <c r="X154" s="137">
        <f t="shared" si="41"/>
        <v>1.08</v>
      </c>
      <c r="Y154" s="137">
        <f t="shared" si="41"/>
        <v>1.08</v>
      </c>
      <c r="Z154" s="137">
        <f t="shared" si="41"/>
        <v>1.08</v>
      </c>
      <c r="AA154" s="137">
        <f t="shared" si="41"/>
        <v>1.08</v>
      </c>
      <c r="AB154" s="137">
        <f t="shared" si="41"/>
        <v>1.08</v>
      </c>
      <c r="AC154" s="137">
        <f t="shared" si="41"/>
        <v>1.08</v>
      </c>
      <c r="AD154" s="137">
        <f t="shared" si="41"/>
        <v>1.08</v>
      </c>
      <c r="AE154" s="137">
        <f t="shared" si="41"/>
        <v>1.08</v>
      </c>
      <c r="AF154" s="137">
        <f t="shared" si="41"/>
        <v>1.08</v>
      </c>
      <c r="AG154" s="139">
        <v>3.75</v>
      </c>
      <c r="AH154" s="56"/>
      <c r="AI154" s="57"/>
      <c r="AK154" s="58"/>
    </row>
    <row r="155" spans="1:37" x14ac:dyDescent="0.25">
      <c r="A155" s="124" t="s">
        <v>159</v>
      </c>
      <c r="B155" s="136">
        <v>2.37</v>
      </c>
      <c r="C155" s="137">
        <f t="shared" si="40"/>
        <v>2.37</v>
      </c>
      <c r="D155" s="137">
        <f t="shared" si="40"/>
        <v>2.37</v>
      </c>
      <c r="E155" s="137">
        <f t="shared" si="40"/>
        <v>2.37</v>
      </c>
      <c r="F155" s="137">
        <f t="shared" si="40"/>
        <v>2.37</v>
      </c>
      <c r="G155" s="137">
        <f t="shared" si="40"/>
        <v>2.37</v>
      </c>
      <c r="H155" s="137">
        <f t="shared" si="40"/>
        <v>2.37</v>
      </c>
      <c r="I155" s="137">
        <f t="shared" si="40"/>
        <v>2.37</v>
      </c>
      <c r="J155" s="137">
        <f t="shared" si="40"/>
        <v>2.37</v>
      </c>
      <c r="K155" s="137">
        <f t="shared" si="40"/>
        <v>2.37</v>
      </c>
      <c r="L155" s="137">
        <f t="shared" si="40"/>
        <v>2.37</v>
      </c>
      <c r="M155" s="137">
        <f t="shared" si="40"/>
        <v>2.37</v>
      </c>
      <c r="N155" s="137">
        <f t="shared" si="40"/>
        <v>2.37</v>
      </c>
      <c r="O155" s="137">
        <f t="shared" si="40"/>
        <v>2.37</v>
      </c>
      <c r="P155" s="137">
        <f t="shared" si="40"/>
        <v>2.37</v>
      </c>
      <c r="Q155" s="137">
        <f t="shared" si="40"/>
        <v>2.37</v>
      </c>
      <c r="R155" s="137">
        <f t="shared" si="40"/>
        <v>2.37</v>
      </c>
      <c r="S155" s="137">
        <f t="shared" si="41"/>
        <v>2.37</v>
      </c>
      <c r="T155" s="137">
        <f t="shared" si="41"/>
        <v>2.37</v>
      </c>
      <c r="U155" s="137">
        <f t="shared" si="41"/>
        <v>2.37</v>
      </c>
      <c r="V155" s="137">
        <f t="shared" si="41"/>
        <v>2.37</v>
      </c>
      <c r="W155" s="137">
        <f t="shared" si="41"/>
        <v>2.37</v>
      </c>
      <c r="X155" s="137">
        <f t="shared" si="41"/>
        <v>2.37</v>
      </c>
      <c r="Y155" s="137">
        <f t="shared" si="41"/>
        <v>2.37</v>
      </c>
      <c r="Z155" s="137">
        <f t="shared" si="41"/>
        <v>2.37</v>
      </c>
      <c r="AA155" s="137">
        <f t="shared" si="41"/>
        <v>2.37</v>
      </c>
      <c r="AB155" s="137">
        <f t="shared" si="41"/>
        <v>2.37</v>
      </c>
      <c r="AC155" s="137">
        <f t="shared" si="41"/>
        <v>2.37</v>
      </c>
      <c r="AD155" s="137">
        <f t="shared" si="41"/>
        <v>2.37</v>
      </c>
      <c r="AE155" s="137">
        <f t="shared" si="41"/>
        <v>2.37</v>
      </c>
      <c r="AF155" s="137">
        <f t="shared" si="41"/>
        <v>2.37</v>
      </c>
      <c r="AG155" s="139">
        <v>3.52</v>
      </c>
      <c r="AH155" s="56"/>
      <c r="AI155" s="57"/>
      <c r="AK155" s="58"/>
    </row>
    <row r="156" spans="1:37" x14ac:dyDescent="0.25">
      <c r="A156" s="124" t="s">
        <v>160</v>
      </c>
      <c r="B156" s="136">
        <v>1.81</v>
      </c>
      <c r="C156" s="137">
        <f t="shared" si="40"/>
        <v>1.81</v>
      </c>
      <c r="D156" s="137">
        <f t="shared" si="40"/>
        <v>1.81</v>
      </c>
      <c r="E156" s="137">
        <f t="shared" si="40"/>
        <v>1.81</v>
      </c>
      <c r="F156" s="137">
        <f t="shared" si="40"/>
        <v>1.81</v>
      </c>
      <c r="G156" s="137">
        <f t="shared" si="40"/>
        <v>1.81</v>
      </c>
      <c r="H156" s="137">
        <f t="shared" si="40"/>
        <v>1.81</v>
      </c>
      <c r="I156" s="137">
        <f t="shared" si="40"/>
        <v>1.81</v>
      </c>
      <c r="J156" s="137">
        <f t="shared" si="40"/>
        <v>1.81</v>
      </c>
      <c r="K156" s="137">
        <f t="shared" si="40"/>
        <v>1.81</v>
      </c>
      <c r="L156" s="137">
        <f t="shared" si="40"/>
        <v>1.81</v>
      </c>
      <c r="M156" s="137">
        <f t="shared" si="40"/>
        <v>1.81</v>
      </c>
      <c r="N156" s="137">
        <f t="shared" si="40"/>
        <v>1.81</v>
      </c>
      <c r="O156" s="137">
        <f t="shared" si="40"/>
        <v>1.81</v>
      </c>
      <c r="P156" s="137">
        <f t="shared" si="40"/>
        <v>1.81</v>
      </c>
      <c r="Q156" s="137">
        <f t="shared" si="40"/>
        <v>1.81</v>
      </c>
      <c r="R156" s="137">
        <f t="shared" si="40"/>
        <v>1.81</v>
      </c>
      <c r="S156" s="137">
        <f t="shared" si="41"/>
        <v>1.81</v>
      </c>
      <c r="T156" s="137">
        <f t="shared" si="41"/>
        <v>1.81</v>
      </c>
      <c r="U156" s="137">
        <f t="shared" si="41"/>
        <v>1.81</v>
      </c>
      <c r="V156" s="137">
        <f t="shared" si="41"/>
        <v>1.81</v>
      </c>
      <c r="W156" s="137">
        <f t="shared" si="41"/>
        <v>1.81</v>
      </c>
      <c r="X156" s="137">
        <f t="shared" si="41"/>
        <v>1.81</v>
      </c>
      <c r="Y156" s="137">
        <f t="shared" si="41"/>
        <v>1.81</v>
      </c>
      <c r="Z156" s="137">
        <f t="shared" si="41"/>
        <v>1.81</v>
      </c>
      <c r="AA156" s="137">
        <f t="shared" si="41"/>
        <v>1.81</v>
      </c>
      <c r="AB156" s="137">
        <f t="shared" si="41"/>
        <v>1.81</v>
      </c>
      <c r="AC156" s="137">
        <f t="shared" si="41"/>
        <v>1.81</v>
      </c>
      <c r="AD156" s="137">
        <f t="shared" si="41"/>
        <v>1.81</v>
      </c>
      <c r="AE156" s="137">
        <f t="shared" si="41"/>
        <v>1.81</v>
      </c>
      <c r="AF156" s="137">
        <f t="shared" si="41"/>
        <v>1.81</v>
      </c>
      <c r="AG156" s="139">
        <v>3.33</v>
      </c>
      <c r="AH156" s="56"/>
      <c r="AI156" s="57"/>
      <c r="AK156" s="58"/>
    </row>
    <row r="157" spans="1:37" x14ac:dyDescent="0.25">
      <c r="A157" s="124" t="s">
        <v>161</v>
      </c>
      <c r="B157" s="136">
        <v>1.0900000000000001</v>
      </c>
      <c r="C157" s="137">
        <f t="shared" si="40"/>
        <v>1.0900000000000001</v>
      </c>
      <c r="D157" s="137">
        <f t="shared" si="40"/>
        <v>1.0900000000000001</v>
      </c>
      <c r="E157" s="137">
        <f t="shared" si="40"/>
        <v>1.0900000000000001</v>
      </c>
      <c r="F157" s="137">
        <f t="shared" si="40"/>
        <v>1.0900000000000001</v>
      </c>
      <c r="G157" s="137">
        <f t="shared" si="40"/>
        <v>1.0900000000000001</v>
      </c>
      <c r="H157" s="137">
        <f t="shared" si="40"/>
        <v>1.0900000000000001</v>
      </c>
      <c r="I157" s="137">
        <f t="shared" si="40"/>
        <v>1.0900000000000001</v>
      </c>
      <c r="J157" s="137">
        <f t="shared" si="40"/>
        <v>1.0900000000000001</v>
      </c>
      <c r="K157" s="137">
        <f t="shared" si="40"/>
        <v>1.0900000000000001</v>
      </c>
      <c r="L157" s="137">
        <f t="shared" si="40"/>
        <v>1.0900000000000001</v>
      </c>
      <c r="M157" s="137">
        <f t="shared" si="40"/>
        <v>1.0900000000000001</v>
      </c>
      <c r="N157" s="137">
        <f t="shared" si="40"/>
        <v>1.0900000000000001</v>
      </c>
      <c r="O157" s="137">
        <f t="shared" si="40"/>
        <v>1.0900000000000001</v>
      </c>
      <c r="P157" s="137">
        <f t="shared" si="40"/>
        <v>1.0900000000000001</v>
      </c>
      <c r="Q157" s="137">
        <f t="shared" si="40"/>
        <v>1.0900000000000001</v>
      </c>
      <c r="R157" s="137">
        <f t="shared" si="40"/>
        <v>1.0900000000000001</v>
      </c>
      <c r="S157" s="137">
        <f t="shared" si="41"/>
        <v>1.0900000000000001</v>
      </c>
      <c r="T157" s="137">
        <f t="shared" si="41"/>
        <v>1.0900000000000001</v>
      </c>
      <c r="U157" s="137">
        <f t="shared" si="41"/>
        <v>1.0900000000000001</v>
      </c>
      <c r="V157" s="137">
        <f t="shared" si="41"/>
        <v>1.0900000000000001</v>
      </c>
      <c r="W157" s="137">
        <f t="shared" si="41"/>
        <v>1.0900000000000001</v>
      </c>
      <c r="X157" s="137">
        <f t="shared" si="41"/>
        <v>1.0900000000000001</v>
      </c>
      <c r="Y157" s="137">
        <f t="shared" si="41"/>
        <v>1.0900000000000001</v>
      </c>
      <c r="Z157" s="137">
        <f t="shared" si="41"/>
        <v>1.0900000000000001</v>
      </c>
      <c r="AA157" s="137">
        <f t="shared" si="41"/>
        <v>1.0900000000000001</v>
      </c>
      <c r="AB157" s="137">
        <f t="shared" si="41"/>
        <v>1.0900000000000001</v>
      </c>
      <c r="AC157" s="137">
        <f t="shared" si="41"/>
        <v>1.0900000000000001</v>
      </c>
      <c r="AD157" s="137">
        <f t="shared" si="41"/>
        <v>1.0900000000000001</v>
      </c>
      <c r="AE157" s="137">
        <f t="shared" si="41"/>
        <v>1.0900000000000001</v>
      </c>
      <c r="AF157" s="137">
        <f t="shared" si="41"/>
        <v>1.0900000000000001</v>
      </c>
      <c r="AG157" s="139">
        <v>3.2</v>
      </c>
      <c r="AH157" s="56"/>
      <c r="AI157" s="57"/>
      <c r="AK157" s="58"/>
    </row>
    <row r="158" spans="1:37" x14ac:dyDescent="0.25">
      <c r="A158" s="124" t="s">
        <v>162</v>
      </c>
      <c r="B158" s="136">
        <v>1.58</v>
      </c>
      <c r="C158" s="137">
        <f t="shared" si="40"/>
        <v>1.58</v>
      </c>
      <c r="D158" s="137">
        <f t="shared" si="40"/>
        <v>1.58</v>
      </c>
      <c r="E158" s="137">
        <f t="shared" si="40"/>
        <v>1.58</v>
      </c>
      <c r="F158" s="137">
        <f t="shared" si="40"/>
        <v>1.58</v>
      </c>
      <c r="G158" s="137">
        <f t="shared" si="40"/>
        <v>1.58</v>
      </c>
      <c r="H158" s="137">
        <f t="shared" si="40"/>
        <v>1.58</v>
      </c>
      <c r="I158" s="137">
        <f t="shared" si="40"/>
        <v>1.58</v>
      </c>
      <c r="J158" s="137">
        <f t="shared" si="40"/>
        <v>1.58</v>
      </c>
      <c r="K158" s="137">
        <f t="shared" si="40"/>
        <v>1.58</v>
      </c>
      <c r="L158" s="137">
        <f t="shared" si="40"/>
        <v>1.58</v>
      </c>
      <c r="M158" s="137">
        <f t="shared" si="40"/>
        <v>1.58</v>
      </c>
      <c r="N158" s="137">
        <f t="shared" si="40"/>
        <v>1.58</v>
      </c>
      <c r="O158" s="137">
        <f t="shared" si="40"/>
        <v>1.58</v>
      </c>
      <c r="P158" s="137">
        <f t="shared" si="40"/>
        <v>1.58</v>
      </c>
      <c r="Q158" s="137">
        <f t="shared" si="40"/>
        <v>1.58</v>
      </c>
      <c r="R158" s="137">
        <f t="shared" si="40"/>
        <v>1.58</v>
      </c>
      <c r="S158" s="137">
        <f t="shared" si="41"/>
        <v>1.58</v>
      </c>
      <c r="T158" s="137">
        <f t="shared" si="41"/>
        <v>1.58</v>
      </c>
      <c r="U158" s="137">
        <f t="shared" si="41"/>
        <v>1.58</v>
      </c>
      <c r="V158" s="137">
        <f t="shared" si="41"/>
        <v>1.58</v>
      </c>
      <c r="W158" s="137">
        <f t="shared" si="41"/>
        <v>1.58</v>
      </c>
      <c r="X158" s="137">
        <f t="shared" si="41"/>
        <v>1.58</v>
      </c>
      <c r="Y158" s="137">
        <f t="shared" si="41"/>
        <v>1.58</v>
      </c>
      <c r="Z158" s="137">
        <f t="shared" si="41"/>
        <v>1.58</v>
      </c>
      <c r="AA158" s="137">
        <f t="shared" si="41"/>
        <v>1.58</v>
      </c>
      <c r="AB158" s="137">
        <f t="shared" si="41"/>
        <v>1.58</v>
      </c>
      <c r="AC158" s="137">
        <f t="shared" si="41"/>
        <v>1.58</v>
      </c>
      <c r="AD158" s="137">
        <f t="shared" si="41"/>
        <v>1.58</v>
      </c>
      <c r="AE158" s="137">
        <f t="shared" si="41"/>
        <v>1.58</v>
      </c>
      <c r="AF158" s="137">
        <f t="shared" si="41"/>
        <v>1.58</v>
      </c>
      <c r="AG158" s="139">
        <v>3</v>
      </c>
      <c r="AH158" s="56"/>
      <c r="AI158" s="57"/>
      <c r="AK158" s="58"/>
    </row>
    <row r="159" spans="1:37" x14ac:dyDescent="0.25">
      <c r="A159" s="124" t="s">
        <v>163</v>
      </c>
      <c r="B159" s="136">
        <v>2</v>
      </c>
      <c r="C159" s="137">
        <f t="shared" si="40"/>
        <v>2</v>
      </c>
      <c r="D159" s="137">
        <f t="shared" si="40"/>
        <v>2</v>
      </c>
      <c r="E159" s="137">
        <f t="shared" si="40"/>
        <v>2</v>
      </c>
      <c r="F159" s="137">
        <f t="shared" si="40"/>
        <v>2</v>
      </c>
      <c r="G159" s="137">
        <f t="shared" si="40"/>
        <v>2</v>
      </c>
      <c r="H159" s="137">
        <f t="shared" si="40"/>
        <v>2</v>
      </c>
      <c r="I159" s="137">
        <f t="shared" si="40"/>
        <v>2</v>
      </c>
      <c r="J159" s="137">
        <f t="shared" si="40"/>
        <v>2</v>
      </c>
      <c r="K159" s="137">
        <f t="shared" si="40"/>
        <v>2</v>
      </c>
      <c r="L159" s="137">
        <f t="shared" si="40"/>
        <v>2</v>
      </c>
      <c r="M159" s="137">
        <f t="shared" si="40"/>
        <v>2</v>
      </c>
      <c r="N159" s="137">
        <f t="shared" si="40"/>
        <v>2</v>
      </c>
      <c r="O159" s="137">
        <f t="shared" si="40"/>
        <v>2</v>
      </c>
      <c r="P159" s="137">
        <f t="shared" si="40"/>
        <v>2</v>
      </c>
      <c r="Q159" s="137">
        <f t="shared" si="40"/>
        <v>2</v>
      </c>
      <c r="R159" s="137">
        <f t="shared" si="40"/>
        <v>2</v>
      </c>
      <c r="S159" s="137">
        <f t="shared" si="41"/>
        <v>2</v>
      </c>
      <c r="T159" s="137">
        <f t="shared" si="41"/>
        <v>2</v>
      </c>
      <c r="U159" s="137">
        <f t="shared" si="41"/>
        <v>2</v>
      </c>
      <c r="V159" s="137">
        <f t="shared" si="41"/>
        <v>2</v>
      </c>
      <c r="W159" s="137">
        <f t="shared" si="41"/>
        <v>2</v>
      </c>
      <c r="X159" s="137">
        <f t="shared" si="41"/>
        <v>2</v>
      </c>
      <c r="Y159" s="137">
        <f t="shared" si="41"/>
        <v>2</v>
      </c>
      <c r="Z159" s="137">
        <f t="shared" si="41"/>
    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   </c>
      <c r="AD159" s="137">
        <f t="shared" si="41"/>
        <v>2</v>
      </c>
      <c r="AE159" s="137">
        <f t="shared" si="41"/>
        <v>2</v>
      </c>
      <c r="AF159" s="137">
        <f t="shared" si="41"/>
        <v>2</v>
      </c>
      <c r="AG159" s="139">
        <v>3</v>
      </c>
      <c r="AH159" s="56"/>
      <c r="AI159" s="57"/>
      <c r="AK159" s="58"/>
    </row>
    <row r="160" spans="1:37" x14ac:dyDescent="0.25">
      <c r="A160" s="124" t="s">
        <v>164</v>
      </c>
      <c r="B160" s="136">
        <v>0.47</v>
      </c>
      <c r="C160" s="137">
        <f t="shared" si="40"/>
        <v>0.47</v>
      </c>
      <c r="D160" s="137">
        <f t="shared" si="40"/>
        <v>0.47</v>
      </c>
      <c r="E160" s="137">
        <f t="shared" si="40"/>
        <v>0.47</v>
      </c>
      <c r="F160" s="137">
        <f t="shared" si="40"/>
        <v>0.47</v>
      </c>
      <c r="G160" s="137">
        <f t="shared" si="40"/>
        <v>0.47</v>
      </c>
      <c r="H160" s="137">
        <f t="shared" si="40"/>
        <v>0.47</v>
      </c>
      <c r="I160" s="137">
        <f t="shared" si="40"/>
        <v>0.47</v>
      </c>
      <c r="J160" s="137">
        <f t="shared" si="40"/>
        <v>0.47</v>
      </c>
      <c r="K160" s="137">
        <f t="shared" si="40"/>
        <v>0.47</v>
      </c>
      <c r="L160" s="137">
        <f t="shared" si="40"/>
        <v>0.47</v>
      </c>
      <c r="M160" s="137">
        <f t="shared" si="40"/>
        <v>0.47</v>
      </c>
      <c r="N160" s="137">
        <f t="shared" si="40"/>
        <v>0.47</v>
      </c>
      <c r="O160" s="137">
        <f t="shared" si="40"/>
        <v>0.47</v>
      </c>
      <c r="P160" s="137">
        <f t="shared" si="40"/>
        <v>0.47</v>
      </c>
      <c r="Q160" s="137">
        <f t="shared" si="40"/>
        <v>0.47</v>
      </c>
      <c r="R160" s="137">
        <f t="shared" si="40"/>
        <v>0.47</v>
      </c>
      <c r="S160" s="137">
        <f t="shared" si="41"/>
        <v>0.47</v>
      </c>
      <c r="T160" s="137">
        <f t="shared" si="41"/>
        <v>0.47</v>
      </c>
      <c r="U160" s="137">
        <f t="shared" si="41"/>
        <v>0.47</v>
      </c>
      <c r="V160" s="137">
        <f t="shared" si="41"/>
        <v>0.47</v>
      </c>
      <c r="W160" s="137">
        <f t="shared" si="41"/>
        <v>0.47</v>
      </c>
      <c r="X160" s="137">
        <f t="shared" si="41"/>
        <v>0.47</v>
      </c>
      <c r="Y160" s="137">
        <f t="shared" si="41"/>
        <v>0.47</v>
      </c>
      <c r="Z160" s="137">
        <f t="shared" si="41"/>
        <v>0.47</v>
      </c>
      <c r="AA160" s="137">
        <f t="shared" si="41"/>
        <v>0.47</v>
      </c>
      <c r="AB160" s="137">
        <f t="shared" si="41"/>
        <v>0.47</v>
      </c>
      <c r="AC160" s="137">
        <f t="shared" si="41"/>
        <v>0.47</v>
      </c>
      <c r="AD160" s="137">
        <f t="shared" si="41"/>
        <v>0.47</v>
      </c>
      <c r="AE160" s="137">
        <f t="shared" si="41"/>
        <v>0.47</v>
      </c>
      <c r="AF160" s="137">
        <f t="shared" si="41"/>
        <v>0.47</v>
      </c>
      <c r="AG160" s="139">
        <v>3</v>
      </c>
      <c r="AH160" s="56"/>
      <c r="AI160" s="57"/>
      <c r="AK160" s="58"/>
    </row>
    <row r="161" spans="1:37" x14ac:dyDescent="0.25">
      <c r="A161" s="124" t="s">
        <v>165</v>
      </c>
      <c r="B161" s="136">
        <v>0</v>
      </c>
      <c r="C161" s="137">
        <f t="shared" si="40"/>
        <v>0</v>
      </c>
      <c r="D161" s="137">
        <f t="shared" si="40"/>
        <v>0</v>
      </c>
      <c r="E161" s="137">
        <f t="shared" si="40"/>
        <v>0</v>
      </c>
      <c r="F161" s="137">
        <f t="shared" si="40"/>
        <v>0</v>
      </c>
      <c r="G161" s="137">
        <f t="shared" si="40"/>
        <v>0</v>
      </c>
      <c r="H161" s="137">
        <f t="shared" si="40"/>
        <v>0</v>
      </c>
      <c r="I161" s="137">
        <f t="shared" si="40"/>
        <v>0</v>
      </c>
      <c r="J161" s="137">
        <f t="shared" si="40"/>
        <v>0</v>
      </c>
      <c r="K161" s="137">
        <f t="shared" si="40"/>
        <v>0</v>
      </c>
      <c r="L161" s="137">
        <f t="shared" si="40"/>
        <v>0</v>
      </c>
      <c r="M161" s="137">
        <f t="shared" si="40"/>
        <v>0</v>
      </c>
      <c r="N161" s="137">
        <f t="shared" si="40"/>
        <v>0</v>
      </c>
      <c r="O161" s="137">
        <f t="shared" si="40"/>
        <v>0</v>
      </c>
      <c r="P161" s="137">
        <f t="shared" si="40"/>
        <v>0</v>
      </c>
      <c r="Q161" s="137">
        <f t="shared" si="40"/>
        <v>0</v>
      </c>
      <c r="R161" s="137">
        <f t="shared" si="40"/>
        <v>0</v>
      </c>
      <c r="S161" s="137">
        <f t="shared" si="41"/>
        <v>0</v>
      </c>
      <c r="T161" s="137">
        <f t="shared" si="41"/>
        <v>0</v>
      </c>
      <c r="U161" s="137">
        <f t="shared" si="41"/>
        <v>0</v>
      </c>
      <c r="V161" s="137">
        <f t="shared" si="41"/>
        <v>0</v>
      </c>
      <c r="W161" s="137">
        <f t="shared" si="41"/>
        <v>0</v>
      </c>
      <c r="X161" s="137">
        <f t="shared" si="41"/>
        <v>0</v>
      </c>
      <c r="Y161" s="137">
        <f t="shared" si="41"/>
        <v>0</v>
      </c>
      <c r="Z161" s="137">
        <f t="shared" si="41"/>
        <v>0</v>
      </c>
      <c r="AA161" s="137">
        <f t="shared" si="41"/>
        <v>0</v>
      </c>
      <c r="AB161" s="137">
        <f t="shared" si="41"/>
        <v>0</v>
      </c>
      <c r="AC161" s="137">
        <f t="shared" si="41"/>
        <v>0</v>
      </c>
      <c r="AD161" s="137">
        <f t="shared" si="41"/>
        <v>0</v>
      </c>
      <c r="AE161" s="137">
        <f t="shared" si="41"/>
        <v>0</v>
      </c>
      <c r="AF161" s="137">
        <f t="shared" si="41"/>
        <v>0</v>
      </c>
      <c r="AG161" s="139">
        <v>3</v>
      </c>
      <c r="AH161" s="56"/>
      <c r="AI161" s="57"/>
      <c r="AK161" s="58"/>
    </row>
    <row r="162" spans="1:37" x14ac:dyDescent="0.25">
      <c r="A162" s="124" t="s">
        <v>166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1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167</v>
      </c>
      <c r="B163" s="136">
        <v>0.8</v>
      </c>
      <c r="C163" s="137">
        <f t="shared" si="40"/>
        <v>0.8</v>
      </c>
      <c r="D163" s="137">
        <f t="shared" si="40"/>
        <v>0.8</v>
      </c>
      <c r="E163" s="137">
        <f t="shared" si="40"/>
        <v>0.8</v>
      </c>
      <c r="F163" s="137">
        <f t="shared" si="40"/>
        <v>0.8</v>
      </c>
      <c r="G163" s="137">
        <f t="shared" si="40"/>
        <v>0.8</v>
      </c>
      <c r="H163" s="137">
        <f t="shared" si="40"/>
        <v>0.8</v>
      </c>
      <c r="I163" s="137">
        <f t="shared" si="40"/>
        <v>0.8</v>
      </c>
      <c r="J163" s="137">
        <f t="shared" si="40"/>
        <v>0.8</v>
      </c>
      <c r="K163" s="137">
        <f t="shared" si="40"/>
        <v>0.8</v>
      </c>
      <c r="L163" s="137">
        <f t="shared" si="40"/>
        <v>0.8</v>
      </c>
      <c r="M163" s="137">
        <f t="shared" si="40"/>
        <v>0.8</v>
      </c>
      <c r="N163" s="137">
        <f t="shared" si="40"/>
        <v>0.8</v>
      </c>
      <c r="O163" s="137">
        <f t="shared" si="40"/>
        <v>0.8</v>
      </c>
      <c r="P163" s="137">
        <f t="shared" si="40"/>
        <v>0.8</v>
      </c>
      <c r="Q163" s="137">
        <f t="shared" si="40"/>
        <v>0.8</v>
      </c>
      <c r="R163" s="137">
        <f t="shared" si="41"/>
        <v>0.8</v>
      </c>
      <c r="S163" s="137">
        <f t="shared" si="41"/>
        <v>0.8</v>
      </c>
      <c r="T163" s="137">
        <f t="shared" si="41"/>
        <v>0.8</v>
      </c>
      <c r="U163" s="137">
        <f t="shared" si="41"/>
        <v>0.8</v>
      </c>
      <c r="V163" s="137">
        <f t="shared" si="41"/>
        <v>0.8</v>
      </c>
      <c r="W163" s="137">
        <f t="shared" si="41"/>
        <v>0.8</v>
      </c>
      <c r="X163" s="137">
        <f t="shared" si="41"/>
        <v>0.8</v>
      </c>
      <c r="Y163" s="137">
        <f t="shared" si="41"/>
        <v>0.8</v>
      </c>
      <c r="Z163" s="137">
        <f t="shared" si="41"/>
        <v>0.8</v>
      </c>
      <c r="AA163" s="137">
        <f t="shared" si="41"/>
        <v>0.8</v>
      </c>
      <c r="AB163" s="137">
        <f t="shared" si="41"/>
        <v>0.8</v>
      </c>
      <c r="AC163" s="137">
        <f t="shared" si="41"/>
        <v>0.8</v>
      </c>
      <c r="AD163" s="137">
        <f t="shared" si="41"/>
        <v>0.8</v>
      </c>
      <c r="AE163" s="137">
        <f t="shared" si="41"/>
        <v>0.8</v>
      </c>
      <c r="AF163" s="137">
        <f t="shared" si="41"/>
        <v>0.8</v>
      </c>
      <c r="AG163" s="139">
        <v>3</v>
      </c>
      <c r="AH163" s="56"/>
      <c r="AI163" s="57"/>
      <c r="AK163" s="58"/>
    </row>
    <row r="164" spans="1:37" x14ac:dyDescent="0.25">
      <c r="A164" s="124" t="s">
        <v>168</v>
      </c>
      <c r="B164" s="136">
        <v>1.5</v>
      </c>
      <c r="C164" s="137">
        <f t="shared" si="40"/>
        <v>1.5</v>
      </c>
      <c r="D164" s="137">
        <f t="shared" si="40"/>
        <v>1.5</v>
      </c>
      <c r="E164" s="137">
        <f t="shared" si="40"/>
        <v>1.5</v>
      </c>
      <c r="F164" s="137">
        <f t="shared" si="40"/>
        <v>1.5</v>
      </c>
      <c r="G164" s="137">
        <f t="shared" si="40"/>
        <v>1.5</v>
      </c>
      <c r="H164" s="137">
        <f t="shared" si="40"/>
        <v>1.5</v>
      </c>
      <c r="I164" s="137">
        <f t="shared" si="40"/>
        <v>1.5</v>
      </c>
      <c r="J164" s="137">
        <f t="shared" si="40"/>
        <v>1.5</v>
      </c>
      <c r="K164" s="137">
        <f t="shared" si="40"/>
        <v>1.5</v>
      </c>
      <c r="L164" s="137">
        <f t="shared" si="40"/>
        <v>1.5</v>
      </c>
      <c r="M164" s="137">
        <f t="shared" si="40"/>
        <v>1.5</v>
      </c>
      <c r="N164" s="137">
        <f t="shared" si="40"/>
        <v>1.5</v>
      </c>
      <c r="O164" s="137">
        <f t="shared" si="40"/>
        <v>1.5</v>
      </c>
      <c r="P164" s="137">
        <f t="shared" si="40"/>
        <v>1.5</v>
      </c>
      <c r="Q164" s="137">
        <f t="shared" si="40"/>
        <v>1.5</v>
      </c>
      <c r="R164" s="137">
        <f t="shared" si="41"/>
        <v>1.5</v>
      </c>
      <c r="S164" s="137">
        <f t="shared" si="41"/>
        <v>1.5</v>
      </c>
      <c r="T164" s="137">
        <f t="shared" si="41"/>
        <v>1.5</v>
      </c>
      <c r="U164" s="137">
        <f t="shared" si="41"/>
        <v>1.5</v>
      </c>
      <c r="V164" s="137">
        <f t="shared" si="41"/>
        <v>1.5</v>
      </c>
      <c r="W164" s="137">
        <f t="shared" si="41"/>
        <v>1.5</v>
      </c>
      <c r="X164" s="137">
        <f t="shared" si="41"/>
        <v>1.5</v>
      </c>
      <c r="Y164" s="137">
        <f t="shared" si="41"/>
        <v>1.5</v>
      </c>
      <c r="Z164" s="137">
        <f t="shared" si="41"/>
        <v>1.5</v>
      </c>
      <c r="AA164" s="137">
        <f t="shared" si="41"/>
        <v>1.5</v>
      </c>
      <c r="AB164" s="137">
        <f t="shared" si="41"/>
        <v>1.5</v>
      </c>
      <c r="AC164" s="137">
        <f t="shared" si="41"/>
        <v>1.5</v>
      </c>
      <c r="AD164" s="137">
        <f t="shared" si="41"/>
        <v>1.5</v>
      </c>
      <c r="AE164" s="137">
        <f t="shared" si="41"/>
        <v>1.5</v>
      </c>
      <c r="AF164" s="137">
        <f t="shared" si="41"/>
        <v>1.5</v>
      </c>
      <c r="AG164" s="139">
        <v>3</v>
      </c>
      <c r="AH164" s="56"/>
      <c r="AI164" s="57"/>
      <c r="AK164" s="58"/>
    </row>
    <row r="165" spans="1:37" x14ac:dyDescent="0.25">
      <c r="A165" s="124" t="s">
        <v>169</v>
      </c>
      <c r="B165" s="136">
        <v>1</v>
      </c>
      <c r="C165" s="137">
        <f t="shared" si="40"/>
        <v>1</v>
      </c>
      <c r="D165" s="137">
        <f t="shared" si="40"/>
        <v>1</v>
      </c>
      <c r="E165" s="137">
        <f t="shared" si="40"/>
        <v>1</v>
      </c>
      <c r="F165" s="137">
        <f t="shared" si="40"/>
        <v>1</v>
      </c>
      <c r="G165" s="137">
        <f t="shared" si="40"/>
        <v>1</v>
      </c>
      <c r="H165" s="137">
        <f t="shared" si="40"/>
        <v>1</v>
      </c>
      <c r="I165" s="137">
        <f t="shared" si="40"/>
        <v>1</v>
      </c>
      <c r="J165" s="137">
        <f t="shared" si="40"/>
        <v>1</v>
      </c>
      <c r="K165" s="137">
        <f t="shared" si="40"/>
        <v>1</v>
      </c>
      <c r="L165" s="137">
        <f t="shared" si="40"/>
        <v>1</v>
      </c>
      <c r="M165" s="137">
        <f t="shared" si="40"/>
        <v>1</v>
      </c>
      <c r="N165" s="137">
        <f t="shared" si="40"/>
        <v>1</v>
      </c>
      <c r="O165" s="137">
        <f t="shared" si="40"/>
        <v>1</v>
      </c>
      <c r="P165" s="137">
        <f t="shared" si="40"/>
        <v>1</v>
      </c>
      <c r="Q165" s="137">
        <f t="shared" si="40"/>
        <v>1</v>
      </c>
      <c r="R165" s="137">
        <f t="shared" si="41"/>
        <v>1</v>
      </c>
      <c r="S165" s="137">
        <f t="shared" si="41"/>
        <v>1</v>
      </c>
      <c r="T165" s="137">
        <f t="shared" si="41"/>
        <v>1</v>
      </c>
      <c r="U165" s="137">
        <f t="shared" si="41"/>
        <v>1</v>
      </c>
      <c r="V165" s="137">
        <f t="shared" si="41"/>
        <v>1</v>
      </c>
      <c r="W165" s="137">
        <f t="shared" si="41"/>
        <v>1</v>
      </c>
      <c r="X165" s="137">
        <f t="shared" si="41"/>
        <v>1</v>
      </c>
      <c r="Y165" s="137">
        <f t="shared" si="41"/>
        <v>1</v>
      </c>
      <c r="Z165" s="137">
        <f t="shared" si="41"/>
        <v>1</v>
      </c>
      <c r="AA165" s="137">
        <f t="shared" si="41"/>
        <v>1</v>
      </c>
      <c r="AB165" s="137">
        <f t="shared" si="41"/>
        <v>1</v>
      </c>
      <c r="AC165" s="137">
        <f t="shared" si="41"/>
        <v>1</v>
      </c>
      <c r="AD165" s="137">
        <f t="shared" si="41"/>
        <v>1</v>
      </c>
      <c r="AE165" s="137">
        <f t="shared" si="41"/>
        <v>1</v>
      </c>
      <c r="AF165" s="137">
        <f t="shared" si="41"/>
        <v>1</v>
      </c>
      <c r="AG165" s="139">
        <v>3</v>
      </c>
      <c r="AH165" s="56"/>
      <c r="AI165" s="57"/>
      <c r="AK165" s="58"/>
    </row>
    <row r="166" spans="1:37" x14ac:dyDescent="0.25">
      <c r="A166" s="124" t="s">
        <v>170</v>
      </c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9">
        <v>2.83</v>
      </c>
      <c r="AH166" s="56"/>
      <c r="AI166" s="57"/>
      <c r="AK166" s="58"/>
    </row>
    <row r="167" spans="1:37" x14ac:dyDescent="0.25">
      <c r="A167" s="124" t="s">
        <v>171</v>
      </c>
      <c r="B167" s="136">
        <v>1</v>
      </c>
      <c r="C167" s="137">
        <f t="shared" ref="C167:R174" si="42">B167</f>
        <v>1</v>
      </c>
      <c r="D167" s="137">
        <f t="shared" si="42"/>
        <v>1</v>
      </c>
      <c r="E167" s="137">
        <f t="shared" si="42"/>
        <v>1</v>
      </c>
      <c r="F167" s="137">
        <f t="shared" si="42"/>
        <v>1</v>
      </c>
      <c r="G167" s="137">
        <f t="shared" si="42"/>
        <v>1</v>
      </c>
      <c r="H167" s="137">
        <f t="shared" si="42"/>
        <v>1</v>
      </c>
      <c r="I167" s="137">
        <f t="shared" si="42"/>
        <v>1</v>
      </c>
      <c r="J167" s="137">
        <f t="shared" si="42"/>
        <v>1</v>
      </c>
      <c r="K167" s="137">
        <f t="shared" si="42"/>
        <v>1</v>
      </c>
      <c r="L167" s="137">
        <f t="shared" si="42"/>
        <v>1</v>
      </c>
      <c r="M167" s="137">
        <f t="shared" si="42"/>
        <v>1</v>
      </c>
      <c r="N167" s="137">
        <f t="shared" si="42"/>
        <v>1</v>
      </c>
      <c r="O167" s="137">
        <f t="shared" si="42"/>
        <v>1</v>
      </c>
      <c r="P167" s="137">
        <f t="shared" si="42"/>
        <v>1</v>
      </c>
      <c r="Q167" s="137">
        <f t="shared" si="42"/>
        <v>1</v>
      </c>
      <c r="R167" s="137">
        <f t="shared" si="42"/>
        <v>1</v>
      </c>
      <c r="S167" s="137">
        <f t="shared" ref="R167:AF174" si="43">R167</f>
        <v>1</v>
      </c>
      <c r="T167" s="137">
        <f t="shared" si="43"/>
        <v>1</v>
      </c>
      <c r="U167" s="137">
        <f t="shared" si="43"/>
        <v>1</v>
      </c>
      <c r="V167" s="137">
        <f t="shared" si="43"/>
        <v>1</v>
      </c>
      <c r="W167" s="137">
        <f t="shared" si="43"/>
        <v>1</v>
      </c>
      <c r="X167" s="137">
        <f t="shared" si="43"/>
        <v>1</v>
      </c>
      <c r="Y167" s="137">
        <f t="shared" si="43"/>
        <v>1</v>
      </c>
      <c r="Z167" s="137">
        <f t="shared" si="43"/>
        <v>1</v>
      </c>
      <c r="AA167" s="137">
        <f t="shared" si="43"/>
        <v>1</v>
      </c>
      <c r="AB167" s="137">
        <f t="shared" si="43"/>
        <v>1</v>
      </c>
      <c r="AC167" s="137">
        <f t="shared" si="43"/>
        <v>1</v>
      </c>
      <c r="AD167" s="137">
        <f t="shared" si="43"/>
        <v>1</v>
      </c>
      <c r="AE167" s="137">
        <f t="shared" si="43"/>
        <v>1</v>
      </c>
      <c r="AF167" s="137">
        <f t="shared" si="43"/>
        <v>1</v>
      </c>
      <c r="AG167" s="139">
        <v>2.5</v>
      </c>
      <c r="AH167" s="56"/>
      <c r="AI167" s="57"/>
      <c r="AK167" s="58"/>
    </row>
    <row r="168" spans="1:37" x14ac:dyDescent="0.25">
      <c r="A168" s="124" t="s">
        <v>172</v>
      </c>
      <c r="B168" s="136">
        <v>0.42</v>
      </c>
      <c r="C168" s="137">
        <f t="shared" si="42"/>
        <v>0.42</v>
      </c>
      <c r="D168" s="137">
        <f t="shared" si="42"/>
        <v>0.42</v>
      </c>
      <c r="E168" s="137">
        <f t="shared" si="42"/>
        <v>0.42</v>
      </c>
      <c r="F168" s="137">
        <f t="shared" si="42"/>
        <v>0.42</v>
      </c>
      <c r="G168" s="137">
        <f t="shared" si="42"/>
        <v>0.42</v>
      </c>
      <c r="H168" s="137">
        <f t="shared" si="42"/>
        <v>0.42</v>
      </c>
      <c r="I168" s="137">
        <f t="shared" si="42"/>
        <v>0.42</v>
      </c>
      <c r="J168" s="137">
        <f t="shared" si="42"/>
        <v>0.42</v>
      </c>
      <c r="K168" s="137">
        <f t="shared" si="42"/>
        <v>0.42</v>
      </c>
      <c r="L168" s="137">
        <f t="shared" si="42"/>
        <v>0.42</v>
      </c>
      <c r="M168" s="137">
        <f t="shared" si="42"/>
        <v>0.42</v>
      </c>
      <c r="N168" s="137">
        <f t="shared" si="42"/>
        <v>0.42</v>
      </c>
      <c r="O168" s="137">
        <f t="shared" si="42"/>
        <v>0.42</v>
      </c>
      <c r="P168" s="137">
        <f t="shared" si="42"/>
        <v>0.42</v>
      </c>
      <c r="Q168" s="137">
        <f t="shared" si="42"/>
        <v>0.42</v>
      </c>
      <c r="R168" s="137">
        <f t="shared" si="43"/>
        <v>0.42</v>
      </c>
      <c r="S168" s="137">
        <f t="shared" si="43"/>
        <v>0.42</v>
      </c>
      <c r="T168" s="137">
        <f t="shared" si="43"/>
        <v>0.42</v>
      </c>
      <c r="U168" s="137">
        <f t="shared" si="43"/>
        <v>0.42</v>
      </c>
      <c r="V168" s="137">
        <f t="shared" si="43"/>
        <v>0.42</v>
      </c>
      <c r="W168" s="137">
        <f t="shared" si="43"/>
        <v>0.42</v>
      </c>
      <c r="X168" s="137">
        <f t="shared" si="43"/>
        <v>0.42</v>
      </c>
      <c r="Y168" s="137">
        <f t="shared" si="43"/>
        <v>0.42</v>
      </c>
      <c r="Z168" s="137">
        <f t="shared" si="43"/>
        <v>0.42</v>
      </c>
      <c r="AA168" s="137">
        <f t="shared" si="43"/>
        <v>0.42</v>
      </c>
      <c r="AB168" s="137">
        <f t="shared" si="43"/>
        <v>0.42</v>
      </c>
      <c r="AC168" s="137">
        <f t="shared" si="43"/>
        <v>0.42</v>
      </c>
      <c r="AD168" s="137">
        <f t="shared" si="43"/>
        <v>0.42</v>
      </c>
      <c r="AE168" s="137">
        <f t="shared" si="43"/>
        <v>0.42</v>
      </c>
      <c r="AF168" s="137">
        <f t="shared" si="43"/>
        <v>0.42</v>
      </c>
      <c r="AG168" s="139">
        <v>2.5</v>
      </c>
      <c r="AH168" s="56"/>
      <c r="AI168" s="57"/>
      <c r="AK168" s="58"/>
    </row>
    <row r="169" spans="1:37" x14ac:dyDescent="0.25">
      <c r="A169" s="124" t="s">
        <v>173</v>
      </c>
      <c r="B169" s="136">
        <v>0.46</v>
      </c>
      <c r="C169" s="137">
        <f t="shared" si="42"/>
        <v>0.46</v>
      </c>
      <c r="D169" s="137">
        <f t="shared" si="42"/>
        <v>0.46</v>
      </c>
      <c r="E169" s="137">
        <f t="shared" si="42"/>
        <v>0.46</v>
      </c>
      <c r="F169" s="137">
        <f t="shared" si="42"/>
        <v>0.46</v>
      </c>
      <c r="G169" s="137">
        <f t="shared" si="42"/>
        <v>0.46</v>
      </c>
      <c r="H169" s="137">
        <f t="shared" si="42"/>
        <v>0.46</v>
      </c>
      <c r="I169" s="137">
        <f t="shared" si="42"/>
        <v>0.46</v>
      </c>
      <c r="J169" s="137">
        <f t="shared" si="42"/>
        <v>0.46</v>
      </c>
      <c r="K169" s="137">
        <f t="shared" si="42"/>
        <v>0.46</v>
      </c>
      <c r="L169" s="137">
        <f t="shared" si="42"/>
        <v>0.46</v>
      </c>
      <c r="M169" s="137">
        <f t="shared" si="42"/>
        <v>0.46</v>
      </c>
      <c r="N169" s="137">
        <f t="shared" si="42"/>
        <v>0.46</v>
      </c>
      <c r="O169" s="137">
        <f t="shared" si="42"/>
        <v>0.46</v>
      </c>
      <c r="P169" s="137">
        <f t="shared" si="42"/>
        <v>0.46</v>
      </c>
      <c r="Q169" s="137">
        <f t="shared" si="42"/>
        <v>0.46</v>
      </c>
      <c r="R169" s="137">
        <f t="shared" si="43"/>
        <v>0.46</v>
      </c>
      <c r="S169" s="137">
        <f t="shared" si="43"/>
        <v>0.46</v>
      </c>
      <c r="T169" s="137">
        <f t="shared" si="43"/>
        <v>0.46</v>
      </c>
      <c r="U169" s="137">
        <f t="shared" si="43"/>
        <v>0.46</v>
      </c>
      <c r="V169" s="137">
        <f t="shared" si="43"/>
        <v>0.46</v>
      </c>
      <c r="W169" s="137">
        <f t="shared" si="43"/>
        <v>0.46</v>
      </c>
      <c r="X169" s="137">
        <f t="shared" si="43"/>
        <v>0.46</v>
      </c>
      <c r="Y169" s="137">
        <f t="shared" si="43"/>
        <v>0.46</v>
      </c>
      <c r="Z169" s="137">
        <f t="shared" si="43"/>
        <v>0.46</v>
      </c>
      <c r="AA169" s="137">
        <f t="shared" si="43"/>
        <v>0.46</v>
      </c>
      <c r="AB169" s="137">
        <f t="shared" si="43"/>
        <v>0.46</v>
      </c>
      <c r="AC169" s="137">
        <f t="shared" si="43"/>
        <v>0.46</v>
      </c>
      <c r="AD169" s="137">
        <f t="shared" si="43"/>
        <v>0.46</v>
      </c>
      <c r="AE169" s="137">
        <f t="shared" si="43"/>
        <v>0.46</v>
      </c>
      <c r="AF169" s="137">
        <f t="shared" si="43"/>
        <v>0.46</v>
      </c>
      <c r="AG169" s="139">
        <v>2.4</v>
      </c>
      <c r="AH169" s="56"/>
      <c r="AI169" s="57"/>
      <c r="AK169" s="58"/>
    </row>
    <row r="170" spans="1:37" x14ac:dyDescent="0.25">
      <c r="A170" s="124" t="s">
        <v>174</v>
      </c>
      <c r="B170" s="136">
        <v>0.85</v>
      </c>
      <c r="C170" s="137">
        <f t="shared" si="42"/>
        <v>0.85</v>
      </c>
      <c r="D170" s="137">
        <f t="shared" si="42"/>
        <v>0.85</v>
      </c>
      <c r="E170" s="137">
        <f t="shared" si="42"/>
        <v>0.85</v>
      </c>
      <c r="F170" s="137">
        <f t="shared" si="42"/>
        <v>0.85</v>
      </c>
      <c r="G170" s="137">
        <f t="shared" si="42"/>
        <v>0.85</v>
      </c>
      <c r="H170" s="137">
        <f t="shared" si="42"/>
        <v>0.85</v>
      </c>
      <c r="I170" s="137">
        <f t="shared" si="42"/>
        <v>0.85</v>
      </c>
      <c r="J170" s="137">
        <f t="shared" si="42"/>
        <v>0.85</v>
      </c>
      <c r="K170" s="137">
        <f t="shared" si="42"/>
        <v>0.85</v>
      </c>
      <c r="L170" s="137">
        <f t="shared" si="42"/>
        <v>0.85</v>
      </c>
      <c r="M170" s="137">
        <f t="shared" si="42"/>
        <v>0.85</v>
      </c>
      <c r="N170" s="137">
        <f t="shared" si="42"/>
        <v>0.85</v>
      </c>
      <c r="O170" s="137">
        <f t="shared" si="42"/>
        <v>0.85</v>
      </c>
      <c r="P170" s="137">
        <f t="shared" si="42"/>
        <v>0.85</v>
      </c>
      <c r="Q170" s="137">
        <f t="shared" si="42"/>
        <v>0.85</v>
      </c>
      <c r="R170" s="137">
        <f t="shared" si="43"/>
        <v>0.85</v>
      </c>
      <c r="S170" s="137">
        <f t="shared" si="43"/>
        <v>0.85</v>
      </c>
      <c r="T170" s="137">
        <f t="shared" si="43"/>
        <v>0.85</v>
      </c>
      <c r="U170" s="137">
        <f t="shared" si="43"/>
        <v>0.85</v>
      </c>
      <c r="V170" s="137">
        <f t="shared" si="43"/>
        <v>0.85</v>
      </c>
      <c r="W170" s="137">
        <f t="shared" si="43"/>
        <v>0.85</v>
      </c>
      <c r="X170" s="137">
        <f t="shared" si="43"/>
        <v>0.85</v>
      </c>
      <c r="Y170" s="137">
        <f t="shared" si="43"/>
        <v>0.85</v>
      </c>
      <c r="Z170" s="137">
        <f t="shared" si="43"/>
        <v>0.85</v>
      </c>
      <c r="AA170" s="137">
        <f t="shared" si="43"/>
        <v>0.85</v>
      </c>
      <c r="AB170" s="137">
        <f t="shared" si="43"/>
        <v>0.85</v>
      </c>
      <c r="AC170" s="137">
        <f t="shared" si="43"/>
        <v>0.85</v>
      </c>
      <c r="AD170" s="137">
        <f t="shared" si="43"/>
        <v>0.85</v>
      </c>
      <c r="AE170" s="137">
        <f t="shared" si="43"/>
        <v>0.85</v>
      </c>
      <c r="AF170" s="137">
        <f t="shared" si="43"/>
        <v>0.85</v>
      </c>
      <c r="AG170" s="139">
        <v>2.4</v>
      </c>
      <c r="AH170" s="56"/>
      <c r="AI170" s="57"/>
      <c r="AK170" s="58"/>
    </row>
    <row r="171" spans="1:37" x14ac:dyDescent="0.25">
      <c r="A171" s="124" t="s">
        <v>175</v>
      </c>
      <c r="B171" s="136">
        <v>0.9</v>
      </c>
      <c r="C171" s="137">
        <f t="shared" si="42"/>
        <v>0.9</v>
      </c>
      <c r="D171" s="137">
        <f t="shared" si="42"/>
        <v>0.9</v>
      </c>
      <c r="E171" s="137">
        <f t="shared" si="42"/>
        <v>0.9</v>
      </c>
      <c r="F171" s="137">
        <f t="shared" si="42"/>
        <v>0.9</v>
      </c>
      <c r="G171" s="137">
        <f t="shared" si="42"/>
        <v>0.9</v>
      </c>
      <c r="H171" s="137">
        <f t="shared" si="42"/>
        <v>0.9</v>
      </c>
      <c r="I171" s="137">
        <f t="shared" si="42"/>
        <v>0.9</v>
      </c>
      <c r="J171" s="137">
        <f t="shared" si="42"/>
        <v>0.9</v>
      </c>
      <c r="K171" s="137">
        <f t="shared" si="42"/>
        <v>0.9</v>
      </c>
      <c r="L171" s="137">
        <f t="shared" si="42"/>
        <v>0.9</v>
      </c>
      <c r="M171" s="137">
        <f t="shared" si="42"/>
        <v>0.9</v>
      </c>
      <c r="N171" s="137">
        <f t="shared" si="42"/>
        <v>0.9</v>
      </c>
      <c r="O171" s="137">
        <f t="shared" si="42"/>
        <v>0.9</v>
      </c>
      <c r="P171" s="137">
        <f t="shared" si="42"/>
        <v>0.9</v>
      </c>
      <c r="Q171" s="137">
        <f t="shared" si="42"/>
        <v>0.9</v>
      </c>
      <c r="R171" s="137">
        <f t="shared" si="43"/>
        <v>0.9</v>
      </c>
      <c r="S171" s="137">
        <f t="shared" si="43"/>
        <v>0.9</v>
      </c>
      <c r="T171" s="137">
        <f t="shared" si="43"/>
        <v>0.9</v>
      </c>
      <c r="U171" s="137">
        <f t="shared" si="43"/>
        <v>0.9</v>
      </c>
      <c r="V171" s="137">
        <f t="shared" si="43"/>
        <v>0.9</v>
      </c>
      <c r="W171" s="137">
        <f t="shared" si="43"/>
        <v>0.9</v>
      </c>
      <c r="X171" s="137">
        <f t="shared" si="43"/>
        <v>0.9</v>
      </c>
      <c r="Y171" s="137">
        <f t="shared" si="43"/>
        <v>0.9</v>
      </c>
      <c r="Z171" s="137">
        <f t="shared" si="43"/>
        <v>0.9</v>
      </c>
      <c r="AA171" s="137">
        <f t="shared" si="43"/>
        <v>0.9</v>
      </c>
      <c r="AB171" s="137">
        <f t="shared" si="43"/>
        <v>0.9</v>
      </c>
      <c r="AC171" s="137">
        <f t="shared" si="43"/>
        <v>0.9</v>
      </c>
      <c r="AD171" s="137">
        <f t="shared" si="43"/>
        <v>0.9</v>
      </c>
      <c r="AE171" s="137">
        <f t="shared" si="43"/>
        <v>0.9</v>
      </c>
      <c r="AF171" s="137">
        <f t="shared" si="43"/>
        <v>0.9</v>
      </c>
      <c r="AG171" s="139">
        <v>2.2000000000000002</v>
      </c>
      <c r="AH171" s="56"/>
      <c r="AI171" s="57"/>
      <c r="AK171" s="58"/>
    </row>
    <row r="172" spans="1:37" x14ac:dyDescent="0.25">
      <c r="A172" s="124" t="s">
        <v>176</v>
      </c>
      <c r="B172" s="136">
        <v>0.44</v>
      </c>
      <c r="C172" s="137">
        <f t="shared" si="42"/>
        <v>0.44</v>
      </c>
      <c r="D172" s="137">
        <f t="shared" si="42"/>
        <v>0.44</v>
      </c>
      <c r="E172" s="137">
        <f t="shared" si="42"/>
        <v>0.44</v>
      </c>
      <c r="F172" s="137">
        <f t="shared" si="42"/>
        <v>0.44</v>
      </c>
      <c r="G172" s="137">
        <f t="shared" si="42"/>
        <v>0.44</v>
      </c>
      <c r="H172" s="137">
        <f t="shared" si="42"/>
        <v>0.44</v>
      </c>
      <c r="I172" s="137">
        <f t="shared" si="42"/>
        <v>0.44</v>
      </c>
      <c r="J172" s="137">
        <f t="shared" si="42"/>
        <v>0.44</v>
      </c>
      <c r="K172" s="137">
        <f t="shared" si="42"/>
        <v>0.44</v>
      </c>
      <c r="L172" s="137">
        <f t="shared" si="42"/>
        <v>0.44</v>
      </c>
      <c r="M172" s="137">
        <f t="shared" si="42"/>
        <v>0.44</v>
      </c>
      <c r="N172" s="137">
        <f t="shared" si="42"/>
        <v>0.44</v>
      </c>
      <c r="O172" s="137">
        <f t="shared" si="42"/>
        <v>0.44</v>
      </c>
      <c r="P172" s="137">
        <f t="shared" si="42"/>
        <v>0.44</v>
      </c>
      <c r="Q172" s="137">
        <f t="shared" si="42"/>
        <v>0.44</v>
      </c>
      <c r="R172" s="137">
        <f t="shared" si="43"/>
        <v>0.44</v>
      </c>
      <c r="S172" s="137">
        <f t="shared" si="43"/>
        <v>0.44</v>
      </c>
      <c r="T172" s="137">
        <f t="shared" si="43"/>
        <v>0.44</v>
      </c>
      <c r="U172" s="137">
        <f t="shared" si="43"/>
        <v>0.44</v>
      </c>
      <c r="V172" s="137">
        <f t="shared" si="43"/>
        <v>0.44</v>
      </c>
      <c r="W172" s="137">
        <f t="shared" si="43"/>
        <v>0.44</v>
      </c>
      <c r="X172" s="137">
        <f t="shared" si="43"/>
        <v>0.44</v>
      </c>
      <c r="Y172" s="137">
        <f t="shared" si="43"/>
        <v>0.44</v>
      </c>
      <c r="Z172" s="137">
        <f t="shared" si="43"/>
        <v>0.44</v>
      </c>
      <c r="AA172" s="137">
        <f t="shared" si="43"/>
        <v>0.44</v>
      </c>
      <c r="AB172" s="137">
        <f t="shared" si="43"/>
        <v>0.44</v>
      </c>
      <c r="AC172" s="137">
        <f t="shared" si="43"/>
        <v>0.44</v>
      </c>
      <c r="AD172" s="137">
        <f t="shared" si="43"/>
        <v>0.44</v>
      </c>
      <c r="AE172" s="137">
        <f t="shared" si="43"/>
        <v>0.44</v>
      </c>
      <c r="AF172" s="137">
        <f t="shared" si="43"/>
        <v>0.44</v>
      </c>
      <c r="AG172" s="139">
        <v>2</v>
      </c>
      <c r="AH172" s="56"/>
      <c r="AI172" s="57"/>
      <c r="AK172" s="58"/>
    </row>
    <row r="173" spans="1:37" x14ac:dyDescent="0.25">
      <c r="A173" s="124" t="s">
        <v>177</v>
      </c>
      <c r="B173" s="136">
        <v>2.1</v>
      </c>
      <c r="C173" s="137">
        <f t="shared" si="42"/>
        <v>2.1</v>
      </c>
      <c r="D173" s="137">
        <f t="shared" si="42"/>
        <v>2.1</v>
      </c>
      <c r="E173" s="137">
        <f t="shared" si="42"/>
        <v>2.1</v>
      </c>
      <c r="F173" s="137">
        <f t="shared" si="42"/>
        <v>2.1</v>
      </c>
      <c r="G173" s="137">
        <f t="shared" si="42"/>
        <v>2.1</v>
      </c>
      <c r="H173" s="137">
        <f t="shared" si="42"/>
        <v>2.1</v>
      </c>
      <c r="I173" s="137">
        <f t="shared" si="42"/>
        <v>2.1</v>
      </c>
      <c r="J173" s="137">
        <f t="shared" si="42"/>
        <v>2.1</v>
      </c>
      <c r="K173" s="137">
        <f t="shared" si="42"/>
        <v>2.1</v>
      </c>
      <c r="L173" s="137">
        <f t="shared" si="42"/>
        <v>2.1</v>
      </c>
      <c r="M173" s="137">
        <f t="shared" si="42"/>
        <v>2.1</v>
      </c>
      <c r="N173" s="137">
        <f t="shared" si="42"/>
        <v>2.1</v>
      </c>
      <c r="O173" s="137">
        <f t="shared" si="42"/>
        <v>2.1</v>
      </c>
      <c r="P173" s="137">
        <f t="shared" si="42"/>
        <v>2.1</v>
      </c>
      <c r="Q173" s="137">
        <f t="shared" si="42"/>
        <v>2.1</v>
      </c>
      <c r="R173" s="137">
        <f t="shared" si="43"/>
        <v>2.1</v>
      </c>
      <c r="S173" s="137">
        <f t="shared" si="43"/>
        <v>2.1</v>
      </c>
      <c r="T173" s="137">
        <f t="shared" si="43"/>
        <v>2.1</v>
      </c>
      <c r="U173" s="137">
        <f t="shared" si="43"/>
        <v>2.1</v>
      </c>
      <c r="V173" s="137">
        <f t="shared" si="43"/>
        <v>2.1</v>
      </c>
      <c r="W173" s="137">
        <f t="shared" si="43"/>
        <v>2.1</v>
      </c>
      <c r="X173" s="137">
        <f t="shared" si="43"/>
        <v>2.1</v>
      </c>
      <c r="Y173" s="137">
        <f t="shared" si="43"/>
        <v>2.1</v>
      </c>
      <c r="Z173" s="137">
        <f t="shared" si="43"/>
        <v>2.1</v>
      </c>
      <c r="AA173" s="137">
        <f t="shared" si="43"/>
        <v>2.1</v>
      </c>
      <c r="AB173" s="137">
        <f t="shared" si="43"/>
        <v>2.1</v>
      </c>
      <c r="AC173" s="137">
        <f t="shared" si="43"/>
        <v>2.1</v>
      </c>
      <c r="AD173" s="137">
        <f t="shared" si="43"/>
        <v>2.1</v>
      </c>
      <c r="AE173" s="137">
        <f t="shared" si="43"/>
        <v>2.1</v>
      </c>
      <c r="AF173" s="137">
        <f t="shared" si="43"/>
        <v>2.1</v>
      </c>
      <c r="AG173" s="139">
        <v>2</v>
      </c>
      <c r="AH173" s="56"/>
      <c r="AI173" s="57"/>
      <c r="AK173" s="58"/>
    </row>
    <row r="174" spans="1:37" x14ac:dyDescent="0.25">
      <c r="A174" s="124" t="s">
        <v>178</v>
      </c>
      <c r="B174" s="136">
        <v>0.9</v>
      </c>
      <c r="C174" s="137">
        <f t="shared" si="42"/>
        <v>0.9</v>
      </c>
      <c r="D174" s="137">
        <f t="shared" si="42"/>
        <v>0.9</v>
      </c>
      <c r="E174" s="137">
        <f t="shared" si="42"/>
        <v>0.9</v>
      </c>
      <c r="F174" s="137">
        <f t="shared" si="42"/>
        <v>0.9</v>
      </c>
      <c r="G174" s="137">
        <f t="shared" si="42"/>
        <v>0.9</v>
      </c>
      <c r="H174" s="137">
        <f t="shared" si="42"/>
        <v>0.9</v>
      </c>
      <c r="I174" s="137">
        <f t="shared" si="42"/>
        <v>0.9</v>
      </c>
      <c r="J174" s="137">
        <f t="shared" si="42"/>
        <v>0.9</v>
      </c>
      <c r="K174" s="137">
        <f t="shared" si="42"/>
        <v>0.9</v>
      </c>
      <c r="L174" s="137">
        <f t="shared" si="42"/>
        <v>0.9</v>
      </c>
      <c r="M174" s="137">
        <f t="shared" si="42"/>
        <v>0.9</v>
      </c>
      <c r="N174" s="137">
        <f t="shared" si="42"/>
        <v>0.9</v>
      </c>
      <c r="O174" s="137">
        <f t="shared" si="42"/>
        <v>0.9</v>
      </c>
      <c r="P174" s="137">
        <f t="shared" si="42"/>
        <v>0.9</v>
      </c>
      <c r="Q174" s="137">
        <f t="shared" si="42"/>
        <v>0.9</v>
      </c>
      <c r="R174" s="137">
        <f t="shared" si="43"/>
        <v>0.9</v>
      </c>
      <c r="S174" s="137">
        <f t="shared" si="43"/>
        <v>0.9</v>
      </c>
      <c r="T174" s="137">
        <f t="shared" si="43"/>
        <v>0.9</v>
      </c>
      <c r="U174" s="137">
        <f t="shared" si="43"/>
        <v>0.9</v>
      </c>
      <c r="V174" s="137">
        <f t="shared" si="43"/>
        <v>0.9</v>
      </c>
      <c r="W174" s="137">
        <f t="shared" si="43"/>
        <v>0.9</v>
      </c>
      <c r="X174" s="137">
        <f t="shared" si="43"/>
        <v>0.9</v>
      </c>
      <c r="Y174" s="137">
        <f t="shared" si="43"/>
        <v>0.9</v>
      </c>
      <c r="Z174" s="137">
        <f t="shared" si="43"/>
        <v>0.9</v>
      </c>
      <c r="AA174" s="137">
        <f t="shared" si="43"/>
        <v>0.9</v>
      </c>
      <c r="AB174" s="137">
        <f t="shared" si="43"/>
        <v>0.9</v>
      </c>
      <c r="AC174" s="137">
        <f t="shared" si="43"/>
        <v>0.9</v>
      </c>
      <c r="AD174" s="137">
        <f t="shared" si="43"/>
        <v>0.9</v>
      </c>
      <c r="AE174" s="137">
        <f t="shared" si="43"/>
        <v>0.9</v>
      </c>
      <c r="AF174" s="137">
        <f t="shared" si="43"/>
        <v>0.9</v>
      </c>
      <c r="AG174" s="139">
        <v>2</v>
      </c>
      <c r="AH174" s="56"/>
      <c r="AI174" s="57"/>
      <c r="AK174" s="58"/>
    </row>
    <row r="175" spans="1:37" x14ac:dyDescent="0.25">
      <c r="A175" s="124" t="s">
        <v>179</v>
      </c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9">
        <v>1.8</v>
      </c>
      <c r="AH175" s="56"/>
      <c r="AI175" s="57"/>
      <c r="AK175" s="58"/>
    </row>
    <row r="176" spans="1:37" x14ac:dyDescent="0.25">
      <c r="A176" s="124" t="s">
        <v>180</v>
      </c>
      <c r="B176" s="136">
        <v>0.57999999999999996</v>
      </c>
      <c r="C176" s="137">
        <f t="shared" ref="C176:R188" si="44">B176</f>
        <v>0.57999999999999996</v>
      </c>
      <c r="D176" s="137">
        <f t="shared" si="44"/>
        <v>0.57999999999999996</v>
      </c>
      <c r="E176" s="137">
        <f t="shared" si="44"/>
        <v>0.57999999999999996</v>
      </c>
      <c r="F176" s="137">
        <f t="shared" si="44"/>
        <v>0.57999999999999996</v>
      </c>
      <c r="G176" s="137">
        <f t="shared" si="44"/>
        <v>0.57999999999999996</v>
      </c>
      <c r="H176" s="137">
        <f t="shared" si="44"/>
        <v>0.57999999999999996</v>
      </c>
      <c r="I176" s="137">
        <f t="shared" si="44"/>
        <v>0.57999999999999996</v>
      </c>
      <c r="J176" s="137">
        <f t="shared" si="44"/>
        <v>0.57999999999999996</v>
      </c>
      <c r="K176" s="137">
        <f t="shared" si="44"/>
        <v>0.57999999999999996</v>
      </c>
      <c r="L176" s="137">
        <f t="shared" si="44"/>
        <v>0.57999999999999996</v>
      </c>
      <c r="M176" s="137">
        <f t="shared" si="44"/>
        <v>0.57999999999999996</v>
      </c>
      <c r="N176" s="137">
        <f t="shared" si="44"/>
        <v>0.57999999999999996</v>
      </c>
      <c r="O176" s="137">
        <f t="shared" si="44"/>
        <v>0.57999999999999996</v>
      </c>
      <c r="P176" s="137">
        <f t="shared" si="44"/>
        <v>0.57999999999999996</v>
      </c>
      <c r="Q176" s="137">
        <f t="shared" si="44"/>
        <v>0.57999999999999996</v>
      </c>
      <c r="R176" s="137">
        <f t="shared" si="44"/>
        <v>0.57999999999999996</v>
      </c>
      <c r="S176" s="137">
        <f t="shared" ref="R176:AF188" si="45">R176</f>
        <v>0.57999999999999996</v>
      </c>
      <c r="T176" s="137">
        <f t="shared" si="45"/>
        <v>0.57999999999999996</v>
      </c>
      <c r="U176" s="137">
        <f t="shared" si="45"/>
        <v>0.57999999999999996</v>
      </c>
      <c r="V176" s="137">
        <f t="shared" si="45"/>
        <v>0.57999999999999996</v>
      </c>
      <c r="W176" s="137">
        <f t="shared" si="45"/>
        <v>0.57999999999999996</v>
      </c>
      <c r="X176" s="137">
        <f t="shared" si="45"/>
        <v>0.57999999999999996</v>
      </c>
      <c r="Y176" s="137">
        <f t="shared" si="45"/>
        <v>0.57999999999999996</v>
      </c>
      <c r="Z176" s="137">
        <f t="shared" si="45"/>
        <v>0.57999999999999996</v>
      </c>
      <c r="AA176" s="137">
        <f t="shared" si="45"/>
        <v>0.57999999999999996</v>
      </c>
      <c r="AB176" s="137">
        <f t="shared" si="45"/>
        <v>0.57999999999999996</v>
      </c>
      <c r="AC176" s="137">
        <f t="shared" si="45"/>
        <v>0.57999999999999996</v>
      </c>
      <c r="AD176" s="137">
        <f t="shared" si="45"/>
        <v>0.57999999999999996</v>
      </c>
      <c r="AE176" s="137">
        <f t="shared" si="45"/>
        <v>0.57999999999999996</v>
      </c>
      <c r="AF176" s="137">
        <f t="shared" si="45"/>
        <v>0.57999999999999996</v>
      </c>
      <c r="AG176" s="139">
        <v>1.8</v>
      </c>
      <c r="AH176" s="56"/>
      <c r="AI176" s="57"/>
      <c r="AK176" s="58"/>
    </row>
    <row r="177" spans="1:37" x14ac:dyDescent="0.25">
      <c r="A177" s="124" t="s">
        <v>181</v>
      </c>
      <c r="B177" s="136">
        <v>0.8</v>
      </c>
      <c r="C177" s="137">
        <f t="shared" si="44"/>
        <v>0.8</v>
      </c>
      <c r="D177" s="137">
        <f t="shared" si="44"/>
        <v>0.8</v>
      </c>
      <c r="E177" s="137">
        <f t="shared" si="44"/>
        <v>0.8</v>
      </c>
      <c r="F177" s="137">
        <f t="shared" si="44"/>
        <v>0.8</v>
      </c>
      <c r="G177" s="137">
        <f t="shared" si="44"/>
        <v>0.8</v>
      </c>
      <c r="H177" s="137">
        <f t="shared" si="44"/>
        <v>0.8</v>
      </c>
      <c r="I177" s="137">
        <f t="shared" si="44"/>
        <v>0.8</v>
      </c>
      <c r="J177" s="137">
        <f t="shared" si="44"/>
        <v>0.8</v>
      </c>
      <c r="K177" s="137">
        <f t="shared" si="44"/>
        <v>0.8</v>
      </c>
      <c r="L177" s="137">
        <f t="shared" si="44"/>
        <v>0.8</v>
      </c>
      <c r="M177" s="137">
        <f t="shared" si="44"/>
        <v>0.8</v>
      </c>
      <c r="N177" s="137">
        <f t="shared" si="44"/>
        <v>0.8</v>
      </c>
      <c r="O177" s="137">
        <f t="shared" si="44"/>
        <v>0.8</v>
      </c>
      <c r="P177" s="137">
        <f t="shared" si="44"/>
        <v>0.8</v>
      </c>
      <c r="Q177" s="137">
        <f t="shared" si="44"/>
        <v>0.8</v>
      </c>
      <c r="R177" s="137">
        <f t="shared" si="44"/>
        <v>0.8</v>
      </c>
      <c r="S177" s="137">
        <f t="shared" si="45"/>
        <v>0.8</v>
      </c>
      <c r="T177" s="137">
        <f t="shared" si="45"/>
        <v>0.8</v>
      </c>
      <c r="U177" s="137">
        <f t="shared" si="45"/>
        <v>0.8</v>
      </c>
      <c r="V177" s="137">
        <f t="shared" si="45"/>
        <v>0.8</v>
      </c>
      <c r="W177" s="137">
        <f t="shared" si="45"/>
        <v>0.8</v>
      </c>
      <c r="X177" s="137">
        <f t="shared" si="45"/>
        <v>0.8</v>
      </c>
      <c r="Y177" s="137">
        <f t="shared" si="45"/>
        <v>0.8</v>
      </c>
      <c r="Z177" s="137">
        <f t="shared" si="45"/>
        <v>0.8</v>
      </c>
      <c r="AA177" s="137">
        <f t="shared" si="45"/>
        <v>0.8</v>
      </c>
      <c r="AB177" s="137">
        <f t="shared" si="45"/>
        <v>0.8</v>
      </c>
      <c r="AC177" s="137">
        <f t="shared" si="45"/>
        <v>0.8</v>
      </c>
      <c r="AD177" s="137">
        <f t="shared" si="45"/>
        <v>0.8</v>
      </c>
      <c r="AE177" s="137">
        <f t="shared" si="45"/>
        <v>0.8</v>
      </c>
      <c r="AF177" s="137">
        <f t="shared" si="45"/>
        <v>0.8</v>
      </c>
      <c r="AG177" s="139">
        <v>1.65</v>
      </c>
      <c r="AH177" s="56"/>
      <c r="AI177" s="57"/>
      <c r="AK177" s="58"/>
    </row>
    <row r="178" spans="1:37" x14ac:dyDescent="0.25">
      <c r="A178" s="124" t="s">
        <v>182</v>
      </c>
      <c r="B178" s="136">
        <v>0</v>
      </c>
      <c r="C178" s="137">
        <f t="shared" si="44"/>
        <v>0</v>
      </c>
      <c r="D178" s="137">
        <f t="shared" si="44"/>
        <v>0</v>
      </c>
      <c r="E178" s="137">
        <f t="shared" si="44"/>
        <v>0</v>
      </c>
      <c r="F178" s="137">
        <f t="shared" si="44"/>
        <v>0</v>
      </c>
      <c r="G178" s="137">
        <f t="shared" si="44"/>
        <v>0</v>
      </c>
      <c r="H178" s="137">
        <f t="shared" si="44"/>
        <v>0</v>
      </c>
      <c r="I178" s="137">
        <f t="shared" si="44"/>
        <v>0</v>
      </c>
      <c r="J178" s="137">
        <f t="shared" si="44"/>
        <v>0</v>
      </c>
      <c r="K178" s="137">
        <f t="shared" si="44"/>
        <v>0</v>
      </c>
      <c r="L178" s="137">
        <f t="shared" si="44"/>
        <v>0</v>
      </c>
      <c r="M178" s="137">
        <f t="shared" si="44"/>
        <v>0</v>
      </c>
      <c r="N178" s="137">
        <f t="shared" si="44"/>
        <v>0</v>
      </c>
      <c r="O178" s="137">
        <f t="shared" si="44"/>
        <v>0</v>
      </c>
      <c r="P178" s="137">
        <f t="shared" si="44"/>
        <v>0</v>
      </c>
      <c r="Q178" s="137">
        <f t="shared" si="44"/>
        <v>0</v>
      </c>
      <c r="R178" s="137">
        <f t="shared" si="44"/>
        <v>0</v>
      </c>
      <c r="S178" s="137">
        <f t="shared" si="45"/>
        <v>0</v>
      </c>
      <c r="T178" s="137">
        <f t="shared" si="45"/>
        <v>0</v>
      </c>
      <c r="U178" s="137">
        <f t="shared" si="45"/>
        <v>0</v>
      </c>
      <c r="V178" s="137">
        <f t="shared" si="45"/>
        <v>0</v>
      </c>
      <c r="W178" s="137">
        <f t="shared" si="45"/>
        <v>0</v>
      </c>
      <c r="X178" s="137">
        <f t="shared" si="45"/>
        <v>0</v>
      </c>
      <c r="Y178" s="137">
        <f t="shared" si="45"/>
        <v>0</v>
      </c>
      <c r="Z178" s="137">
        <f t="shared" si="45"/>
        <v>0</v>
      </c>
      <c r="AA178" s="137">
        <f t="shared" si="45"/>
        <v>0</v>
      </c>
      <c r="AB178" s="137">
        <f t="shared" si="45"/>
        <v>0</v>
      </c>
      <c r="AC178" s="137">
        <f t="shared" si="45"/>
        <v>0</v>
      </c>
      <c r="AD178" s="137">
        <f t="shared" si="45"/>
        <v>0</v>
      </c>
      <c r="AE178" s="137">
        <f t="shared" si="45"/>
        <v>0</v>
      </c>
      <c r="AF178" s="137">
        <f t="shared" si="45"/>
        <v>0</v>
      </c>
      <c r="AG178" s="139">
        <v>1.5</v>
      </c>
      <c r="AH178" s="56"/>
      <c r="AI178" s="57"/>
      <c r="AK178" s="58"/>
    </row>
    <row r="179" spans="1:37" x14ac:dyDescent="0.25">
      <c r="A179" s="124" t="s">
        <v>183</v>
      </c>
      <c r="B179" s="136">
        <v>0.6</v>
      </c>
      <c r="C179" s="137">
        <f t="shared" si="44"/>
        <v>0.6</v>
      </c>
      <c r="D179" s="137">
        <f t="shared" si="44"/>
        <v>0.6</v>
      </c>
      <c r="E179" s="137">
        <f t="shared" si="44"/>
        <v>0.6</v>
      </c>
      <c r="F179" s="137">
        <f t="shared" si="44"/>
        <v>0.6</v>
      </c>
      <c r="G179" s="137">
        <f t="shared" si="44"/>
        <v>0.6</v>
      </c>
      <c r="H179" s="137">
        <f t="shared" si="44"/>
        <v>0.6</v>
      </c>
      <c r="I179" s="137">
        <f t="shared" si="44"/>
        <v>0.6</v>
      </c>
      <c r="J179" s="137">
        <f t="shared" si="44"/>
        <v>0.6</v>
      </c>
      <c r="K179" s="137">
        <f t="shared" si="44"/>
        <v>0.6</v>
      </c>
      <c r="L179" s="137">
        <f t="shared" si="44"/>
        <v>0.6</v>
      </c>
      <c r="M179" s="137">
        <f t="shared" si="44"/>
        <v>0.6</v>
      </c>
      <c r="N179" s="137">
        <f t="shared" si="44"/>
        <v>0.6</v>
      </c>
      <c r="O179" s="137">
        <f t="shared" si="44"/>
        <v>0.6</v>
      </c>
      <c r="P179" s="137">
        <f t="shared" si="44"/>
        <v>0.6</v>
      </c>
      <c r="Q179" s="137">
        <f t="shared" si="44"/>
        <v>0.6</v>
      </c>
      <c r="R179" s="137">
        <f t="shared" si="44"/>
        <v>0.6</v>
      </c>
      <c r="S179" s="137">
        <f t="shared" si="45"/>
        <v>0.6</v>
      </c>
      <c r="T179" s="137">
        <f t="shared" si="45"/>
        <v>0.6</v>
      </c>
      <c r="U179" s="137">
        <f t="shared" si="45"/>
        <v>0.6</v>
      </c>
      <c r="V179" s="137">
        <f t="shared" si="45"/>
        <v>0.6</v>
      </c>
      <c r="W179" s="137">
        <f t="shared" si="45"/>
        <v>0.6</v>
      </c>
      <c r="X179" s="137">
        <f t="shared" si="45"/>
        <v>0.6</v>
      </c>
      <c r="Y179" s="137">
        <f t="shared" si="45"/>
        <v>0.6</v>
      </c>
      <c r="Z179" s="137">
        <f t="shared" si="45"/>
        <v>0.6</v>
      </c>
      <c r="AA179" s="137">
        <f t="shared" si="45"/>
        <v>0.6</v>
      </c>
      <c r="AB179" s="137">
        <f t="shared" si="45"/>
        <v>0.6</v>
      </c>
      <c r="AC179" s="137">
        <f t="shared" si="45"/>
        <v>0.6</v>
      </c>
      <c r="AD179" s="137">
        <f t="shared" si="45"/>
        <v>0.6</v>
      </c>
      <c r="AE179" s="137">
        <f t="shared" si="45"/>
        <v>0.6</v>
      </c>
      <c r="AF179" s="137">
        <f t="shared" si="45"/>
        <v>0.6</v>
      </c>
      <c r="AG179" s="139">
        <v>0.998</v>
      </c>
      <c r="AH179" s="56"/>
      <c r="AI179" s="57"/>
      <c r="AK179" s="58"/>
    </row>
    <row r="180" spans="1:37" x14ac:dyDescent="0.25">
      <c r="A180" s="124" t="s">
        <v>184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0.997</v>
      </c>
      <c r="AH180" s="56"/>
      <c r="AI180" s="57"/>
      <c r="AK180" s="58"/>
    </row>
    <row r="181" spans="1:37" x14ac:dyDescent="0.25">
      <c r="A181" s="124" t="s">
        <v>185</v>
      </c>
      <c r="B181" s="136">
        <v>0.35</v>
      </c>
      <c r="C181" s="137">
        <f t="shared" si="44"/>
        <v>0.35</v>
      </c>
      <c r="D181" s="137">
        <f t="shared" si="44"/>
        <v>0.35</v>
      </c>
      <c r="E181" s="137">
        <f t="shared" si="44"/>
        <v>0.35</v>
      </c>
      <c r="F181" s="137">
        <f t="shared" si="44"/>
        <v>0.35</v>
      </c>
      <c r="G181" s="137">
        <f t="shared" si="44"/>
        <v>0.35</v>
      </c>
      <c r="H181" s="137">
        <f t="shared" si="44"/>
        <v>0.35</v>
      </c>
      <c r="I181" s="137">
        <f t="shared" si="44"/>
        <v>0.35</v>
      </c>
      <c r="J181" s="137">
        <f t="shared" si="44"/>
        <v>0.35</v>
      </c>
      <c r="K181" s="137">
        <f t="shared" si="44"/>
        <v>0.35</v>
      </c>
      <c r="L181" s="137">
        <f t="shared" si="44"/>
        <v>0.35</v>
      </c>
      <c r="M181" s="137">
        <f t="shared" si="44"/>
        <v>0.35</v>
      </c>
      <c r="N181" s="137">
        <f t="shared" si="44"/>
        <v>0.35</v>
      </c>
      <c r="O181" s="137">
        <f t="shared" si="44"/>
        <v>0.35</v>
      </c>
      <c r="P181" s="137">
        <f t="shared" si="44"/>
        <v>0.35</v>
      </c>
      <c r="Q181" s="137">
        <f t="shared" si="44"/>
        <v>0.35</v>
      </c>
      <c r="R181" s="137">
        <f t="shared" si="44"/>
        <v>0.35</v>
      </c>
      <c r="S181" s="137">
        <f t="shared" si="45"/>
        <v>0.35</v>
      </c>
      <c r="T181" s="137">
        <f t="shared" si="45"/>
        <v>0.35</v>
      </c>
      <c r="U181" s="137">
        <f t="shared" si="45"/>
        <v>0.35</v>
      </c>
      <c r="V181" s="137">
        <f t="shared" si="45"/>
        <v>0.35</v>
      </c>
      <c r="W181" s="137">
        <f t="shared" si="45"/>
        <v>0.35</v>
      </c>
      <c r="X181" s="137">
        <f t="shared" si="45"/>
        <v>0.35</v>
      </c>
      <c r="Y181" s="137">
        <f t="shared" si="45"/>
        <v>0.35</v>
      </c>
      <c r="Z181" s="137">
        <f t="shared" si="45"/>
        <v>0.35</v>
      </c>
      <c r="AA181" s="137">
        <f t="shared" si="45"/>
        <v>0.35</v>
      </c>
      <c r="AB181" s="137">
        <f t="shared" si="45"/>
        <v>0.35</v>
      </c>
      <c r="AC181" s="137">
        <f t="shared" si="45"/>
        <v>0.35</v>
      </c>
      <c r="AD181" s="137">
        <f t="shared" si="45"/>
        <v>0.35</v>
      </c>
      <c r="AE181" s="137">
        <f t="shared" si="45"/>
        <v>0.35</v>
      </c>
      <c r="AF181" s="137">
        <f t="shared" si="45"/>
        <v>0.35</v>
      </c>
      <c r="AG181" s="139">
        <v>0.997</v>
      </c>
      <c r="AH181" s="56"/>
      <c r="AI181" s="57"/>
      <c r="AK181" s="58"/>
    </row>
    <row r="182" spans="1:37" x14ac:dyDescent="0.25">
      <c r="A182" s="124" t="s">
        <v>186</v>
      </c>
      <c r="B182" s="136">
        <v>0.28999999999999998</v>
      </c>
      <c r="C182" s="137">
        <f t="shared" si="44"/>
        <v>0.28999999999999998</v>
      </c>
      <c r="D182" s="137">
        <f t="shared" si="44"/>
        <v>0.28999999999999998</v>
      </c>
      <c r="E182" s="137">
        <f t="shared" si="44"/>
        <v>0.28999999999999998</v>
      </c>
      <c r="F182" s="137">
        <f t="shared" si="44"/>
        <v>0.28999999999999998</v>
      </c>
      <c r="G182" s="137">
        <f t="shared" si="44"/>
        <v>0.28999999999999998</v>
      </c>
      <c r="H182" s="137">
        <f t="shared" si="44"/>
        <v>0.28999999999999998</v>
      </c>
      <c r="I182" s="137">
        <f t="shared" si="44"/>
        <v>0.28999999999999998</v>
      </c>
      <c r="J182" s="137">
        <f t="shared" si="44"/>
        <v>0.28999999999999998</v>
      </c>
      <c r="K182" s="137">
        <f t="shared" si="44"/>
        <v>0.28999999999999998</v>
      </c>
      <c r="L182" s="137">
        <f t="shared" si="44"/>
        <v>0.28999999999999998</v>
      </c>
      <c r="M182" s="137">
        <f t="shared" si="44"/>
        <v>0.28999999999999998</v>
      </c>
      <c r="N182" s="137">
        <f t="shared" si="44"/>
        <v>0.28999999999999998</v>
      </c>
      <c r="O182" s="137">
        <f t="shared" si="44"/>
        <v>0.28999999999999998</v>
      </c>
      <c r="P182" s="137">
        <f t="shared" si="44"/>
        <v>0.28999999999999998</v>
      </c>
      <c r="Q182" s="137">
        <f t="shared" si="44"/>
        <v>0.28999999999999998</v>
      </c>
      <c r="R182" s="137">
        <f t="shared" si="44"/>
        <v>0.28999999999999998</v>
      </c>
      <c r="S182" s="137">
        <f t="shared" si="45"/>
        <v>0.28999999999999998</v>
      </c>
      <c r="T182" s="137">
        <f t="shared" si="45"/>
        <v>0.28999999999999998</v>
      </c>
      <c r="U182" s="137">
        <f t="shared" si="45"/>
        <v>0.28999999999999998</v>
      </c>
      <c r="V182" s="137">
        <f t="shared" si="45"/>
        <v>0.28999999999999998</v>
      </c>
      <c r="W182" s="137">
        <f t="shared" si="45"/>
        <v>0.28999999999999998</v>
      </c>
      <c r="X182" s="137">
        <f t="shared" si="45"/>
        <v>0.28999999999999998</v>
      </c>
      <c r="Y182" s="137">
        <f t="shared" si="45"/>
        <v>0.28999999999999998</v>
      </c>
      <c r="Z182" s="137">
        <f t="shared" si="45"/>
        <v>0.28999999999999998</v>
      </c>
      <c r="AA182" s="137">
        <f t="shared" si="45"/>
        <v>0.28999999999999998</v>
      </c>
      <c r="AB182" s="137">
        <f t="shared" si="45"/>
        <v>0.28999999999999998</v>
      </c>
      <c r="AC182" s="137">
        <f t="shared" si="45"/>
        <v>0.28999999999999998</v>
      </c>
      <c r="AD182" s="137">
        <f t="shared" si="45"/>
        <v>0.28999999999999998</v>
      </c>
      <c r="AE182" s="137">
        <f t="shared" si="45"/>
        <v>0.28999999999999998</v>
      </c>
      <c r="AF182" s="137">
        <f t="shared" si="45"/>
        <v>0.28999999999999998</v>
      </c>
      <c r="AG182" s="139">
        <v>0.996</v>
      </c>
      <c r="AH182" s="56"/>
      <c r="AI182" s="57"/>
      <c r="AK182" s="58"/>
    </row>
    <row r="183" spans="1:37" x14ac:dyDescent="0.25">
      <c r="A183" s="124" t="s">
        <v>187</v>
      </c>
      <c r="B183" s="136">
        <v>0.06</v>
      </c>
      <c r="C183" s="137">
        <f t="shared" si="44"/>
        <v>0.06</v>
      </c>
      <c r="D183" s="137">
        <f t="shared" si="44"/>
        <v>0.06</v>
      </c>
      <c r="E183" s="137">
        <f t="shared" si="44"/>
        <v>0.06</v>
      </c>
      <c r="F183" s="137">
        <f t="shared" si="44"/>
        <v>0.06</v>
      </c>
      <c r="G183" s="137">
        <f t="shared" si="44"/>
        <v>0.06</v>
      </c>
      <c r="H183" s="137">
        <f t="shared" si="44"/>
        <v>0.06</v>
      </c>
      <c r="I183" s="137">
        <f t="shared" si="44"/>
        <v>0.06</v>
      </c>
      <c r="J183" s="137">
        <f t="shared" si="44"/>
        <v>0.06</v>
      </c>
      <c r="K183" s="137">
        <f t="shared" si="44"/>
        <v>0.06</v>
      </c>
      <c r="L183" s="137">
        <f t="shared" si="44"/>
        <v>0.06</v>
      </c>
      <c r="M183" s="137">
        <f t="shared" si="44"/>
        <v>0.06</v>
      </c>
      <c r="N183" s="137">
        <f t="shared" si="44"/>
        <v>0.06</v>
      </c>
      <c r="O183" s="137">
        <f t="shared" si="44"/>
        <v>0.06</v>
      </c>
      <c r="P183" s="137">
        <f t="shared" si="44"/>
        <v>0.06</v>
      </c>
      <c r="Q183" s="137">
        <f t="shared" si="44"/>
        <v>0.06</v>
      </c>
      <c r="R183" s="137">
        <f t="shared" si="44"/>
        <v>0.06</v>
      </c>
      <c r="S183" s="137">
        <f t="shared" si="45"/>
        <v>0.06</v>
      </c>
      <c r="T183" s="137">
        <f t="shared" si="45"/>
        <v>0.06</v>
      </c>
      <c r="U183" s="137">
        <f t="shared" si="45"/>
        <v>0.06</v>
      </c>
      <c r="V183" s="137">
        <f t="shared" si="45"/>
        <v>0.06</v>
      </c>
      <c r="W183" s="137">
        <f t="shared" si="45"/>
        <v>0.06</v>
      </c>
      <c r="X183" s="137">
        <f t="shared" si="45"/>
        <v>0.06</v>
      </c>
      <c r="Y183" s="137">
        <f t="shared" si="45"/>
        <v>0.06</v>
      </c>
      <c r="Z183" s="137">
        <f t="shared" si="45"/>
        <v>0.06</v>
      </c>
      <c r="AA183" s="137">
        <f t="shared" si="45"/>
        <v>0.06</v>
      </c>
      <c r="AB183" s="137">
        <f t="shared" si="45"/>
        <v>0.06</v>
      </c>
      <c r="AC183" s="137">
        <f t="shared" si="45"/>
        <v>0.06</v>
      </c>
      <c r="AD183" s="137">
        <f t="shared" si="45"/>
        <v>0.06</v>
      </c>
      <c r="AE183" s="137">
        <f t="shared" si="45"/>
        <v>0.06</v>
      </c>
      <c r="AF183" s="137">
        <f t="shared" si="45"/>
        <v>0.06</v>
      </c>
      <c r="AG183" s="139">
        <v>0.996</v>
      </c>
      <c r="AH183" s="56"/>
      <c r="AI183" s="57"/>
      <c r="AK183" s="58"/>
    </row>
    <row r="184" spans="1:37" x14ac:dyDescent="0.25">
      <c r="A184" s="124" t="s">
        <v>188</v>
      </c>
      <c r="B184" s="136">
        <v>0.11</v>
      </c>
      <c r="C184" s="137">
        <f t="shared" si="44"/>
        <v>0.11</v>
      </c>
      <c r="D184" s="137">
        <f t="shared" si="44"/>
        <v>0.11</v>
      </c>
      <c r="E184" s="137">
        <f t="shared" si="44"/>
        <v>0.11</v>
      </c>
      <c r="F184" s="137">
        <f t="shared" si="44"/>
        <v>0.11</v>
      </c>
      <c r="G184" s="137">
        <f t="shared" si="44"/>
        <v>0.11</v>
      </c>
      <c r="H184" s="137">
        <f t="shared" si="44"/>
        <v>0.11</v>
      </c>
      <c r="I184" s="137">
        <f t="shared" si="44"/>
        <v>0.11</v>
      </c>
      <c r="J184" s="137">
        <f t="shared" si="44"/>
        <v>0.11</v>
      </c>
      <c r="K184" s="137">
        <f t="shared" si="44"/>
        <v>0.11</v>
      </c>
      <c r="L184" s="137">
        <f t="shared" si="44"/>
        <v>0.11</v>
      </c>
      <c r="M184" s="137">
        <f t="shared" si="44"/>
        <v>0.11</v>
      </c>
      <c r="N184" s="137">
        <f t="shared" si="44"/>
        <v>0.11</v>
      </c>
      <c r="O184" s="137">
        <f t="shared" si="44"/>
        <v>0.11</v>
      </c>
      <c r="P184" s="137">
        <f t="shared" si="44"/>
        <v>0.11</v>
      </c>
      <c r="Q184" s="137">
        <f t="shared" si="44"/>
        <v>0.11</v>
      </c>
      <c r="R184" s="137">
        <f t="shared" si="44"/>
        <v>0.11</v>
      </c>
      <c r="S184" s="137">
        <f t="shared" si="45"/>
        <v>0.11</v>
      </c>
      <c r="T184" s="137">
        <f t="shared" si="45"/>
        <v>0.11</v>
      </c>
      <c r="U184" s="137">
        <f t="shared" si="45"/>
        <v>0.11</v>
      </c>
      <c r="V184" s="137">
        <f t="shared" si="45"/>
        <v>0.11</v>
      </c>
      <c r="W184" s="137">
        <f t="shared" si="45"/>
        <v>0.11</v>
      </c>
      <c r="X184" s="137">
        <f t="shared" si="45"/>
        <v>0.11</v>
      </c>
      <c r="Y184" s="137">
        <f t="shared" si="45"/>
        <v>0.11</v>
      </c>
      <c r="Z184" s="137">
        <f t="shared" si="45"/>
        <v>0.11</v>
      </c>
      <c r="AA184" s="137">
        <f t="shared" si="45"/>
        <v>0.11</v>
      </c>
      <c r="AB184" s="137">
        <f t="shared" si="45"/>
        <v>0.11</v>
      </c>
      <c r="AC184" s="137">
        <f t="shared" si="45"/>
        <v>0.11</v>
      </c>
      <c r="AD184" s="137">
        <f t="shared" si="45"/>
        <v>0.11</v>
      </c>
      <c r="AE184" s="137">
        <f t="shared" si="45"/>
        <v>0.11</v>
      </c>
      <c r="AF184" s="137">
        <f t="shared" si="45"/>
        <v>0.11</v>
      </c>
      <c r="AG184" s="139">
        <v>0.996</v>
      </c>
      <c r="AH184" s="56"/>
      <c r="AI184" s="57"/>
      <c r="AK184" s="58"/>
    </row>
    <row r="185" spans="1:37" x14ac:dyDescent="0.25">
      <c r="A185" s="124" t="s">
        <v>189</v>
      </c>
      <c r="B185" s="136">
        <v>0.1</v>
      </c>
      <c r="C185" s="137">
        <f t="shared" si="44"/>
        <v>0.1</v>
      </c>
      <c r="D185" s="137">
        <f t="shared" si="44"/>
        <v>0.1</v>
      </c>
      <c r="E185" s="137">
        <f t="shared" si="44"/>
        <v>0.1</v>
      </c>
      <c r="F185" s="137">
        <f t="shared" si="44"/>
        <v>0.1</v>
      </c>
      <c r="G185" s="137">
        <f t="shared" si="44"/>
        <v>0.1</v>
      </c>
      <c r="H185" s="137">
        <f t="shared" si="44"/>
        <v>0.1</v>
      </c>
      <c r="I185" s="137">
        <f t="shared" si="44"/>
        <v>0.1</v>
      </c>
      <c r="J185" s="137">
        <f t="shared" si="44"/>
        <v>0.1</v>
      </c>
      <c r="K185" s="137">
        <f t="shared" si="44"/>
        <v>0.1</v>
      </c>
      <c r="L185" s="137">
        <f t="shared" si="44"/>
        <v>0.1</v>
      </c>
      <c r="M185" s="137">
        <f t="shared" si="44"/>
        <v>0.1</v>
      </c>
      <c r="N185" s="137">
        <f t="shared" si="44"/>
        <v>0.1</v>
      </c>
      <c r="O185" s="137">
        <f t="shared" si="44"/>
        <v>0.1</v>
      </c>
      <c r="P185" s="137">
        <f t="shared" si="44"/>
        <v>0.1</v>
      </c>
      <c r="Q185" s="137">
        <f t="shared" si="44"/>
        <v>0.1</v>
      </c>
      <c r="R185" s="137">
        <f t="shared" si="45"/>
        <v>0.1</v>
      </c>
      <c r="S185" s="137">
        <f t="shared" si="45"/>
        <v>0.1</v>
      </c>
      <c r="T185" s="137">
        <f t="shared" si="45"/>
        <v>0.1</v>
      </c>
      <c r="U185" s="137">
        <f t="shared" si="45"/>
        <v>0.1</v>
      </c>
      <c r="V185" s="137">
        <f t="shared" si="45"/>
        <v>0.1</v>
      </c>
      <c r="W185" s="137">
        <f t="shared" si="45"/>
        <v>0.1</v>
      </c>
      <c r="X185" s="137">
        <f t="shared" si="45"/>
        <v>0.1</v>
      </c>
      <c r="Y185" s="137">
        <f t="shared" si="45"/>
        <v>0.1</v>
      </c>
      <c r="Z185" s="137">
        <f t="shared" si="45"/>
        <v>0.1</v>
      </c>
      <c r="AA185" s="137">
        <f t="shared" si="45"/>
        <v>0.1</v>
      </c>
      <c r="AB185" s="137">
        <f t="shared" si="45"/>
        <v>0.1</v>
      </c>
      <c r="AC185" s="137">
        <f t="shared" si="45"/>
        <v>0.1</v>
      </c>
      <c r="AD185" s="137">
        <f t="shared" si="45"/>
        <v>0.1</v>
      </c>
      <c r="AE185" s="137">
        <f t="shared" si="45"/>
        <v>0.1</v>
      </c>
      <c r="AF185" s="137">
        <f t="shared" si="45"/>
        <v>0.1</v>
      </c>
      <c r="AG185" s="139">
        <v>0.995</v>
      </c>
      <c r="AH185" s="56"/>
      <c r="AI185" s="57"/>
      <c r="AK185" s="58"/>
    </row>
    <row r="186" spans="1:37" x14ac:dyDescent="0.25">
      <c r="A186" s="124" t="s">
        <v>190</v>
      </c>
      <c r="B186" s="136">
        <v>0.09</v>
      </c>
      <c r="C186" s="137">
        <f t="shared" si="44"/>
        <v>0.09</v>
      </c>
      <c r="D186" s="137">
        <f t="shared" si="44"/>
        <v>0.09</v>
      </c>
      <c r="E186" s="137">
        <f t="shared" si="44"/>
        <v>0.09</v>
      </c>
      <c r="F186" s="137">
        <f t="shared" si="44"/>
        <v>0.09</v>
      </c>
      <c r="G186" s="137">
        <f t="shared" si="44"/>
        <v>0.09</v>
      </c>
      <c r="H186" s="137">
        <f t="shared" si="44"/>
        <v>0.09</v>
      </c>
      <c r="I186" s="137">
        <f t="shared" si="44"/>
        <v>0.09</v>
      </c>
      <c r="J186" s="137">
        <f t="shared" si="44"/>
        <v>0.09</v>
      </c>
      <c r="K186" s="137">
        <f t="shared" si="44"/>
        <v>0.09</v>
      </c>
      <c r="L186" s="137">
        <f t="shared" si="44"/>
        <v>0.09</v>
      </c>
      <c r="M186" s="137">
        <f t="shared" si="44"/>
        <v>0.09</v>
      </c>
      <c r="N186" s="137">
        <f t="shared" si="44"/>
        <v>0.09</v>
      </c>
      <c r="O186" s="137">
        <f t="shared" si="44"/>
        <v>0.09</v>
      </c>
      <c r="P186" s="137">
        <f t="shared" si="44"/>
        <v>0.09</v>
      </c>
      <c r="Q186" s="137">
        <f t="shared" si="44"/>
        <v>0.09</v>
      </c>
      <c r="R186" s="137">
        <f t="shared" si="45"/>
        <v>0.09</v>
      </c>
      <c r="S186" s="137">
        <f t="shared" si="45"/>
        <v>0.09</v>
      </c>
      <c r="T186" s="137">
        <f t="shared" si="45"/>
        <v>0.09</v>
      </c>
      <c r="U186" s="137">
        <f t="shared" si="45"/>
        <v>0.09</v>
      </c>
      <c r="V186" s="137">
        <f t="shared" si="45"/>
        <v>0.09</v>
      </c>
      <c r="W186" s="137">
        <f t="shared" si="45"/>
        <v>0.09</v>
      </c>
      <c r="X186" s="137">
        <f t="shared" si="45"/>
        <v>0.09</v>
      </c>
      <c r="Y186" s="137">
        <f t="shared" si="45"/>
        <v>0.09</v>
      </c>
      <c r="Z186" s="137">
        <f t="shared" si="45"/>
        <v>0.09</v>
      </c>
      <c r="AA186" s="137">
        <f t="shared" si="45"/>
        <v>0.09</v>
      </c>
      <c r="AB186" s="137">
        <f t="shared" si="45"/>
        <v>0.09</v>
      </c>
      <c r="AC186" s="137">
        <f t="shared" si="45"/>
        <v>0.09</v>
      </c>
      <c r="AD186" s="137">
        <f t="shared" si="45"/>
        <v>0.09</v>
      </c>
      <c r="AE186" s="137">
        <f t="shared" si="45"/>
        <v>0.09</v>
      </c>
      <c r="AF186" s="137">
        <f t="shared" si="45"/>
        <v>0.09</v>
      </c>
      <c r="AG186" s="139">
        <v>0.99299999999999999</v>
      </c>
      <c r="AH186" s="56"/>
      <c r="AI186" s="57"/>
      <c r="AK186" s="58"/>
    </row>
    <row r="187" spans="1:37" x14ac:dyDescent="0.25">
      <c r="A187" s="124" t="s">
        <v>191</v>
      </c>
      <c r="B187" s="55">
        <v>0.04</v>
      </c>
      <c r="C187" s="137">
        <f t="shared" si="44"/>
        <v>0.04</v>
      </c>
      <c r="D187" s="137">
        <f t="shared" si="44"/>
        <v>0.04</v>
      </c>
      <c r="E187" s="137">
        <f t="shared" si="44"/>
        <v>0.04</v>
      </c>
      <c r="F187" s="137">
        <f t="shared" si="44"/>
        <v>0.04</v>
      </c>
      <c r="G187" s="137">
        <f t="shared" si="44"/>
        <v>0.04</v>
      </c>
      <c r="H187" s="137">
        <f t="shared" si="44"/>
        <v>0.04</v>
      </c>
      <c r="I187" s="137">
        <f t="shared" si="44"/>
        <v>0.04</v>
      </c>
      <c r="J187" s="137">
        <f t="shared" si="44"/>
        <v>0.04</v>
      </c>
      <c r="K187" s="137">
        <f t="shared" si="44"/>
        <v>0.04</v>
      </c>
      <c r="L187" s="137">
        <f t="shared" si="44"/>
        <v>0.04</v>
      </c>
      <c r="M187" s="137">
        <f t="shared" si="44"/>
        <v>0.04</v>
      </c>
      <c r="N187" s="137">
        <f t="shared" si="44"/>
        <v>0.04</v>
      </c>
      <c r="O187" s="137">
        <f t="shared" si="44"/>
        <v>0.04</v>
      </c>
      <c r="P187" s="137">
        <f t="shared" si="44"/>
        <v>0.04</v>
      </c>
      <c r="Q187" s="137">
        <f t="shared" si="44"/>
        <v>0.04</v>
      </c>
      <c r="R187" s="137">
        <f t="shared" si="45"/>
        <v>0.04</v>
      </c>
      <c r="S187" s="137">
        <f t="shared" si="45"/>
        <v>0.04</v>
      </c>
      <c r="T187" s="137">
        <f t="shared" si="45"/>
        <v>0.04</v>
      </c>
      <c r="U187" s="137">
        <f t="shared" si="45"/>
        <v>0.04</v>
      </c>
      <c r="V187" s="137">
        <f t="shared" si="45"/>
        <v>0.04</v>
      </c>
      <c r="W187" s="137">
        <f t="shared" si="45"/>
        <v>0.04</v>
      </c>
      <c r="X187" s="137">
        <f t="shared" si="45"/>
        <v>0.04</v>
      </c>
      <c r="Y187" s="137">
        <f t="shared" si="45"/>
        <v>0.04</v>
      </c>
      <c r="Z187" s="137">
        <f t="shared" si="45"/>
        <v>0.04</v>
      </c>
      <c r="AA187" s="137">
        <f t="shared" si="45"/>
        <v>0.04</v>
      </c>
      <c r="AB187" s="137">
        <f t="shared" si="45"/>
        <v>0.04</v>
      </c>
      <c r="AC187" s="137">
        <f t="shared" si="45"/>
        <v>0.04</v>
      </c>
      <c r="AD187" s="137">
        <f t="shared" si="45"/>
        <v>0.04</v>
      </c>
      <c r="AE187" s="137">
        <f t="shared" si="45"/>
        <v>0.04</v>
      </c>
      <c r="AF187" s="137">
        <f t="shared" si="45"/>
        <v>0.04</v>
      </c>
      <c r="AG187" s="139">
        <v>0.99</v>
      </c>
      <c r="AH187" s="56"/>
      <c r="AI187" s="57"/>
      <c r="AK187" s="58"/>
    </row>
    <row r="188" spans="1:37" x14ac:dyDescent="0.25">
      <c r="A188" s="124" t="s">
        <v>192</v>
      </c>
      <c r="B188" s="55">
        <v>2.3E-2</v>
      </c>
      <c r="C188" s="137">
        <f>B188</f>
        <v>2.3E-2</v>
      </c>
      <c r="D188" s="137">
        <f t="shared" si="44"/>
        <v>2.3E-2</v>
      </c>
      <c r="E188" s="137">
        <f t="shared" si="44"/>
        <v>2.3E-2</v>
      </c>
      <c r="F188" s="137">
        <f t="shared" si="44"/>
        <v>2.3E-2</v>
      </c>
      <c r="G188" s="137">
        <f t="shared" si="44"/>
        <v>2.3E-2</v>
      </c>
      <c r="H188" s="137">
        <f t="shared" si="44"/>
        <v>2.3E-2</v>
      </c>
      <c r="I188" s="137">
        <f t="shared" si="44"/>
        <v>2.3E-2</v>
      </c>
      <c r="J188" s="137">
        <f t="shared" si="44"/>
        <v>2.3E-2</v>
      </c>
      <c r="K188" s="137">
        <f t="shared" si="44"/>
        <v>2.3E-2</v>
      </c>
      <c r="L188" s="137">
        <f t="shared" si="44"/>
        <v>2.3E-2</v>
      </c>
      <c r="M188" s="137">
        <f t="shared" si="44"/>
        <v>2.3E-2</v>
      </c>
      <c r="N188" s="137">
        <f t="shared" si="44"/>
        <v>2.3E-2</v>
      </c>
      <c r="O188" s="137">
        <f t="shared" si="44"/>
        <v>2.3E-2</v>
      </c>
      <c r="P188" s="137">
        <f t="shared" si="44"/>
        <v>2.3E-2</v>
      </c>
      <c r="Q188" s="137">
        <f t="shared" si="44"/>
        <v>2.3E-2</v>
      </c>
      <c r="R188" s="137">
        <f t="shared" si="45"/>
        <v>2.3E-2</v>
      </c>
      <c r="S188" s="137">
        <f t="shared" si="45"/>
        <v>2.3E-2</v>
      </c>
      <c r="T188" s="137">
        <f t="shared" si="45"/>
        <v>2.3E-2</v>
      </c>
      <c r="U188" s="137">
        <f t="shared" si="45"/>
        <v>2.3E-2</v>
      </c>
      <c r="V188" s="137">
        <f t="shared" si="45"/>
        <v>2.3E-2</v>
      </c>
      <c r="W188" s="137">
        <f t="shared" si="45"/>
        <v>2.3E-2</v>
      </c>
      <c r="X188" s="137">
        <f t="shared" si="45"/>
        <v>2.3E-2</v>
      </c>
      <c r="Y188" s="137">
        <f t="shared" si="45"/>
        <v>2.3E-2</v>
      </c>
      <c r="Z188" s="137">
        <f t="shared" si="45"/>
        <v>2.3E-2</v>
      </c>
      <c r="AA188" s="137">
        <f t="shared" si="45"/>
        <v>2.3E-2</v>
      </c>
      <c r="AB188" s="137">
        <f t="shared" si="45"/>
        <v>2.3E-2</v>
      </c>
      <c r="AC188" s="137">
        <f t="shared" si="45"/>
        <v>2.3E-2</v>
      </c>
      <c r="AD188" s="137">
        <f t="shared" si="45"/>
        <v>2.3E-2</v>
      </c>
      <c r="AE188" s="137">
        <f t="shared" si="45"/>
        <v>2.3E-2</v>
      </c>
      <c r="AF188" s="137">
        <f t="shared" si="45"/>
        <v>2.3E-2</v>
      </c>
      <c r="AG188" s="139">
        <v>0.97899999999999998</v>
      </c>
      <c r="AH188" s="56"/>
      <c r="AI188" s="57"/>
      <c r="AK188" s="58"/>
    </row>
    <row r="189" spans="1:37" ht="15.75" thickBot="1" x14ac:dyDescent="0.3">
      <c r="A189" s="140" t="s">
        <v>193</v>
      </c>
      <c r="B189" s="141">
        <f t="shared" ref="B189:AG189" si="46">SUM(B99:B188)</f>
        <v>194.70600000000002</v>
      </c>
      <c r="C189" s="141">
        <f t="shared" si="46"/>
        <v>194.70600000000002</v>
      </c>
      <c r="D189" s="141">
        <f t="shared" si="46"/>
        <v>194.70600000000002</v>
      </c>
      <c r="E189" s="141">
        <f t="shared" si="46"/>
        <v>194.70600000000002</v>
      </c>
      <c r="F189" s="141">
        <f t="shared" si="46"/>
        <v>194.70600000000002</v>
      </c>
      <c r="G189" s="141">
        <f t="shared" si="46"/>
        <v>194.70600000000002</v>
      </c>
      <c r="H189" s="141">
        <f t="shared" si="46"/>
        <v>194.70600000000002</v>
      </c>
      <c r="I189" s="141">
        <f t="shared" si="46"/>
        <v>192.10600000000005</v>
      </c>
      <c r="J189" s="141">
        <f t="shared" si="46"/>
        <v>192.10600000000005</v>
      </c>
      <c r="K189" s="141">
        <f t="shared" si="46"/>
        <v>192.10600000000005</v>
      </c>
      <c r="L189" s="141">
        <f t="shared" si="46"/>
        <v>192.10600000000005</v>
      </c>
      <c r="M189" s="141">
        <f t="shared" si="46"/>
        <v>192.10600000000005</v>
      </c>
      <c r="N189" s="141">
        <f t="shared" si="46"/>
        <v>192.10600000000005</v>
      </c>
      <c r="O189" s="141">
        <f t="shared" si="46"/>
        <v>192.10600000000005</v>
      </c>
      <c r="P189" s="141">
        <f t="shared" si="46"/>
        <v>192.10600000000005</v>
      </c>
      <c r="Q189" s="141">
        <f t="shared" si="46"/>
        <v>192.10600000000005</v>
      </c>
      <c r="R189" s="141">
        <f t="shared" si="46"/>
        <v>192.10600000000005</v>
      </c>
      <c r="S189" s="141">
        <f t="shared" si="46"/>
        <v>192.10600000000005</v>
      </c>
      <c r="T189" s="141">
        <f t="shared" si="46"/>
        <v>192.10600000000005</v>
      </c>
      <c r="U189" s="141">
        <f t="shared" si="46"/>
        <v>192.10600000000005</v>
      </c>
      <c r="V189" s="141">
        <f t="shared" si="46"/>
        <v>192.10600000000005</v>
      </c>
      <c r="W189" s="141">
        <f t="shared" si="46"/>
        <v>192.10600000000005</v>
      </c>
      <c r="X189" s="141">
        <f t="shared" si="46"/>
        <v>192.10600000000005</v>
      </c>
      <c r="Y189" s="141">
        <f t="shared" si="46"/>
        <v>192.10600000000005</v>
      </c>
      <c r="Z189" s="141">
        <f t="shared" si="46"/>
        <v>192.10600000000005</v>
      </c>
      <c r="AA189" s="141">
        <f t="shared" si="46"/>
        <v>192.10600000000005</v>
      </c>
      <c r="AB189" s="141">
        <f t="shared" si="46"/>
        <v>192.10600000000005</v>
      </c>
      <c r="AC189" s="141">
        <f t="shared" si="46"/>
        <v>192.10600000000005</v>
      </c>
      <c r="AD189" s="141">
        <f t="shared" si="46"/>
        <v>192.10600000000005</v>
      </c>
      <c r="AE189" s="141">
        <f t="shared" si="46"/>
        <v>192.10600000000005</v>
      </c>
      <c r="AF189" s="141">
        <f t="shared" si="46"/>
        <v>192.10600000000005</v>
      </c>
      <c r="AG189" s="142">
        <f t="shared" si="46"/>
        <v>412.72299999999984</v>
      </c>
      <c r="AH189" s="56"/>
      <c r="AI189" s="57"/>
      <c r="AK189" s="58"/>
    </row>
    <row r="190" spans="1:37" ht="15.75" thickBot="1" x14ac:dyDescent="0.3">
      <c r="A190" s="28" t="s">
        <v>57</v>
      </c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56"/>
      <c r="AI190" s="57"/>
      <c r="AK190" s="58"/>
    </row>
    <row r="191" spans="1:37" x14ac:dyDescent="0.25">
      <c r="A191" s="117" t="s">
        <v>194</v>
      </c>
      <c r="B191" s="143">
        <v>0.3</v>
      </c>
      <c r="C191" s="143">
        <f t="shared" ref="C191:R196" si="47">B191</f>
        <v>0.3</v>
      </c>
      <c r="D191" s="143">
        <f t="shared" si="47"/>
        <v>0.3</v>
      </c>
      <c r="E191" s="143">
        <f t="shared" si="47"/>
        <v>0.3</v>
      </c>
      <c r="F191" s="143">
        <f t="shared" si="47"/>
        <v>0.3</v>
      </c>
      <c r="G191" s="143">
        <f t="shared" si="47"/>
        <v>0.3</v>
      </c>
      <c r="H191" s="143">
        <f t="shared" si="47"/>
        <v>0.3</v>
      </c>
      <c r="I191" s="143">
        <f t="shared" si="47"/>
        <v>0.3</v>
      </c>
      <c r="J191" s="143">
        <f t="shared" si="47"/>
        <v>0.3</v>
      </c>
      <c r="K191" s="143">
        <f t="shared" si="47"/>
        <v>0.3</v>
      </c>
      <c r="L191" s="143">
        <f t="shared" si="47"/>
        <v>0.3</v>
      </c>
      <c r="M191" s="143">
        <f t="shared" si="47"/>
        <v>0.3</v>
      </c>
      <c r="N191" s="143">
        <f t="shared" si="47"/>
        <v>0.3</v>
      </c>
      <c r="O191" s="143">
        <f t="shared" si="47"/>
        <v>0.3</v>
      </c>
      <c r="P191" s="143">
        <f t="shared" si="47"/>
        <v>0.3</v>
      </c>
      <c r="Q191" s="143">
        <f t="shared" si="47"/>
        <v>0.3</v>
      </c>
      <c r="R191" s="143">
        <f t="shared" si="47"/>
        <v>0.3</v>
      </c>
      <c r="S191" s="143">
        <f t="shared" ref="S191:AF196" si="48">R191</f>
        <v>0.3</v>
      </c>
      <c r="T191" s="143">
        <f t="shared" si="48"/>
        <v>0.3</v>
      </c>
      <c r="U191" s="143">
        <f t="shared" si="48"/>
        <v>0.3</v>
      </c>
      <c r="V191" s="143">
        <f t="shared" si="48"/>
        <v>0.3</v>
      </c>
      <c r="W191" s="143">
        <f t="shared" si="48"/>
        <v>0.3</v>
      </c>
      <c r="X191" s="143">
        <f t="shared" si="48"/>
        <v>0.3</v>
      </c>
      <c r="Y191" s="143">
        <f t="shared" si="48"/>
        <v>0.3</v>
      </c>
      <c r="Z191" s="143">
        <f t="shared" si="48"/>
        <v>0.3</v>
      </c>
      <c r="AA191" s="143">
        <f t="shared" si="48"/>
        <v>0.3</v>
      </c>
      <c r="AB191" s="143">
        <f t="shared" si="48"/>
        <v>0.3</v>
      </c>
      <c r="AC191" s="143">
        <f t="shared" si="48"/>
        <v>0.3</v>
      </c>
      <c r="AD191" s="143">
        <f t="shared" si="48"/>
        <v>0.3</v>
      </c>
      <c r="AE191" s="143">
        <f t="shared" si="48"/>
        <v>0.3</v>
      </c>
      <c r="AF191" s="143">
        <f t="shared" si="48"/>
        <v>0.3</v>
      </c>
      <c r="AG191" s="144">
        <v>2.4</v>
      </c>
      <c r="AH191" s="56"/>
      <c r="AI191" s="57"/>
      <c r="AK191" s="58"/>
    </row>
    <row r="192" spans="1:37" x14ac:dyDescent="0.25">
      <c r="A192" s="122" t="s">
        <v>195</v>
      </c>
      <c r="B192" s="137">
        <v>0.4</v>
      </c>
      <c r="C192" s="137">
        <f t="shared" si="47"/>
        <v>0.4</v>
      </c>
      <c r="D192" s="137">
        <f t="shared" si="47"/>
        <v>0.4</v>
      </c>
      <c r="E192" s="137">
        <f t="shared" si="47"/>
        <v>0.4</v>
      </c>
      <c r="F192" s="137">
        <f t="shared" si="47"/>
        <v>0.4</v>
      </c>
      <c r="G192" s="137">
        <f t="shared" si="47"/>
        <v>0.4</v>
      </c>
      <c r="H192" s="137">
        <f t="shared" si="47"/>
        <v>0.4</v>
      </c>
      <c r="I192" s="137">
        <f t="shared" si="47"/>
        <v>0.4</v>
      </c>
      <c r="J192" s="137">
        <f t="shared" si="47"/>
        <v>0.4</v>
      </c>
      <c r="K192" s="137">
        <f t="shared" si="47"/>
        <v>0.4</v>
      </c>
      <c r="L192" s="137">
        <f t="shared" si="47"/>
        <v>0.4</v>
      </c>
      <c r="M192" s="137">
        <f t="shared" si="47"/>
        <v>0.4</v>
      </c>
      <c r="N192" s="137">
        <f t="shared" si="47"/>
        <v>0.4</v>
      </c>
      <c r="O192" s="137">
        <f t="shared" si="47"/>
        <v>0.4</v>
      </c>
      <c r="P192" s="137">
        <f t="shared" si="47"/>
        <v>0.4</v>
      </c>
      <c r="Q192" s="137">
        <f t="shared" si="47"/>
        <v>0.4</v>
      </c>
      <c r="R192" s="137">
        <f t="shared" si="47"/>
        <v>0.4</v>
      </c>
      <c r="S192" s="137">
        <f t="shared" si="48"/>
        <v>0.4</v>
      </c>
      <c r="T192" s="137">
        <f t="shared" si="48"/>
        <v>0.4</v>
      </c>
      <c r="U192" s="137">
        <f t="shared" si="48"/>
        <v>0.4</v>
      </c>
      <c r="V192" s="137">
        <f>U192</f>
        <v>0.4</v>
      </c>
      <c r="W192" s="137">
        <f>V192</f>
        <v>0.4</v>
      </c>
      <c r="X192" s="137">
        <f t="shared" si="48"/>
        <v>0.4</v>
      </c>
      <c r="Y192" s="137">
        <f t="shared" si="48"/>
        <v>0.4</v>
      </c>
      <c r="Z192" s="137">
        <f t="shared" si="48"/>
        <v>0.4</v>
      </c>
      <c r="AA192" s="137">
        <f t="shared" si="48"/>
        <v>0.4</v>
      </c>
      <c r="AB192" s="137">
        <f t="shared" si="48"/>
        <v>0.4</v>
      </c>
      <c r="AC192" s="137">
        <f t="shared" si="48"/>
        <v>0.4</v>
      </c>
      <c r="AD192" s="137">
        <f t="shared" si="48"/>
        <v>0.4</v>
      </c>
      <c r="AE192" s="137">
        <f t="shared" si="48"/>
        <v>0.4</v>
      </c>
      <c r="AF192" s="137">
        <f t="shared" si="48"/>
        <v>0.4</v>
      </c>
      <c r="AG192" s="145">
        <v>2</v>
      </c>
      <c r="AH192" s="56"/>
      <c r="AI192" s="57"/>
      <c r="AK192" s="58"/>
    </row>
    <row r="193" spans="1:37" x14ac:dyDescent="0.25">
      <c r="A193" s="122" t="s">
        <v>196</v>
      </c>
      <c r="B193" s="137">
        <v>1.5</v>
      </c>
      <c r="C193" s="137">
        <f t="shared" si="47"/>
        <v>1.5</v>
      </c>
      <c r="D193" s="137">
        <f t="shared" si="47"/>
        <v>1.5</v>
      </c>
      <c r="E193" s="137">
        <f t="shared" si="47"/>
        <v>1.5</v>
      </c>
      <c r="F193" s="137">
        <f t="shared" si="47"/>
        <v>1.5</v>
      </c>
      <c r="G193" s="137">
        <f t="shared" si="47"/>
        <v>1.5</v>
      </c>
      <c r="H193" s="137">
        <f t="shared" si="47"/>
        <v>1.5</v>
      </c>
      <c r="I193" s="137">
        <f t="shared" si="47"/>
        <v>1.5</v>
      </c>
      <c r="J193" s="137">
        <f t="shared" si="47"/>
        <v>1.5</v>
      </c>
      <c r="K193" s="137">
        <f t="shared" si="47"/>
        <v>1.5</v>
      </c>
      <c r="L193" s="137">
        <f t="shared" si="47"/>
        <v>1.5</v>
      </c>
      <c r="M193" s="137">
        <f t="shared" si="47"/>
        <v>1.5</v>
      </c>
      <c r="N193" s="137">
        <f t="shared" si="47"/>
        <v>1.5</v>
      </c>
      <c r="O193" s="137">
        <f t="shared" si="47"/>
        <v>1.5</v>
      </c>
      <c r="P193" s="137">
        <f t="shared" si="47"/>
        <v>1.5</v>
      </c>
      <c r="Q193" s="137">
        <f t="shared" si="47"/>
        <v>1.5</v>
      </c>
      <c r="R193" s="137">
        <f t="shared" si="47"/>
        <v>1.5</v>
      </c>
      <c r="S193" s="137">
        <f t="shared" si="48"/>
        <v>1.5</v>
      </c>
      <c r="T193" s="137">
        <f t="shared" si="48"/>
        <v>1.5</v>
      </c>
      <c r="U193" s="137">
        <f t="shared" si="48"/>
        <v>1.5</v>
      </c>
      <c r="V193" s="137">
        <f t="shared" si="48"/>
        <v>1.5</v>
      </c>
      <c r="W193" s="137">
        <f t="shared" si="48"/>
        <v>1.5</v>
      </c>
      <c r="X193" s="137">
        <f t="shared" si="48"/>
        <v>1.5</v>
      </c>
      <c r="Y193" s="137">
        <f t="shared" si="48"/>
        <v>1.5</v>
      </c>
      <c r="Z193" s="137">
        <f t="shared" si="48"/>
        <v>1.5</v>
      </c>
      <c r="AA193" s="137">
        <f t="shared" si="48"/>
        <v>1.5</v>
      </c>
      <c r="AB193" s="137">
        <f t="shared" si="48"/>
        <v>1.5</v>
      </c>
      <c r="AC193" s="137">
        <f t="shared" si="48"/>
        <v>1.5</v>
      </c>
      <c r="AD193" s="137">
        <f t="shared" si="48"/>
        <v>1.5</v>
      </c>
      <c r="AE193" s="137">
        <f t="shared" si="48"/>
        <v>1.5</v>
      </c>
      <c r="AF193" s="137">
        <f t="shared" si="48"/>
        <v>1.5</v>
      </c>
      <c r="AG193" s="145">
        <v>1.5</v>
      </c>
      <c r="AH193" s="56"/>
      <c r="AI193" s="57"/>
      <c r="AK193" s="58"/>
    </row>
    <row r="194" spans="1:37" x14ac:dyDescent="0.25">
      <c r="A194" s="122" t="s">
        <v>197</v>
      </c>
      <c r="B194" s="137">
        <v>0.3</v>
      </c>
      <c r="C194" s="137">
        <f t="shared" si="47"/>
        <v>0.3</v>
      </c>
      <c r="D194" s="137">
        <f t="shared" si="47"/>
        <v>0.3</v>
      </c>
      <c r="E194" s="137">
        <f t="shared" si="47"/>
        <v>0.3</v>
      </c>
      <c r="F194" s="137">
        <f t="shared" si="47"/>
        <v>0.3</v>
      </c>
      <c r="G194" s="137">
        <f t="shared" si="47"/>
        <v>0.3</v>
      </c>
      <c r="H194" s="137">
        <f t="shared" si="47"/>
        <v>0.3</v>
      </c>
      <c r="I194" s="137">
        <f t="shared" si="47"/>
        <v>0.3</v>
      </c>
      <c r="J194" s="137">
        <f t="shared" si="47"/>
        <v>0.3</v>
      </c>
      <c r="K194" s="137">
        <f t="shared" si="47"/>
        <v>0.3</v>
      </c>
      <c r="L194" s="137">
        <f t="shared" si="47"/>
        <v>0.3</v>
      </c>
      <c r="M194" s="137">
        <f t="shared" si="47"/>
        <v>0.3</v>
      </c>
      <c r="N194" s="137">
        <f t="shared" si="47"/>
        <v>0.3</v>
      </c>
      <c r="O194" s="137">
        <f t="shared" si="47"/>
        <v>0.3</v>
      </c>
      <c r="P194" s="137">
        <f t="shared" si="47"/>
        <v>0.3</v>
      </c>
      <c r="Q194" s="137">
        <f t="shared" si="47"/>
        <v>0.3</v>
      </c>
      <c r="R194" s="137">
        <f t="shared" si="47"/>
        <v>0.3</v>
      </c>
      <c r="S194" s="137">
        <f t="shared" si="48"/>
        <v>0.3</v>
      </c>
      <c r="T194" s="137">
        <f t="shared" si="48"/>
        <v>0.3</v>
      </c>
      <c r="U194" s="137">
        <f t="shared" si="48"/>
        <v>0.3</v>
      </c>
      <c r="V194" s="137">
        <f t="shared" si="48"/>
        <v>0.3</v>
      </c>
      <c r="W194" s="137">
        <f t="shared" si="48"/>
        <v>0.3</v>
      </c>
      <c r="X194" s="137">
        <f t="shared" si="48"/>
        <v>0.3</v>
      </c>
      <c r="Y194" s="137">
        <f t="shared" si="48"/>
        <v>0.3</v>
      </c>
      <c r="Z194" s="137">
        <f t="shared" si="48"/>
        <v>0.3</v>
      </c>
      <c r="AA194" s="137">
        <f t="shared" si="48"/>
        <v>0.3</v>
      </c>
      <c r="AB194" s="137">
        <f t="shared" si="48"/>
        <v>0.3</v>
      </c>
      <c r="AC194" s="137">
        <f t="shared" si="48"/>
        <v>0.3</v>
      </c>
      <c r="AD194" s="137">
        <f t="shared" si="48"/>
        <v>0.3</v>
      </c>
      <c r="AE194" s="137">
        <f t="shared" si="48"/>
        <v>0.3</v>
      </c>
      <c r="AF194" s="137">
        <f t="shared" si="48"/>
        <v>0.3</v>
      </c>
      <c r="AG194" s="145">
        <v>1</v>
      </c>
      <c r="AH194" s="56"/>
      <c r="AI194" s="57"/>
      <c r="AK194" s="58"/>
    </row>
    <row r="195" spans="1:37" x14ac:dyDescent="0.25">
      <c r="A195" s="122" t="s">
        <v>198</v>
      </c>
      <c r="B195" s="137">
        <v>0.4</v>
      </c>
      <c r="C195" s="137">
        <f t="shared" si="47"/>
        <v>0.4</v>
      </c>
      <c r="D195" s="137">
        <f t="shared" si="47"/>
        <v>0.4</v>
      </c>
      <c r="E195" s="137">
        <f t="shared" si="47"/>
        <v>0.4</v>
      </c>
      <c r="F195" s="137">
        <f t="shared" si="47"/>
        <v>0.4</v>
      </c>
      <c r="G195" s="137">
        <f t="shared" si="47"/>
        <v>0.4</v>
      </c>
      <c r="H195" s="137">
        <f t="shared" si="47"/>
        <v>0.4</v>
      </c>
      <c r="I195" s="137">
        <f t="shared" si="47"/>
        <v>0.4</v>
      </c>
      <c r="J195" s="137">
        <f t="shared" si="47"/>
        <v>0.4</v>
      </c>
      <c r="K195" s="137">
        <f t="shared" si="47"/>
        <v>0.4</v>
      </c>
      <c r="L195" s="137">
        <f t="shared" si="47"/>
        <v>0.4</v>
      </c>
      <c r="M195" s="137">
        <f t="shared" si="47"/>
        <v>0.4</v>
      </c>
      <c r="N195" s="137">
        <f t="shared" si="47"/>
        <v>0.4</v>
      </c>
      <c r="O195" s="137">
        <f t="shared" si="47"/>
        <v>0.4</v>
      </c>
      <c r="P195" s="137">
        <f t="shared" si="47"/>
        <v>0.4</v>
      </c>
      <c r="Q195" s="137">
        <f t="shared" si="47"/>
        <v>0.4</v>
      </c>
      <c r="R195" s="137">
        <f t="shared" si="47"/>
        <v>0.4</v>
      </c>
      <c r="S195" s="137">
        <f t="shared" si="48"/>
        <v>0.4</v>
      </c>
      <c r="T195" s="137">
        <f t="shared" si="48"/>
        <v>0.4</v>
      </c>
      <c r="U195" s="137">
        <f t="shared" si="48"/>
        <v>0.4</v>
      </c>
      <c r="V195" s="137">
        <f t="shared" si="48"/>
        <v>0.4</v>
      </c>
      <c r="W195" s="137">
        <f t="shared" si="48"/>
        <v>0.4</v>
      </c>
      <c r="X195" s="137">
        <f t="shared" si="48"/>
        <v>0.4</v>
      </c>
      <c r="Y195" s="137">
        <f t="shared" si="48"/>
        <v>0.4</v>
      </c>
      <c r="Z195" s="137">
        <f t="shared" si="48"/>
        <v>0.4</v>
      </c>
      <c r="AA195" s="137">
        <f t="shared" si="48"/>
        <v>0.4</v>
      </c>
      <c r="AB195" s="137">
        <f t="shared" si="48"/>
        <v>0.4</v>
      </c>
      <c r="AC195" s="137">
        <f t="shared" si="48"/>
        <v>0.4</v>
      </c>
      <c r="AD195" s="137">
        <f t="shared" si="48"/>
        <v>0.4</v>
      </c>
      <c r="AE195" s="137">
        <f t="shared" si="48"/>
        <v>0.4</v>
      </c>
      <c r="AF195" s="137">
        <f t="shared" si="48"/>
        <v>0.4</v>
      </c>
      <c r="AG195" s="145">
        <v>1</v>
      </c>
      <c r="AH195" s="56"/>
      <c r="AI195" s="57"/>
      <c r="AK195" s="58"/>
    </row>
    <row r="196" spans="1:37" ht="15.75" thickBot="1" x14ac:dyDescent="0.3">
      <c r="A196" s="124" t="s">
        <v>199</v>
      </c>
      <c r="B196" s="146">
        <v>0.64</v>
      </c>
      <c r="C196" s="146">
        <f t="shared" si="47"/>
        <v>0.64</v>
      </c>
      <c r="D196" s="146">
        <f t="shared" si="47"/>
        <v>0.64</v>
      </c>
      <c r="E196" s="146">
        <f t="shared" si="47"/>
        <v>0.64</v>
      </c>
      <c r="F196" s="146">
        <f t="shared" si="47"/>
        <v>0.64</v>
      </c>
      <c r="G196" s="146">
        <f t="shared" si="47"/>
        <v>0.64</v>
      </c>
      <c r="H196" s="146">
        <f t="shared" si="47"/>
        <v>0.64</v>
      </c>
      <c r="I196" s="146">
        <f t="shared" si="47"/>
        <v>0.64</v>
      </c>
      <c r="J196" s="146">
        <f t="shared" si="47"/>
        <v>0.64</v>
      </c>
      <c r="K196" s="146">
        <f t="shared" si="47"/>
        <v>0.64</v>
      </c>
      <c r="L196" s="146">
        <f t="shared" si="47"/>
        <v>0.64</v>
      </c>
      <c r="M196" s="146">
        <f t="shared" si="47"/>
        <v>0.64</v>
      </c>
      <c r="N196" s="146">
        <f t="shared" si="47"/>
        <v>0.64</v>
      </c>
      <c r="O196" s="146">
        <f t="shared" si="47"/>
        <v>0.64</v>
      </c>
      <c r="P196" s="146">
        <f t="shared" si="47"/>
        <v>0.64</v>
      </c>
      <c r="Q196" s="146">
        <f t="shared" si="47"/>
        <v>0.64</v>
      </c>
      <c r="R196" s="146">
        <f t="shared" si="47"/>
        <v>0.64</v>
      </c>
      <c r="S196" s="146">
        <f t="shared" si="48"/>
        <v>0.64</v>
      </c>
      <c r="T196" s="146">
        <f t="shared" si="48"/>
        <v>0.64</v>
      </c>
      <c r="U196" s="146">
        <f t="shared" si="48"/>
        <v>0.64</v>
      </c>
      <c r="V196" s="146">
        <f t="shared" si="48"/>
        <v>0.64</v>
      </c>
      <c r="W196" s="146">
        <f t="shared" si="48"/>
        <v>0.64</v>
      </c>
      <c r="X196" s="146">
        <f t="shared" si="48"/>
        <v>0.64</v>
      </c>
      <c r="Y196" s="146">
        <f t="shared" si="48"/>
        <v>0.64</v>
      </c>
      <c r="Z196" s="146">
        <f t="shared" si="48"/>
        <v>0.64</v>
      </c>
      <c r="AA196" s="146">
        <f t="shared" si="48"/>
        <v>0.64</v>
      </c>
      <c r="AB196" s="146">
        <f t="shared" si="48"/>
        <v>0.64</v>
      </c>
      <c r="AC196" s="146">
        <f t="shared" si="48"/>
        <v>0.64</v>
      </c>
      <c r="AD196" s="146">
        <f t="shared" si="48"/>
        <v>0.64</v>
      </c>
      <c r="AE196" s="146">
        <f t="shared" si="48"/>
        <v>0.64</v>
      </c>
      <c r="AF196" s="146">
        <f t="shared" si="48"/>
        <v>0.64</v>
      </c>
      <c r="AG196" s="147">
        <v>0.66</v>
      </c>
      <c r="AH196" s="56"/>
      <c r="AI196" s="57"/>
    </row>
    <row r="197" spans="1:37" ht="15.75" thickBot="1" x14ac:dyDescent="0.3">
      <c r="A197" s="148" t="s">
        <v>57</v>
      </c>
      <c r="B197" s="149">
        <f>SUM(B191:B196)</f>
        <v>3.54</v>
      </c>
      <c r="C197" s="149">
        <f t="shared" ref="C197:K197" si="49">SUM(C191:C196)</f>
        <v>3.54</v>
      </c>
      <c r="D197" s="149">
        <f t="shared" si="49"/>
        <v>3.54</v>
      </c>
      <c r="E197" s="149">
        <f t="shared" si="49"/>
        <v>3.54</v>
      </c>
      <c r="F197" s="149">
        <f t="shared" si="49"/>
        <v>3.54</v>
      </c>
      <c r="G197" s="149">
        <f t="shared" si="49"/>
        <v>3.54</v>
      </c>
      <c r="H197" s="149">
        <f t="shared" si="49"/>
        <v>3.54</v>
      </c>
      <c r="I197" s="149">
        <f t="shared" si="49"/>
        <v>3.54</v>
      </c>
      <c r="J197" s="149">
        <f t="shared" si="49"/>
        <v>3.54</v>
      </c>
      <c r="K197" s="149">
        <f t="shared" si="49"/>
        <v>3.54</v>
      </c>
      <c r="L197" s="149">
        <f>SUM(L191:L196)</f>
        <v>3.54</v>
      </c>
      <c r="M197" s="149">
        <f t="shared" ref="M197:R197" si="50">SUM(M191:M196)</f>
        <v>3.54</v>
      </c>
      <c r="N197" s="149">
        <f t="shared" si="50"/>
        <v>3.54</v>
      </c>
      <c r="O197" s="149">
        <f t="shared" si="50"/>
        <v>3.54</v>
      </c>
      <c r="P197" s="149">
        <f t="shared" si="50"/>
        <v>3.54</v>
      </c>
      <c r="Q197" s="149">
        <f t="shared" si="50"/>
        <v>3.54</v>
      </c>
      <c r="R197" s="149">
        <f t="shared" si="50"/>
        <v>3.54</v>
      </c>
      <c r="S197" s="149">
        <f>SUM(S191:S196)</f>
        <v>3.54</v>
      </c>
      <c r="T197" s="149">
        <f t="shared" ref="T197:AG197" si="51">SUM(T191:T196)</f>
        <v>3.54</v>
      </c>
      <c r="U197" s="149">
        <f t="shared" si="51"/>
        <v>3.54</v>
      </c>
      <c r="V197" s="149">
        <f t="shared" si="51"/>
        <v>3.54</v>
      </c>
      <c r="W197" s="149">
        <f t="shared" si="51"/>
        <v>3.54</v>
      </c>
      <c r="X197" s="149">
        <f t="shared" si="51"/>
        <v>3.54</v>
      </c>
      <c r="Y197" s="149">
        <f t="shared" si="51"/>
        <v>3.54</v>
      </c>
      <c r="Z197" s="149">
        <f t="shared" si="51"/>
        <v>3.54</v>
      </c>
      <c r="AA197" s="149">
        <f t="shared" si="51"/>
        <v>3.54</v>
      </c>
      <c r="AB197" s="149">
        <f t="shared" si="51"/>
        <v>3.54</v>
      </c>
      <c r="AC197" s="149">
        <f t="shared" si="51"/>
        <v>3.54</v>
      </c>
      <c r="AD197" s="149">
        <f t="shared" si="51"/>
        <v>3.54</v>
      </c>
      <c r="AE197" s="149">
        <f t="shared" si="51"/>
        <v>3.54</v>
      </c>
      <c r="AF197" s="149">
        <f t="shared" si="51"/>
        <v>3.54</v>
      </c>
      <c r="AG197" s="150">
        <f t="shared" si="51"/>
        <v>8.56</v>
      </c>
      <c r="AH197" s="56"/>
      <c r="AI197" s="57"/>
    </row>
    <row r="198" spans="1:37" ht="15.75" thickBot="1" x14ac:dyDescent="0.3"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12"/>
      <c r="AH198" s="47"/>
    </row>
    <row r="199" spans="1:37" x14ac:dyDescent="0.25">
      <c r="A199" s="95" t="s">
        <v>200</v>
      </c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2"/>
      <c r="AG199" s="47"/>
      <c r="AH199" s="56"/>
      <c r="AI199" s="57"/>
    </row>
    <row r="200" spans="1:37" x14ac:dyDescent="0.25">
      <c r="A200" s="153" t="s">
        <v>201</v>
      </c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5"/>
      <c r="AG200" s="156"/>
      <c r="AH200" s="56"/>
      <c r="AI200" s="57"/>
    </row>
    <row r="201" spans="1:37" x14ac:dyDescent="0.25">
      <c r="A201" s="99" t="s">
        <v>202</v>
      </c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8"/>
      <c r="AG201" s="156"/>
      <c r="AH201" s="56"/>
      <c r="AI201" s="57"/>
    </row>
    <row r="202" spans="1:37" x14ac:dyDescent="0.25">
      <c r="A202" s="99" t="s">
        <v>203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ht="15.75" thickBot="1" x14ac:dyDescent="0.3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1"/>
      <c r="AG203" s="156"/>
      <c r="AH203" s="56"/>
      <c r="AI203" s="57"/>
    </row>
    <row r="204" spans="1:37" x14ac:dyDescent="0.25"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</row>
    <row r="205" spans="1:37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162" t="s">
        <v>205</v>
      </c>
      <c r="B206" s="163">
        <f>MAX(F73:M73)</f>
        <v>1190.44</v>
      </c>
      <c r="C206" s="164">
        <f>INDEX(F9:M9,1,MATCH(MAX(F73:M73),F73:M73,0))</f>
        <v>0.33333333333333331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165" t="str">
        <f ca="1">MID(CELL("filename",C7),FIND("]",CELL("filename",C7))+1,600)</f>
        <v>16</v>
      </c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243" t="s">
        <v>206</v>
      </c>
      <c r="B208" s="243"/>
      <c r="C208" s="47"/>
      <c r="D208" s="165" t="str">
        <f ca="1">"Pie Chart of Daily Peak Demand(Inclusive of Export) of Nepal ("&amp;A4&amp;" "&amp;B4&amp;")"</f>
        <v>Pie Chart of Daily Peak Demand(Inclusive of Export) of Nepal (Nepali Date: 2078/07/16)</v>
      </c>
      <c r="E208" s="47"/>
      <c r="F208" s="47"/>
      <c r="G208" s="165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"Daily Load Curve(Excluding of Export) of Nepal ("&amp;A4&amp;" "&amp;B4&amp;")"</f>
        <v>Daily Load Curve(Excluding of Export) of Nepal (Nepali Date: 2078/07/16)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ht="12.75" customHeight="1" thickBot="1" x14ac:dyDescent="0.3">
      <c r="A209" s="166" t="s">
        <v>7</v>
      </c>
      <c r="B209" s="167"/>
      <c r="C209" s="47"/>
      <c r="D209" s="16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5.75" thickTop="1" x14ac:dyDescent="0.25">
      <c r="A210" s="166" t="s">
        <v>207</v>
      </c>
      <c r="B210" s="16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9" t="s">
        <v>208</v>
      </c>
      <c r="T210" s="170">
        <v>4.1666666666666664E-2</v>
      </c>
      <c r="U210" s="171">
        <v>8.3333333333333301E-2</v>
      </c>
      <c r="V210" s="171">
        <v>0.125</v>
      </c>
      <c r="W210" s="171">
        <v>0.16666666666666699</v>
      </c>
      <c r="X210" s="171">
        <v>0.20833333333333301</v>
      </c>
      <c r="Y210" s="171">
        <v>0.22916666666666666</v>
      </c>
      <c r="Z210" s="171">
        <v>0.25</v>
      </c>
      <c r="AA210" s="171">
        <v>0.27083333333333331</v>
      </c>
      <c r="AB210" s="171">
        <v>0.29166666666666669</v>
      </c>
      <c r="AC210" s="171">
        <v>0.3125</v>
      </c>
      <c r="AD210" s="172">
        <v>0.33333333333333331</v>
      </c>
      <c r="AE210" s="172">
        <v>0.375</v>
      </c>
      <c r="AF210" s="172">
        <v>0.41666666666666702</v>
      </c>
      <c r="AG210" s="172">
        <v>0.45833333333333298</v>
      </c>
      <c r="AH210" s="172">
        <v>0.5</v>
      </c>
      <c r="AI210" s="172">
        <v>0.54166666666666696</v>
      </c>
      <c r="AJ210" s="172">
        <v>0.58333333333333304</v>
      </c>
      <c r="AK210" s="172">
        <v>0.625</v>
      </c>
      <c r="AL210" s="172">
        <v>0.66666666666666696</v>
      </c>
      <c r="AM210" s="172">
        <v>0.70833333333333304</v>
      </c>
      <c r="AN210" s="172">
        <v>0.72916666666666663</v>
      </c>
      <c r="AO210" s="172">
        <v>0.75</v>
      </c>
      <c r="AP210" s="172">
        <v>0.77083333333333337</v>
      </c>
      <c r="AQ210" s="172">
        <v>0.79166666666666663</v>
      </c>
      <c r="AR210" s="172">
        <v>0.8125</v>
      </c>
      <c r="AS210" s="171">
        <v>0.83333333333333337</v>
      </c>
      <c r="AT210" s="171">
        <v>0.85416666666666663</v>
      </c>
      <c r="AU210" s="171">
        <v>0.875</v>
      </c>
      <c r="AV210" s="171">
        <v>0.91666666666666696</v>
      </c>
      <c r="AW210" s="171">
        <v>0.95833333333333304</v>
      </c>
      <c r="AX210" s="171">
        <v>1</v>
      </c>
    </row>
    <row r="211" spans="1:50" x14ac:dyDescent="0.25">
      <c r="A211" s="166" t="s">
        <v>209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 t="s">
        <v>210</v>
      </c>
      <c r="T211" s="173">
        <f t="shared" ref="T211:AX211" si="52">B73</f>
        <v>815.74</v>
      </c>
      <c r="U211" s="173">
        <f t="shared" si="52"/>
        <v>773.44</v>
      </c>
      <c r="V211" s="173">
        <f t="shared" si="52"/>
        <v>789.44</v>
      </c>
      <c r="W211" s="173">
        <f t="shared" si="52"/>
        <v>823.14</v>
      </c>
      <c r="X211" s="173">
        <f t="shared" si="52"/>
        <v>868.14</v>
      </c>
      <c r="Y211" s="173">
        <f t="shared" si="52"/>
        <v>918.14</v>
      </c>
      <c r="Z211" s="173">
        <f t="shared" si="52"/>
        <v>980.64</v>
      </c>
      <c r="AA211" s="173">
        <f t="shared" si="52"/>
        <v>1074.04</v>
      </c>
      <c r="AB211" s="173">
        <f t="shared" si="52"/>
        <v>1165.94</v>
      </c>
      <c r="AC211" s="173">
        <f t="shared" si="52"/>
        <v>1182.04</v>
      </c>
      <c r="AD211" s="173">
        <f t="shared" si="52"/>
        <v>1190.44</v>
      </c>
      <c r="AE211" s="173">
        <f t="shared" si="52"/>
        <v>1142.8400000000001</v>
      </c>
      <c r="AF211" s="173">
        <f t="shared" si="52"/>
        <v>1139.8400000000001</v>
      </c>
      <c r="AG211" s="173">
        <f t="shared" si="52"/>
        <v>1088.3400000000001</v>
      </c>
      <c r="AH211" s="173">
        <f t="shared" si="52"/>
        <v>1065.6400000000001</v>
      </c>
      <c r="AI211" s="173">
        <f t="shared" si="52"/>
        <v>1048.94</v>
      </c>
      <c r="AJ211" s="173">
        <f t="shared" si="52"/>
        <v>1048.0400000000002</v>
      </c>
      <c r="AK211" s="173">
        <f t="shared" si="52"/>
        <v>1031.0400000000002</v>
      </c>
      <c r="AL211" s="173">
        <f t="shared" si="52"/>
        <v>1127.8400000000001</v>
      </c>
      <c r="AM211" s="173">
        <f t="shared" si="52"/>
        <v>1169.24</v>
      </c>
      <c r="AN211" s="173">
        <f t="shared" si="52"/>
        <v>1282.94</v>
      </c>
      <c r="AO211" s="173">
        <f t="shared" si="52"/>
        <v>1425.14</v>
      </c>
      <c r="AP211" s="173">
        <f t="shared" si="52"/>
        <v>1366.44</v>
      </c>
      <c r="AQ211" s="173">
        <f t="shared" si="52"/>
        <v>1307.94</v>
      </c>
      <c r="AR211" s="173">
        <f t="shared" si="52"/>
        <v>1225.6400000000001</v>
      </c>
      <c r="AS211" s="173">
        <f t="shared" si="52"/>
        <v>1199.94</v>
      </c>
      <c r="AT211" s="173">
        <f t="shared" si="52"/>
        <v>1139.1399999999999</v>
      </c>
      <c r="AU211" s="173">
        <f t="shared" si="52"/>
        <v>1072.74</v>
      </c>
      <c r="AV211" s="173">
        <f t="shared" si="52"/>
        <v>963.44</v>
      </c>
      <c r="AW211" s="173">
        <f t="shared" si="52"/>
        <v>893.74</v>
      </c>
      <c r="AX211" s="173">
        <f t="shared" si="52"/>
        <v>882.94</v>
      </c>
    </row>
    <row r="212" spans="1:50" x14ac:dyDescent="0.25">
      <c r="A212" s="166" t="s">
        <v>211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x14ac:dyDescent="0.25">
      <c r="A213" s="166" t="s">
        <v>212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7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A232" s="175" t="s">
        <v>200</v>
      </c>
      <c r="B232" s="176">
        <f t="shared" ref="B232:AF232" si="53">B196</f>
        <v>0.64</v>
      </c>
      <c r="C232" s="176">
        <f t="shared" si="53"/>
        <v>0.64</v>
      </c>
      <c r="D232" s="176">
        <f t="shared" si="53"/>
        <v>0.64</v>
      </c>
      <c r="E232" s="176">
        <f t="shared" si="53"/>
        <v>0.64</v>
      </c>
      <c r="F232" s="176">
        <f t="shared" si="53"/>
        <v>0.64</v>
      </c>
      <c r="G232" s="176">
        <f t="shared" si="53"/>
        <v>0.64</v>
      </c>
      <c r="H232" s="176">
        <f t="shared" si="53"/>
        <v>0.64</v>
      </c>
      <c r="I232" s="176">
        <f t="shared" si="53"/>
        <v>0.64</v>
      </c>
      <c r="J232" s="176">
        <f t="shared" si="53"/>
        <v>0.64</v>
      </c>
      <c r="K232" s="176">
        <f t="shared" si="53"/>
        <v>0.64</v>
      </c>
      <c r="L232" s="176">
        <f t="shared" si="53"/>
        <v>0.64</v>
      </c>
      <c r="M232" s="176">
        <f t="shared" si="53"/>
        <v>0.64</v>
      </c>
      <c r="N232" s="176">
        <f t="shared" si="53"/>
        <v>0.64</v>
      </c>
      <c r="O232" s="176">
        <f t="shared" si="53"/>
        <v>0.64</v>
      </c>
      <c r="P232" s="176">
        <f t="shared" si="53"/>
        <v>0.64</v>
      </c>
      <c r="Q232" s="176">
        <f t="shared" si="53"/>
        <v>0.64</v>
      </c>
      <c r="R232" s="176">
        <f t="shared" si="53"/>
        <v>0.64</v>
      </c>
      <c r="S232" s="176">
        <f t="shared" si="53"/>
        <v>0.64</v>
      </c>
      <c r="T232" s="176">
        <f t="shared" si="53"/>
        <v>0.64</v>
      </c>
      <c r="U232" s="176">
        <f t="shared" si="53"/>
        <v>0.64</v>
      </c>
      <c r="V232" s="176">
        <f t="shared" si="53"/>
        <v>0.64</v>
      </c>
      <c r="W232" s="176">
        <f t="shared" si="53"/>
        <v>0.64</v>
      </c>
      <c r="X232" s="176">
        <f t="shared" si="53"/>
        <v>0.64</v>
      </c>
      <c r="Y232" s="176">
        <f t="shared" si="53"/>
        <v>0.64</v>
      </c>
      <c r="Z232" s="176">
        <f t="shared" si="53"/>
        <v>0.64</v>
      </c>
      <c r="AA232" s="176">
        <f t="shared" si="53"/>
        <v>0.64</v>
      </c>
      <c r="AB232" s="176">
        <f t="shared" si="53"/>
        <v>0.64</v>
      </c>
      <c r="AC232" s="176">
        <f t="shared" si="53"/>
        <v>0.64</v>
      </c>
      <c r="AD232" s="176">
        <f t="shared" si="53"/>
        <v>0.64</v>
      </c>
      <c r="AE232" s="176">
        <f t="shared" si="53"/>
        <v>0.64</v>
      </c>
      <c r="AF232" s="176">
        <f t="shared" si="53"/>
        <v>0.64</v>
      </c>
      <c r="AG232" s="47"/>
      <c r="AH232" s="47"/>
    </row>
    <row r="233" spans="1:34" x14ac:dyDescent="0.25">
      <c r="A233" s="120" t="str">
        <f>A200</f>
        <v>KGA</v>
      </c>
      <c r="B233" s="120" t="str">
        <f>IF(B200&lt;100,"",B200-520)</f>
        <v/>
      </c>
      <c r="C233" s="120" t="str">
        <f t="shared" ref="C233:AF233" si="54">IF(C200&lt;100,"",C200-520)</f>
        <v/>
      </c>
      <c r="D233" s="120" t="str">
        <f t="shared" si="54"/>
        <v/>
      </c>
      <c r="E233" s="120" t="str">
        <f t="shared" si="54"/>
        <v/>
      </c>
      <c r="F233" s="120" t="str">
        <f t="shared" si="54"/>
        <v/>
      </c>
      <c r="G233" s="120" t="str">
        <f t="shared" si="54"/>
        <v/>
      </c>
      <c r="H233" s="120" t="str">
        <f t="shared" si="54"/>
        <v/>
      </c>
      <c r="I233" s="120" t="str">
        <f t="shared" si="54"/>
        <v/>
      </c>
      <c r="J233" s="120" t="str">
        <f t="shared" si="54"/>
        <v/>
      </c>
      <c r="K233" s="120" t="str">
        <f t="shared" si="54"/>
        <v/>
      </c>
      <c r="L233" s="120" t="str">
        <f t="shared" si="54"/>
        <v/>
      </c>
      <c r="M233" s="120" t="str">
        <f t="shared" si="54"/>
        <v/>
      </c>
      <c r="N233" s="120" t="str">
        <f t="shared" si="54"/>
        <v/>
      </c>
      <c r="O233" s="120" t="str">
        <f t="shared" si="54"/>
        <v/>
      </c>
      <c r="P233" s="120" t="str">
        <f t="shared" si="54"/>
        <v/>
      </c>
      <c r="Q233" s="120" t="str">
        <f t="shared" si="54"/>
        <v/>
      </c>
      <c r="R233" s="120" t="str">
        <f t="shared" si="54"/>
        <v/>
      </c>
      <c r="S233" s="120" t="str">
        <f t="shared" si="54"/>
        <v/>
      </c>
      <c r="T233" s="120" t="str">
        <f t="shared" si="54"/>
        <v/>
      </c>
      <c r="U233" s="120" t="str">
        <f t="shared" si="54"/>
        <v/>
      </c>
      <c r="V233" s="120" t="str">
        <f t="shared" si="54"/>
        <v/>
      </c>
      <c r="W233" s="120" t="str">
        <f t="shared" si="54"/>
        <v/>
      </c>
      <c r="X233" s="120" t="str">
        <f t="shared" si="54"/>
        <v/>
      </c>
      <c r="Y233" s="120" t="str">
        <f t="shared" si="54"/>
        <v/>
      </c>
      <c r="Z233" s="120" t="str">
        <f t="shared" si="54"/>
        <v/>
      </c>
      <c r="AA233" s="120" t="str">
        <f t="shared" si="54"/>
        <v/>
      </c>
      <c r="AB233" s="120" t="str">
        <f t="shared" si="54"/>
        <v/>
      </c>
      <c r="AC233" s="120" t="str">
        <f t="shared" si="54"/>
        <v/>
      </c>
      <c r="AD233" s="120" t="str">
        <f t="shared" si="54"/>
        <v/>
      </c>
      <c r="AE233" s="120" t="str">
        <f t="shared" si="54"/>
        <v/>
      </c>
      <c r="AF233" s="120" t="str">
        <f t="shared" si="54"/>
        <v/>
      </c>
      <c r="AG233" s="47"/>
      <c r="AH233" s="47"/>
    </row>
    <row r="234" spans="1:34" x14ac:dyDescent="0.25">
      <c r="A234" s="120" t="str">
        <f>A201</f>
        <v>MMRS</v>
      </c>
      <c r="B234" s="120" t="str">
        <f t="shared" ref="B234:AF234" si="55">IF(B201&lt;100,"",B201-620)</f>
        <v/>
      </c>
      <c r="C234" s="120" t="str">
        <f t="shared" si="55"/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MRS</v>
      </c>
      <c r="B235" s="120" t="str">
        <f t="shared" ref="B235:AF235" si="56">IF(B202&lt;100,"",B202-330)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KL 1</v>
      </c>
      <c r="B236" s="120" t="str">
        <f>IF(B203&lt;100,"",B203-1500)</f>
        <v/>
      </c>
      <c r="C236" s="120" t="str">
        <f t="shared" ref="C236:AF236" si="57">IF(C203&lt;100,"",C203-1500)</f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467" spans="36:38" x14ac:dyDescent="0.25">
      <c r="AK467" s="1"/>
    </row>
    <row r="468" spans="36:38" x14ac:dyDescent="0.25">
      <c r="AK468" s="1"/>
      <c r="AL468" s="1"/>
    </row>
    <row r="469" spans="36:38" x14ac:dyDescent="0.25">
      <c r="AJ469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8:B20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743" priority="445">
      <formula>S$9&gt;=20/24</formula>
    </cfRule>
    <cfRule type="expression" dxfId="5742" priority="446">
      <formula>AND(S$9&gt;=14/24,S$9&lt;20/24)</formula>
    </cfRule>
    <cfRule type="expression" dxfId="5741" priority="447">
      <formula>AND(S$9&gt;=8/24,S$9&lt;14/24)</formula>
    </cfRule>
    <cfRule type="expression" dxfId="5740" priority="448">
      <formula>S$9&lt;8/24</formula>
    </cfRule>
  </conditionalFormatting>
  <conditionalFormatting sqref="B8:AF10 AA79:AF79 C79:Q79 C54:AF54 C80:AF80 C191:AF197 AE55:AF58 C66:AF70 M60:M65 T210:AX210 N59:N65 L56:Q57 W38:W40 W83:W89 C78:AF78 L59:M59 L58:N58 C61:K65 C55:K59 O15:P18 L15:N26 P19:P31 O19:O26 L28:O31 O58:Q65 W11 W17:W29 L11:V13 Q15:V31 L35:V35 L37:V40 N43:V46 R56:V65 Z83:Z89 L51:V53 X51:AF53 AA11:AD12 AA38:AD41 AE59:AE65 AA82:AF89 C72:AF76">
    <cfRule type="expression" dxfId="5739" priority="441">
      <formula>B$9&gt;=20/24</formula>
    </cfRule>
    <cfRule type="expression" dxfId="5738" priority="442">
      <formula>AND(B$9&gt;=14/24,B$9&lt;20/24)</formula>
    </cfRule>
    <cfRule type="expression" dxfId="5737" priority="443">
      <formula>AND(B$9&gt;=8/24,B$9&lt;14/24)</formula>
    </cfRule>
    <cfRule type="expression" dxfId="5736" priority="444">
      <formula>B$9&lt;8/24</formula>
    </cfRule>
  </conditionalFormatting>
  <conditionalFormatting sqref="B189:AF189">
    <cfRule type="expression" dxfId="5735" priority="437">
      <formula>B$9&gt;=20/24</formula>
    </cfRule>
    <cfRule type="expression" dxfId="5734" priority="438">
      <formula>AND(B$9&gt;=14/24,B$9&lt;20/24)</formula>
    </cfRule>
    <cfRule type="expression" dxfId="5733" priority="439">
      <formula>AND(B$9&gt;=8/24,B$9&lt;14/24)</formula>
    </cfRule>
    <cfRule type="expression" dxfId="5732" priority="440">
      <formula>B$9&lt;8/24</formula>
    </cfRule>
  </conditionalFormatting>
  <conditionalFormatting sqref="AL4:AL6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L55:V55">
    <cfRule type="expression" dxfId="5731" priority="432">
      <formula>L$9&gt;=20/24</formula>
    </cfRule>
    <cfRule type="expression" dxfId="5730" priority="433">
      <formula>AND(L$9&gt;=14/24,L$9&lt;20/24)</formula>
    </cfRule>
    <cfRule type="expression" dxfId="5729" priority="434">
      <formula>AND(L$9&gt;=8/24,L$9&lt;14/24)</formula>
    </cfRule>
    <cfRule type="expression" dxfId="5728" priority="435">
      <formula>L$9&lt;8/24</formula>
    </cfRule>
  </conditionalFormatting>
  <conditionalFormatting sqref="L41:V41">
    <cfRule type="expression" dxfId="5727" priority="428">
      <formula>L$9&gt;=20/24</formula>
    </cfRule>
    <cfRule type="expression" dxfId="5726" priority="429">
      <formula>AND(L$9&gt;=14/24,L$9&lt;20/24)</formula>
    </cfRule>
    <cfRule type="expression" dxfId="5725" priority="430">
      <formula>AND(L$9&gt;=8/24,L$9&lt;14/24)</formula>
    </cfRule>
    <cfRule type="expression" dxfId="5724" priority="431">
      <formula>L$9&lt;8/24</formula>
    </cfRule>
  </conditionalFormatting>
  <conditionalFormatting sqref="W37 AA37:AD37">
    <cfRule type="expression" dxfId="5723" priority="420">
      <formula>W$9&gt;=20/24</formula>
    </cfRule>
    <cfRule type="expression" dxfId="5722" priority="421">
      <formula>AND(W$9&gt;=14/24,W$9&lt;20/24)</formula>
    </cfRule>
    <cfRule type="expression" dxfId="5721" priority="422">
      <formula>AND(W$9&gt;=8/24,W$9&lt;14/24)</formula>
    </cfRule>
    <cfRule type="expression" dxfId="5720" priority="423">
      <formula>W$9&lt;8/24</formula>
    </cfRule>
  </conditionalFormatting>
  <conditionalFormatting sqref="W55 AA55:AD55">
    <cfRule type="expression" dxfId="5719" priority="416">
      <formula>W$9&gt;=20/24</formula>
    </cfRule>
    <cfRule type="expression" dxfId="5718" priority="417">
      <formula>AND(W$9&gt;=14/24,W$9&lt;20/24)</formula>
    </cfRule>
    <cfRule type="expression" dxfId="5717" priority="418">
      <formula>AND(W$9&gt;=8/24,W$9&lt;14/24)</formula>
    </cfRule>
    <cfRule type="expression" dxfId="5716" priority="419">
      <formula>W$9&lt;8/24</formula>
    </cfRule>
  </conditionalFormatting>
  <conditionalFormatting sqref="R79:Z79">
    <cfRule type="expression" dxfId="5715" priority="412">
      <formula>R$9&gt;=20/24</formula>
    </cfRule>
    <cfRule type="expression" dxfId="5714" priority="413">
      <formula>AND(R$9&gt;=14/24,R$9&lt;20/24)</formula>
    </cfRule>
    <cfRule type="expression" dxfId="5713" priority="414">
      <formula>AND(R$9&gt;=8/24,R$9&lt;14/24)</formula>
    </cfRule>
    <cfRule type="expression" dxfId="5712" priority="415">
      <formula>R$9&lt;8/24</formula>
    </cfRule>
  </conditionalFormatting>
  <conditionalFormatting sqref="W82 Z82">
    <cfRule type="expression" dxfId="5711" priority="408">
      <formula>W$9&gt;=20/24</formula>
    </cfRule>
    <cfRule type="expression" dxfId="5710" priority="409">
      <formula>AND(W$9&gt;=14/24,W$9&lt;20/24)</formula>
    </cfRule>
    <cfRule type="expression" dxfId="5709" priority="410">
      <formula>AND(W$9&gt;=8/24,W$9&lt;14/24)</formula>
    </cfRule>
    <cfRule type="expression" dxfId="5708" priority="411">
      <formula>W$9&lt;8/24</formula>
    </cfRule>
  </conditionalFormatting>
  <conditionalFormatting sqref="L33:V33">
    <cfRule type="expression" dxfId="5707" priority="404">
      <formula>L$9&gt;=20/24</formula>
    </cfRule>
    <cfRule type="expression" dxfId="5706" priority="405">
      <formula>AND(L$9&gt;=14/24,L$9&lt;20/24)</formula>
    </cfRule>
    <cfRule type="expression" dxfId="5705" priority="406">
      <formula>AND(L$9&gt;=8/24,L$9&lt;14/24)</formula>
    </cfRule>
    <cfRule type="expression" dxfId="5704" priority="407">
      <formula>L$9&lt;8/24</formula>
    </cfRule>
  </conditionalFormatting>
  <conditionalFormatting sqref="L47:V47">
    <cfRule type="expression" dxfId="5703" priority="400">
      <formula>L$9&gt;=20/24</formula>
    </cfRule>
    <cfRule type="expression" dxfId="5702" priority="401">
      <formula>AND(L$9&gt;=14/24,L$9&lt;20/24)</formula>
    </cfRule>
    <cfRule type="expression" dxfId="5701" priority="402">
      <formula>AND(L$9&gt;=8/24,L$9&lt;14/24)</formula>
    </cfRule>
    <cfRule type="expression" dxfId="5700" priority="403">
      <formula>L$9&lt;8/24</formula>
    </cfRule>
  </conditionalFormatting>
  <conditionalFormatting sqref="L48:V48">
    <cfRule type="expression" dxfId="5699" priority="396">
      <formula>L$9&gt;=20/24</formula>
    </cfRule>
    <cfRule type="expression" dxfId="5698" priority="397">
      <formula>AND(L$9&gt;=14/24,L$9&lt;20/24)</formula>
    </cfRule>
    <cfRule type="expression" dxfId="5697" priority="398">
      <formula>AND(L$9&gt;=8/24,L$9&lt;14/24)</formula>
    </cfRule>
    <cfRule type="expression" dxfId="5696" priority="399">
      <formula>L$9&lt;8/24</formula>
    </cfRule>
  </conditionalFormatting>
  <conditionalFormatting sqref="L43:V46">
    <cfRule type="expression" dxfId="5695" priority="392">
      <formula>L$9&gt;=20/24</formula>
    </cfRule>
    <cfRule type="expression" dxfId="5694" priority="393">
      <formula>AND(L$9&gt;=14/24,L$9&lt;20/24)</formula>
    </cfRule>
    <cfRule type="expression" dxfId="5693" priority="394">
      <formula>AND(L$9&gt;=8/24,L$9&lt;14/24)</formula>
    </cfRule>
    <cfRule type="expression" dxfId="5692" priority="395">
      <formula>L$9&lt;8/24</formula>
    </cfRule>
  </conditionalFormatting>
  <conditionalFormatting sqref="W35 AB35:AD35">
    <cfRule type="expression" dxfId="5691" priority="388">
      <formula>W$9&gt;=20/24</formula>
    </cfRule>
    <cfRule type="expression" dxfId="5690" priority="389">
      <formula>AND(W$9&gt;=14/24,W$9&lt;20/24)</formula>
    </cfRule>
    <cfRule type="expression" dxfId="5689" priority="390">
      <formula>AND(W$9&gt;=8/24,W$9&lt;14/24)</formula>
    </cfRule>
    <cfRule type="expression" dxfId="5688" priority="391">
      <formula>W$9&lt;8/24</formula>
    </cfRule>
  </conditionalFormatting>
  <conditionalFormatting sqref="W30:W31 W33">
    <cfRule type="expression" dxfId="5687" priority="384">
      <formula>W$9&gt;=20/24</formula>
    </cfRule>
    <cfRule type="expression" dxfId="5686" priority="385">
      <formula>AND(W$9&gt;=14/24,W$9&lt;20/24)</formula>
    </cfRule>
    <cfRule type="expression" dxfId="5685" priority="386">
      <formula>AND(W$9&gt;=8/24,W$9&lt;14/24)</formula>
    </cfRule>
    <cfRule type="expression" dxfId="5684" priority="387">
      <formula>W$9&lt;8/24</formula>
    </cfRule>
  </conditionalFormatting>
  <conditionalFormatting sqref="W41 W43:W46 AA43:AD46">
    <cfRule type="expression" dxfId="5683" priority="380">
      <formula>W$9&gt;=20/24</formula>
    </cfRule>
    <cfRule type="expression" dxfId="5682" priority="381">
      <formula>AND(W$9&gt;=14/24,W$9&lt;20/24)</formula>
    </cfRule>
    <cfRule type="expression" dxfId="5681" priority="382">
      <formula>AND(W$9&gt;=8/24,W$9&lt;14/24)</formula>
    </cfRule>
    <cfRule type="expression" dxfId="5680" priority="383">
      <formula>W$9&lt;8/24</formula>
    </cfRule>
  </conditionalFormatting>
  <conditionalFormatting sqref="W47 AA47:AD47">
    <cfRule type="expression" dxfId="5679" priority="376">
      <formula>W$9&gt;=20/24</formula>
    </cfRule>
    <cfRule type="expression" dxfId="5678" priority="377">
      <formula>AND(W$9&gt;=14/24,W$9&lt;20/24)</formula>
    </cfRule>
    <cfRule type="expression" dxfId="5677" priority="378">
      <formula>AND(W$9&gt;=8/24,W$9&lt;14/24)</formula>
    </cfRule>
    <cfRule type="expression" dxfId="5676" priority="379">
      <formula>W$9&lt;8/24</formula>
    </cfRule>
  </conditionalFormatting>
  <conditionalFormatting sqref="W48 AA48:AD48">
    <cfRule type="expression" dxfId="5675" priority="372">
      <formula>W$9&gt;=20/24</formula>
    </cfRule>
    <cfRule type="expression" dxfId="5674" priority="373">
      <formula>AND(W$9&gt;=14/24,W$9&lt;20/24)</formula>
    </cfRule>
    <cfRule type="expression" dxfId="5673" priority="374">
      <formula>AND(W$9&gt;=8/24,W$9&lt;14/24)</formula>
    </cfRule>
    <cfRule type="expression" dxfId="5672" priority="375">
      <formula>W$9&lt;8/24</formula>
    </cfRule>
  </conditionalFormatting>
  <conditionalFormatting sqref="AF59:AF65 W58:W65 AA58:AD65">
    <cfRule type="expression" dxfId="5671" priority="368">
      <formula>W$9&gt;=20/24</formula>
    </cfRule>
    <cfRule type="expression" dxfId="5670" priority="369">
      <formula>AND(W$9&gt;=14/24,W$9&lt;20/24)</formula>
    </cfRule>
    <cfRule type="expression" dxfId="5669" priority="370">
      <formula>AND(W$9&gt;=8/24,W$9&lt;14/24)</formula>
    </cfRule>
    <cfRule type="expression" dxfId="5668" priority="371">
      <formula>W$9&lt;8/24</formula>
    </cfRule>
  </conditionalFormatting>
  <conditionalFormatting sqref="AA92:AF95">
    <cfRule type="expression" dxfId="5667" priority="364">
      <formula>AA$9&gt;=20/24</formula>
    </cfRule>
    <cfRule type="expression" dxfId="5666" priority="365">
      <formula>AND(AA$9&gt;=14/24,AA$9&lt;20/24)</formula>
    </cfRule>
    <cfRule type="expression" dxfId="5665" priority="366">
      <formula>AND(AA$9&gt;=8/24,AA$9&lt;14/24)</formula>
    </cfRule>
    <cfRule type="expression" dxfId="5664" priority="367">
      <formula>AA$9&lt;8/24</formula>
    </cfRule>
  </conditionalFormatting>
  <conditionalFormatting sqref="C60:K60">
    <cfRule type="expression" dxfId="5663" priority="360">
      <formula>C$9&gt;=20/24</formula>
    </cfRule>
    <cfRule type="expression" dxfId="5662" priority="361">
      <formula>AND(C$9&gt;=14/24,C$9&lt;20/24)</formula>
    </cfRule>
    <cfRule type="expression" dxfId="5661" priority="362">
      <formula>AND(C$9&gt;=8/24,C$9&lt;14/24)</formula>
    </cfRule>
    <cfRule type="expression" dxfId="5660" priority="363">
      <formula>C$9&lt;8/24</formula>
    </cfRule>
  </conditionalFormatting>
  <conditionalFormatting sqref="AG49 F11:M11 L33:L34 I17:K17 H12:M12 H15:K15 C35:L35 L13:M13 L15:N26 O15:P18 P19:P31 O19:O26 L28:O31 W11 W17:W31 N11:V13 Q15:V31 M33:W35 C36:AF36 C43:W48 C37:W41 C49:AF50 C54:AF54 C51:V53 X51:AF53 AA11:AE12 AE13 AB35:AF35 AE15:AF31 AF11:AF13 AE33:AF34 AA37:AF41 AA43:AF48">
    <cfRule type="expression" dxfId="5659" priority="355">
      <formula>C11&gt;$AG11</formula>
    </cfRule>
  </conditionalFormatting>
  <conditionalFormatting sqref="A98:A154 A82:A95 A11:A13 A15:A31 A43:A70 A78:A80 A72:A76 A33:A41 A167:A198">
    <cfRule type="expression" dxfId="5658" priority="354">
      <formula>$AH11=0</formula>
    </cfRule>
  </conditionalFormatting>
  <conditionalFormatting sqref="AA96:AF96">
    <cfRule type="expression" dxfId="5657" priority="350">
      <formula>AA$9&gt;=20/24</formula>
    </cfRule>
    <cfRule type="expression" dxfId="5656" priority="351">
      <formula>AND(AA$9&gt;=14/24,AA$9&lt;20/24)</formula>
    </cfRule>
    <cfRule type="expression" dxfId="5655" priority="352">
      <formula>AND(AA$9&gt;=8/24,AA$9&lt;14/24)</formula>
    </cfRule>
    <cfRule type="expression" dxfId="5654" priority="353">
      <formula>AA$9&lt;8/24</formula>
    </cfRule>
  </conditionalFormatting>
  <conditionalFormatting sqref="A96">
    <cfRule type="expression" dxfId="5653" priority="345">
      <formula>$AH96=0</formula>
    </cfRule>
  </conditionalFormatting>
  <conditionalFormatting sqref="L34:W34 AE34:AF34">
    <cfRule type="expression" dxfId="5652" priority="341">
      <formula>L$9&gt;=20/24</formula>
    </cfRule>
    <cfRule type="expression" dxfId="5651" priority="342">
      <formula>AND(L$9&gt;=14/24,L$9&lt;20/24)</formula>
    </cfRule>
    <cfRule type="expression" dxfId="5650" priority="343">
      <formula>AND(L$9&gt;=8/24,L$9&lt;14/24)</formula>
    </cfRule>
    <cfRule type="expression" dxfId="5649" priority="344">
      <formula>L$9&lt;8/24</formula>
    </cfRule>
  </conditionalFormatting>
  <conditionalFormatting sqref="W34 AE34:AF34">
    <cfRule type="expression" dxfId="5648" priority="337">
      <formula>W$9&gt;=20/24</formula>
    </cfRule>
    <cfRule type="expression" dxfId="5647" priority="338">
      <formula>AND(W$9&gt;=14/24,W$9&lt;20/24)</formula>
    </cfRule>
    <cfRule type="expression" dxfId="5646" priority="339">
      <formula>AND(W$9&gt;=8/24,W$9&lt;14/24)</formula>
    </cfRule>
    <cfRule type="expression" dxfId="5645" priority="340">
      <formula>W$9&lt;8/24</formula>
    </cfRule>
  </conditionalFormatting>
  <conditionalFormatting sqref="L60:L65">
    <cfRule type="expression" dxfId="5644" priority="325">
      <formula>L$9&gt;=20/24</formula>
    </cfRule>
    <cfRule type="expression" dxfId="5643" priority="326">
      <formula>AND(L$9&gt;=14/24,L$9&lt;20/24)</formula>
    </cfRule>
    <cfRule type="expression" dxfId="5642" priority="327">
      <formula>AND(L$9&gt;=8/24,L$9&lt;14/24)</formula>
    </cfRule>
    <cfRule type="expression" dxfId="5641" priority="328">
      <formula>L$9&lt;8/24</formula>
    </cfRule>
  </conditionalFormatting>
  <conditionalFormatting sqref="AL31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L32:V32">
    <cfRule type="expression" dxfId="5640" priority="316">
      <formula>L$9&gt;=20/24</formula>
    </cfRule>
    <cfRule type="expression" dxfId="5639" priority="317">
      <formula>AND(L$9&gt;=14/24,L$9&lt;20/24)</formula>
    </cfRule>
    <cfRule type="expression" dxfId="5638" priority="318">
      <formula>AND(L$9&gt;=8/24,L$9&lt;14/24)</formula>
    </cfRule>
    <cfRule type="expression" dxfId="5637" priority="319">
      <formula>L$9&lt;8/24</formula>
    </cfRule>
  </conditionalFormatting>
  <conditionalFormatting sqref="W32">
    <cfRule type="expression" dxfId="5636" priority="312">
      <formula>W$9&gt;=20/24</formula>
    </cfRule>
    <cfRule type="expression" dxfId="5635" priority="313">
      <formula>AND(W$9&gt;=14/24,W$9&lt;20/24)</formula>
    </cfRule>
    <cfRule type="expression" dxfId="5634" priority="314">
      <formula>AND(W$9&gt;=8/24,W$9&lt;14/24)</formula>
    </cfRule>
    <cfRule type="expression" dxfId="5633" priority="315">
      <formula>W$9&lt;8/24</formula>
    </cfRule>
  </conditionalFormatting>
  <conditionalFormatting sqref="L32:W32 AE32:AF32">
    <cfRule type="expression" dxfId="5632" priority="311">
      <formula>L32&gt;$AG32</formula>
    </cfRule>
  </conditionalFormatting>
  <conditionalFormatting sqref="A32">
    <cfRule type="expression" dxfId="5631" priority="310">
      <formula>$AH32=0</formula>
    </cfRule>
  </conditionalFormatting>
  <conditionalFormatting sqref="C81:AF81">
    <cfRule type="expression" dxfId="5630" priority="306">
      <formula>C$9&gt;=20/24</formula>
    </cfRule>
    <cfRule type="expression" dxfId="5629" priority="307">
      <formula>AND(C$9&gt;=14/24,C$9&lt;20/24)</formula>
    </cfRule>
    <cfRule type="expression" dxfId="5628" priority="308">
      <formula>AND(C$9&gt;=8/24,C$9&lt;14/24)</formula>
    </cfRule>
    <cfRule type="expression" dxfId="5627" priority="309">
      <formula>C$9&lt;8/24</formula>
    </cfRule>
  </conditionalFormatting>
  <conditionalFormatting sqref="A81">
    <cfRule type="expression" dxfId="5626" priority="305">
      <formula>$AH81=0</formula>
    </cfRule>
  </conditionalFormatting>
  <conditionalFormatting sqref="L14:V14">
    <cfRule type="expression" dxfId="5625" priority="297">
      <formula>L$9&gt;=20/24</formula>
    </cfRule>
    <cfRule type="expression" dxfId="5624" priority="298">
      <formula>AND(L$9&gt;=14/24,L$9&lt;20/24)</formula>
    </cfRule>
    <cfRule type="expression" dxfId="5623" priority="299">
      <formula>AND(L$9&gt;=8/24,L$9&lt;14/24)</formula>
    </cfRule>
    <cfRule type="expression" dxfId="5622" priority="300">
      <formula>L$9&lt;8/24</formula>
    </cfRule>
  </conditionalFormatting>
  <conditionalFormatting sqref="H14:V14 AE14:AF14">
    <cfRule type="expression" dxfId="5621" priority="296">
      <formula>H14&gt;$AG14</formula>
    </cfRule>
  </conditionalFormatting>
  <conditionalFormatting sqref="A14">
    <cfRule type="expression" dxfId="5620" priority="295">
      <formula>$AH14=0</formula>
    </cfRule>
  </conditionalFormatting>
  <conditionalFormatting sqref="A161:A166">
    <cfRule type="expression" dxfId="5619" priority="294">
      <formula>$AH161=0</formula>
    </cfRule>
  </conditionalFormatting>
  <conditionalFormatting sqref="A155:A160">
    <cfRule type="expression" dxfId="5618" priority="293">
      <formula>$AH155=0</formula>
    </cfRule>
  </conditionalFormatting>
  <conditionalFormatting sqref="AA42:AD42">
    <cfRule type="expression" dxfId="5617" priority="289">
      <formula>AA$9&gt;=20/24</formula>
    </cfRule>
    <cfRule type="expression" dxfId="5616" priority="290">
      <formula>AND(AA$9&gt;=14/24,AA$9&lt;20/24)</formula>
    </cfRule>
    <cfRule type="expression" dxfId="5615" priority="291">
      <formula>AND(AA$9&gt;=8/24,AA$9&lt;14/24)</formula>
    </cfRule>
    <cfRule type="expression" dxfId="5614" priority="292">
      <formula>AA$9&lt;8/24</formula>
    </cfRule>
  </conditionalFormatting>
  <conditionalFormatting sqref="L42:V42">
    <cfRule type="expression" dxfId="5613" priority="285">
      <formula>L$9&gt;=20/24</formula>
    </cfRule>
    <cfRule type="expression" dxfId="5612" priority="286">
      <formula>AND(L$9&gt;=14/24,L$9&lt;20/24)</formula>
    </cfRule>
    <cfRule type="expression" dxfId="5611" priority="287">
      <formula>AND(L$9&gt;=8/24,L$9&lt;14/24)</formula>
    </cfRule>
    <cfRule type="expression" dxfId="5610" priority="288">
      <formula>L$9&lt;8/24</formula>
    </cfRule>
  </conditionalFormatting>
  <conditionalFormatting sqref="W42">
    <cfRule type="expression" dxfId="5609" priority="281">
      <formula>W$9&gt;=20/24</formula>
    </cfRule>
    <cfRule type="expression" dxfId="5608" priority="282">
      <formula>AND(W$9&gt;=14/24,W$9&lt;20/24)</formula>
    </cfRule>
    <cfRule type="expression" dxfId="5607" priority="283">
      <formula>AND(W$9&gt;=8/24,W$9&lt;14/24)</formula>
    </cfRule>
    <cfRule type="expression" dxfId="5606" priority="284">
      <formula>W$9&lt;8/24</formula>
    </cfRule>
  </conditionalFormatting>
  <conditionalFormatting sqref="C42:W42 AA42:AF42">
    <cfRule type="expression" dxfId="5605" priority="280">
      <formula>C42&gt;$AG42</formula>
    </cfRule>
  </conditionalFormatting>
  <conditionalFormatting sqref="A42">
    <cfRule type="expression" dxfId="5604" priority="279">
      <formula>$AH42=0</formula>
    </cfRule>
  </conditionalFormatting>
  <conditionalFormatting sqref="C77:AF77">
    <cfRule type="expression" dxfId="5603" priority="275">
      <formula>C$9&gt;=20/24</formula>
    </cfRule>
    <cfRule type="expression" dxfId="5602" priority="276">
      <formula>AND(C$9&gt;=14/24,C$9&lt;20/24)</formula>
    </cfRule>
    <cfRule type="expression" dxfId="5601" priority="277">
      <formula>AND(C$9&gt;=8/24,C$9&lt;14/24)</formula>
    </cfRule>
    <cfRule type="expression" dxfId="5600" priority="278">
      <formula>C$9&lt;8/24</formula>
    </cfRule>
  </conditionalFormatting>
  <conditionalFormatting sqref="A77">
    <cfRule type="expression" dxfId="5599" priority="274">
      <formula>$AH77=0</formula>
    </cfRule>
  </conditionalFormatting>
  <conditionalFormatting sqref="C71:AG71">
    <cfRule type="expression" dxfId="5598" priority="270">
      <formula>C$9&gt;=20/24</formula>
    </cfRule>
    <cfRule type="expression" dxfId="5597" priority="271">
      <formula>AND(C$9&gt;=14/24,C$9&lt;20/24)</formula>
    </cfRule>
    <cfRule type="expression" dxfId="5596" priority="272">
      <formula>AND(C$9&gt;=8/24,C$9&lt;14/24)</formula>
    </cfRule>
    <cfRule type="expression" dxfId="5595" priority="273">
      <formula>C$9&lt;8/24</formula>
    </cfRule>
  </conditionalFormatting>
  <conditionalFormatting sqref="A71">
    <cfRule type="expression" dxfId="5594" priority="269">
      <formula>$AH71=0</formula>
    </cfRule>
  </conditionalFormatting>
  <conditionalFormatting sqref="AL32:AL33 AL7:AL30">
    <cfRule type="iconSet" priority="451">
      <iconSet iconSet="3TrafficLights2" reverse="1">
        <cfvo type="percent" val="0"/>
        <cfvo type="num" val="1"/>
        <cfvo type="num" val="1"/>
      </iconSet>
    </cfRule>
  </conditionalFormatting>
  <conditionalFormatting sqref="W12:W15">
    <cfRule type="expression" dxfId="5593" priority="188">
      <formula>W$9&gt;=20/24</formula>
    </cfRule>
    <cfRule type="expression" dxfId="5592" priority="189">
      <formula>AND(W$9&gt;=14/24,W$9&lt;20/24)</formula>
    </cfRule>
    <cfRule type="expression" dxfId="5591" priority="190">
      <formula>AND(W$9&gt;=8/24,W$9&lt;14/24)</formula>
    </cfRule>
    <cfRule type="expression" dxfId="5590" priority="191">
      <formula>W$9&lt;8/24</formula>
    </cfRule>
  </conditionalFormatting>
  <conditionalFormatting sqref="W16">
    <cfRule type="expression" dxfId="5589" priority="184">
      <formula>W$9&gt;=20/24</formula>
    </cfRule>
    <cfRule type="expression" dxfId="5588" priority="185">
      <formula>AND(W$9&gt;=14/24,W$9&lt;20/24)</formula>
    </cfRule>
    <cfRule type="expression" dxfId="5587" priority="186">
      <formula>AND(W$9&gt;=8/24,W$9&lt;14/24)</formula>
    </cfRule>
    <cfRule type="expression" dxfId="5586" priority="187">
      <formula>W$9&lt;8/24</formula>
    </cfRule>
  </conditionalFormatting>
  <conditionalFormatting sqref="C82:V89">
    <cfRule type="expression" dxfId="5585" priority="257">
      <formula>C$9&gt;=20/24</formula>
    </cfRule>
    <cfRule type="expression" dxfId="5584" priority="258">
      <formula>AND(C$9&gt;=14/24,C$9&lt;20/24)</formula>
    </cfRule>
    <cfRule type="expression" dxfId="5583" priority="259">
      <formula>AND(C$9&gt;=8/24,C$9&lt;14/24)</formula>
    </cfRule>
    <cfRule type="expression" dxfId="5582" priority="260">
      <formula>C$9&lt;8/24</formula>
    </cfRule>
  </conditionalFormatting>
  <conditionalFormatting sqref="AA56:AD57">
    <cfRule type="expression" dxfId="5581" priority="176">
      <formula>AA$9&gt;=20/24</formula>
    </cfRule>
    <cfRule type="expression" dxfId="5580" priority="177">
      <formula>AND(AA$9&gt;=14/24,AA$9&lt;20/24)</formula>
    </cfRule>
    <cfRule type="expression" dxfId="5579" priority="178">
      <formula>AND(AA$9&gt;=8/24,AA$9&lt;14/24)</formula>
    </cfRule>
    <cfRule type="expression" dxfId="5578" priority="179">
      <formula>AA$9&lt;8/24</formula>
    </cfRule>
  </conditionalFormatting>
  <conditionalFormatting sqref="C92:E92 C93:M95">
    <cfRule type="expression" dxfId="5577" priority="249">
      <formula>C$9&gt;=20/24</formula>
    </cfRule>
    <cfRule type="expression" dxfId="5576" priority="250">
      <formula>AND(C$9&gt;=14/24,C$9&lt;20/24)</formula>
    </cfRule>
    <cfRule type="expression" dxfId="5575" priority="251">
      <formula>AND(C$9&gt;=8/24,C$9&lt;14/24)</formula>
    </cfRule>
    <cfRule type="expression" dxfId="5574" priority="252">
      <formula>C$9&lt;8/24</formula>
    </cfRule>
  </conditionalFormatting>
  <conditionalFormatting sqref="N92:W95">
    <cfRule type="expression" dxfId="5573" priority="245">
      <formula>N$9&gt;=20/24</formula>
    </cfRule>
    <cfRule type="expression" dxfId="5572" priority="246">
      <formula>AND(N$9&gt;=14/24,N$9&lt;20/24)</formula>
    </cfRule>
    <cfRule type="expression" dxfId="5571" priority="247">
      <formula>AND(N$9&gt;=8/24,N$9&lt;14/24)</formula>
    </cfRule>
    <cfRule type="expression" dxfId="5570" priority="248">
      <formula>N$9&lt;8/24</formula>
    </cfRule>
  </conditionalFormatting>
  <conditionalFormatting sqref="B92:B95">
    <cfRule type="expression" dxfId="5569" priority="164">
      <formula>B$9&gt;=20/24</formula>
    </cfRule>
    <cfRule type="expression" dxfId="5568" priority="165">
      <formula>AND(B$9&gt;=14/24,B$9&lt;20/24)</formula>
    </cfRule>
    <cfRule type="expression" dxfId="5567" priority="166">
      <formula>AND(B$9&gt;=8/24,B$9&lt;14/24)</formula>
    </cfRule>
    <cfRule type="expression" dxfId="5566" priority="167">
      <formula>B$9&lt;8/24</formula>
    </cfRule>
  </conditionalFormatting>
  <conditionalFormatting sqref="C96:M96">
    <cfRule type="expression" dxfId="5565" priority="237">
      <formula>C$9&gt;=20/24</formula>
    </cfRule>
    <cfRule type="expression" dxfId="5564" priority="238">
      <formula>AND(C$9&gt;=14/24,C$9&lt;20/24)</formula>
    </cfRule>
    <cfRule type="expression" dxfId="5563" priority="239">
      <formula>AND(C$9&gt;=8/24,C$9&lt;14/24)</formula>
    </cfRule>
    <cfRule type="expression" dxfId="5562" priority="240">
      <formula>C$9&lt;8/24</formula>
    </cfRule>
  </conditionalFormatting>
  <conditionalFormatting sqref="N96:W96">
    <cfRule type="expression" dxfId="5561" priority="233">
      <formula>N$9&gt;=20/24</formula>
    </cfRule>
    <cfRule type="expression" dxfId="5560" priority="234">
      <formula>AND(N$9&gt;=14/24,N$9&lt;20/24)</formula>
    </cfRule>
    <cfRule type="expression" dxfId="5559" priority="235">
      <formula>AND(N$9&gt;=8/24,N$9&lt;14/24)</formula>
    </cfRule>
    <cfRule type="expression" dxfId="5558" priority="236">
      <formula>N$9&lt;8/24</formula>
    </cfRule>
  </conditionalFormatting>
  <conditionalFormatting sqref="L92:M92">
    <cfRule type="expression" dxfId="5557" priority="225">
      <formula>L$9&gt;=20/24</formula>
    </cfRule>
    <cfRule type="expression" dxfId="5556" priority="226">
      <formula>AND(L$9&gt;=14/24,L$9&lt;20/24)</formula>
    </cfRule>
    <cfRule type="expression" dxfId="5555" priority="227">
      <formula>AND(L$9&gt;=8/24,L$9&lt;14/24)</formula>
    </cfRule>
    <cfRule type="expression" dxfId="5554" priority="228">
      <formula>L$9&lt;8/24</formula>
    </cfRule>
  </conditionalFormatting>
  <conditionalFormatting sqref="F92:K92">
    <cfRule type="expression" dxfId="5553" priority="221">
      <formula>F$9&gt;=20/24</formula>
    </cfRule>
    <cfRule type="expression" dxfId="5552" priority="222">
      <formula>AND(F$9&gt;=14/24,F$9&lt;20/24)</formula>
    </cfRule>
    <cfRule type="expression" dxfId="5551" priority="223">
      <formula>AND(F$9&gt;=8/24,F$9&lt;14/24)</formula>
    </cfRule>
    <cfRule type="expression" dxfId="5550" priority="224">
      <formula>F$9&lt;8/24</formula>
    </cfRule>
  </conditionalFormatting>
  <conditionalFormatting sqref="B77">
    <cfRule type="expression" dxfId="5549" priority="140">
      <formula>B$9&gt;=20/24</formula>
    </cfRule>
    <cfRule type="expression" dxfId="5548" priority="141">
      <formula>AND(B$9&gt;=14/24,B$9&lt;20/24)</formula>
    </cfRule>
    <cfRule type="expression" dxfId="5547" priority="142">
      <formula>AND(B$9&gt;=8/24,B$9&lt;14/24)</formula>
    </cfRule>
    <cfRule type="expression" dxfId="5546" priority="143">
      <formula>B$9&lt;8/24</formula>
    </cfRule>
  </conditionalFormatting>
  <conditionalFormatting sqref="N92:W92">
    <cfRule type="expression" dxfId="5545" priority="213">
      <formula>N$9&gt;=20/24</formula>
    </cfRule>
    <cfRule type="expression" dxfId="5544" priority="214">
      <formula>AND(N$9&gt;=14/24,N$9&lt;20/24)</formula>
    </cfRule>
    <cfRule type="expression" dxfId="5543" priority="215">
      <formula>AND(N$9&gt;=8/24,N$9&lt;14/24)</formula>
    </cfRule>
    <cfRule type="expression" dxfId="5542" priority="216">
      <formula>N$9&lt;8/24</formula>
    </cfRule>
  </conditionalFormatting>
  <conditionalFormatting sqref="AA97:AF97">
    <cfRule type="expression" dxfId="5541" priority="209">
      <formula>AA$9&gt;=20/24</formula>
    </cfRule>
    <cfRule type="expression" dxfId="5540" priority="210">
      <formula>AND(AA$9&gt;=14/24,AA$9&lt;20/24)</formula>
    </cfRule>
    <cfRule type="expression" dxfId="5539" priority="211">
      <formula>AND(AA$9&gt;=8/24,AA$9&lt;14/24)</formula>
    </cfRule>
    <cfRule type="expression" dxfId="5538" priority="212">
      <formula>AA$9&lt;8/24</formula>
    </cfRule>
  </conditionalFormatting>
  <conditionalFormatting sqref="W97:Z97">
    <cfRule type="expression" dxfId="5537" priority="205">
      <formula>W$9&gt;=20/24</formula>
    </cfRule>
    <cfRule type="expression" dxfId="5536" priority="206">
      <formula>AND(W$9&gt;=14/24,W$9&lt;20/24)</formula>
    </cfRule>
    <cfRule type="expression" dxfId="5535" priority="207">
      <formula>AND(W$9&gt;=8/24,W$9&lt;14/24)</formula>
    </cfRule>
    <cfRule type="expression" dxfId="5534" priority="208">
      <formula>W$9&lt;8/24</formula>
    </cfRule>
  </conditionalFormatting>
  <conditionalFormatting sqref="A97">
    <cfRule type="expression" dxfId="5533" priority="204">
      <formula>$AH97=0</formula>
    </cfRule>
  </conditionalFormatting>
  <conditionalFormatting sqref="C97:M97">
    <cfRule type="expression" dxfId="5532" priority="200">
      <formula>C$9&gt;=20/24</formula>
    </cfRule>
    <cfRule type="expression" dxfId="5531" priority="201">
      <formula>AND(C$9&gt;=14/24,C$9&lt;20/24)</formula>
    </cfRule>
    <cfRule type="expression" dxfId="5530" priority="202">
      <formula>AND(C$9&gt;=8/24,C$9&lt;14/24)</formula>
    </cfRule>
    <cfRule type="expression" dxfId="5529" priority="203">
      <formula>C$9&lt;8/24</formula>
    </cfRule>
  </conditionalFormatting>
  <conditionalFormatting sqref="N97:V97">
    <cfRule type="expression" dxfId="5528" priority="196">
      <formula>N$9&gt;=20/24</formula>
    </cfRule>
    <cfRule type="expression" dxfId="5527" priority="197">
      <formula>AND(N$9&gt;=14/24,N$9&lt;20/24)</formula>
    </cfRule>
    <cfRule type="expression" dxfId="5526" priority="198">
      <formula>AND(N$9&gt;=8/24,N$9&lt;14/24)</formula>
    </cfRule>
    <cfRule type="expression" dxfId="5525" priority="199">
      <formula>N$9&lt;8/24</formula>
    </cfRule>
  </conditionalFormatting>
  <conditionalFormatting sqref="W12">
    <cfRule type="expression" dxfId="5524" priority="180">
      <formula>W$9&gt;=20/24</formula>
    </cfRule>
    <cfRule type="expression" dxfId="5523" priority="181">
      <formula>AND(W$9&gt;=14/24,W$9&lt;20/24)</formula>
    </cfRule>
    <cfRule type="expression" dxfId="5522" priority="182">
      <formula>AND(W$9&gt;=8/24,W$9&lt;14/24)</formula>
    </cfRule>
    <cfRule type="expression" dxfId="5521" priority="183">
      <formula>W$9&lt;8/24</formula>
    </cfRule>
  </conditionalFormatting>
  <conditionalFormatting sqref="B66:B70 B82:B89 B72:B76 B78:B80 B51:B58">
    <cfRule type="expression" dxfId="5520" priority="172">
      <formula>B$9&gt;=20/24</formula>
    </cfRule>
    <cfRule type="expression" dxfId="5519" priority="173">
      <formula>AND(B$9&gt;=14/24,B$9&lt;20/24)</formula>
    </cfRule>
    <cfRule type="expression" dxfId="5518" priority="174">
      <formula>AND(B$9&gt;=8/24,B$9&lt;14/24)</formula>
    </cfRule>
    <cfRule type="expression" dxfId="5517" priority="175">
      <formula>B$9&lt;8/24</formula>
    </cfRule>
  </conditionalFormatting>
  <conditionalFormatting sqref="X92:Y92">
    <cfRule type="expression" dxfId="5516" priority="50">
      <formula>Y$9&gt;=20/24</formula>
    </cfRule>
    <cfRule type="expression" dxfId="5515" priority="51">
      <formula>AND(Y$9&gt;=14/24,Y$9&lt;20/24)</formula>
    </cfRule>
    <cfRule type="expression" dxfId="5514" priority="52">
      <formula>AND(Y$9&gt;=8/24,Y$9&lt;14/24)</formula>
    </cfRule>
    <cfRule type="expression" dxfId="5513" priority="53">
      <formula>Y$9&lt;8/24</formula>
    </cfRule>
  </conditionalFormatting>
  <conditionalFormatting sqref="AA34:AD34">
    <cfRule type="expression" dxfId="5512" priority="11">
      <formula>AA$9&gt;=20/24</formula>
    </cfRule>
    <cfRule type="expression" dxfId="5511" priority="12">
      <formula>AND(AA$9&gt;=14/24,AA$9&lt;20/24)</formula>
    </cfRule>
    <cfRule type="expression" dxfId="5510" priority="13">
      <formula>AND(AA$9&gt;=8/24,AA$9&lt;14/24)</formula>
    </cfRule>
    <cfRule type="expression" dxfId="5509" priority="14">
      <formula>AA$9&lt;8/24</formula>
    </cfRule>
  </conditionalFormatting>
  <conditionalFormatting sqref="AA14:AD14">
    <cfRule type="expression" dxfId="5508" priority="1">
      <formula>AA14&gt;$AG14</formula>
    </cfRule>
  </conditionalFormatting>
  <conditionalFormatting sqref="B59:B65">
    <cfRule type="expression" dxfId="5507" priority="168">
      <formula>B$9&gt;=20/24</formula>
    </cfRule>
    <cfRule type="expression" dxfId="5506" priority="169">
      <formula>AND(B$9&gt;=14/24,B$9&lt;20/24)</formula>
    </cfRule>
    <cfRule type="expression" dxfId="5505" priority="170">
      <formula>AND(B$9&gt;=8/24,B$9&lt;14/24)</formula>
    </cfRule>
    <cfRule type="expression" dxfId="5504" priority="171">
      <formula>B$9&lt;8/24</formula>
    </cfRule>
  </conditionalFormatting>
  <conditionalFormatting sqref="B43:B54 B33:B41 B11:E13 B15:G26 F12:G13 H16:H26 H13:K13 I16:K16 I18:K26 C33:K34 B27:K31">
    <cfRule type="expression" dxfId="5503" priority="163">
      <formula>B11&gt;$AG11</formula>
    </cfRule>
  </conditionalFormatting>
  <conditionalFormatting sqref="B96">
    <cfRule type="expression" dxfId="5502" priority="159">
      <formula>B$9&gt;=20/24</formula>
    </cfRule>
    <cfRule type="expression" dxfId="5501" priority="160">
      <formula>AND(B$9&gt;=14/24,B$9&lt;20/24)</formula>
    </cfRule>
    <cfRule type="expression" dxfId="5500" priority="161">
      <formula>AND(B$9&gt;=8/24,B$9&lt;14/24)</formula>
    </cfRule>
    <cfRule type="expression" dxfId="5499" priority="162">
      <formula>B$9&lt;8/24</formula>
    </cfRule>
  </conditionalFormatting>
  <conditionalFormatting sqref="B34:K34">
    <cfRule type="expression" dxfId="5498" priority="155">
      <formula>B$9&gt;=20/24</formula>
    </cfRule>
    <cfRule type="expression" dxfId="5497" priority="156">
      <formula>AND(B$9&gt;=14/24,B$9&lt;20/24)</formula>
    </cfRule>
    <cfRule type="expression" dxfId="5496" priority="157">
      <formula>AND(B$9&gt;=8/24,B$9&lt;14/24)</formula>
    </cfRule>
    <cfRule type="expression" dxfId="5495" priority="158">
      <formula>B$9&lt;8/24</formula>
    </cfRule>
  </conditionalFormatting>
  <conditionalFormatting sqref="B34:K34">
    <cfRule type="expression" dxfId="5494" priority="151">
      <formula>B$9&gt;=20/24</formula>
    </cfRule>
    <cfRule type="expression" dxfId="5493" priority="152">
      <formula>AND(B$9&gt;=14/24,B$9&lt;20/24)</formula>
    </cfRule>
    <cfRule type="expression" dxfId="5492" priority="153">
      <formula>AND(B$9&gt;=8/24,B$9&lt;14/24)</formula>
    </cfRule>
    <cfRule type="expression" dxfId="5491" priority="154">
      <formula>B$9&lt;8/24</formula>
    </cfRule>
  </conditionalFormatting>
  <conditionalFormatting sqref="B32:K32">
    <cfRule type="expression" dxfId="5490" priority="150">
      <formula>B32&gt;$AG32</formula>
    </cfRule>
  </conditionalFormatting>
  <conditionalFormatting sqref="B81">
    <cfRule type="expression" dxfId="5489" priority="146">
      <formula>B$9&gt;=20/24</formula>
    </cfRule>
    <cfRule type="expression" dxfId="5488" priority="147">
      <formula>AND(B$9&gt;=14/24,B$9&lt;20/24)</formula>
    </cfRule>
    <cfRule type="expression" dxfId="5487" priority="148">
      <formula>AND(B$9&gt;=8/24,B$9&lt;14/24)</formula>
    </cfRule>
    <cfRule type="expression" dxfId="5486" priority="149">
      <formula>B$9&lt;8/24</formula>
    </cfRule>
  </conditionalFormatting>
  <conditionalFormatting sqref="B14:G14">
    <cfRule type="expression" dxfId="5485" priority="145">
      <formula>B14&gt;$AG14</formula>
    </cfRule>
  </conditionalFormatting>
  <conditionalFormatting sqref="B42">
    <cfRule type="expression" dxfId="5484" priority="144">
      <formula>B42&gt;$AG42</formula>
    </cfRule>
  </conditionalFormatting>
  <conditionalFormatting sqref="B71">
    <cfRule type="expression" dxfId="5483" priority="136">
      <formula>B$9&gt;=20/24</formula>
    </cfRule>
    <cfRule type="expression" dxfId="5482" priority="137">
      <formula>AND(B$9&gt;=14/24,B$9&lt;20/24)</formula>
    </cfRule>
    <cfRule type="expression" dxfId="5481" priority="138">
      <formula>AND(B$9&gt;=8/24,B$9&lt;14/24)</formula>
    </cfRule>
    <cfRule type="expression" dxfId="5480" priority="139">
      <formula>B$9&lt;8/24</formula>
    </cfRule>
  </conditionalFormatting>
  <conditionalFormatting sqref="B97">
    <cfRule type="expression" dxfId="5479" priority="132">
      <formula>B$9&gt;=20/24</formula>
    </cfRule>
    <cfRule type="expression" dxfId="5478" priority="133">
      <formula>AND(B$9&gt;=14/24,B$9&lt;20/24)</formula>
    </cfRule>
    <cfRule type="expression" dxfId="5477" priority="134">
      <formula>AND(B$9&gt;=8/24,B$9&lt;14/24)</formula>
    </cfRule>
    <cfRule type="expression" dxfId="5476" priority="135">
      <formula>B$9&lt;8/24</formula>
    </cfRule>
  </conditionalFormatting>
  <conditionalFormatting sqref="L27:O27">
    <cfRule type="expression" dxfId="5475" priority="128">
      <formula>L$9&gt;=20/24</formula>
    </cfRule>
    <cfRule type="expression" dxfId="5474" priority="129">
      <formula>AND(L$9&gt;=14/24,L$9&lt;20/24)</formula>
    </cfRule>
    <cfRule type="expression" dxfId="5473" priority="130">
      <formula>AND(L$9&gt;=8/24,L$9&lt;14/24)</formula>
    </cfRule>
    <cfRule type="expression" dxfId="5472" priority="131">
      <formula>L$9&lt;8/24</formula>
    </cfRule>
  </conditionalFormatting>
  <conditionalFormatting sqref="L27:O27">
    <cfRule type="expression" dxfId="5471" priority="127">
      <formula>L27&gt;$AG27</formula>
    </cfRule>
  </conditionalFormatting>
  <conditionalFormatting sqref="X11:Z13 X15:Z31 X35:Z35">
    <cfRule type="expression" dxfId="5470" priority="123">
      <formula>X$9&gt;=20/24</formula>
    </cfRule>
    <cfRule type="expression" dxfId="5469" priority="124">
      <formula>AND(X$9&gt;=14/24,X$9&lt;20/24)</formula>
    </cfRule>
    <cfRule type="expression" dxfId="5468" priority="125">
      <formula>AND(X$9&gt;=8/24,X$9&lt;14/24)</formula>
    </cfRule>
    <cfRule type="expression" dxfId="5467" priority="126">
      <formula>X$9&lt;8/24</formula>
    </cfRule>
  </conditionalFormatting>
  <conditionalFormatting sqref="X33:Z33">
    <cfRule type="expression" dxfId="5466" priority="119">
      <formula>X$9&gt;=20/24</formula>
    </cfRule>
    <cfRule type="expression" dxfId="5465" priority="120">
      <formula>AND(X$9&gt;=14/24,X$9&lt;20/24)</formula>
    </cfRule>
    <cfRule type="expression" dxfId="5464" priority="121">
      <formula>AND(X$9&gt;=8/24,X$9&lt;14/24)</formula>
    </cfRule>
    <cfRule type="expression" dxfId="5463" priority="122">
      <formula>X$9&lt;8/24</formula>
    </cfRule>
  </conditionalFormatting>
  <conditionalFormatting sqref="X11:Z13 X15:Z31 X33:Z35">
    <cfRule type="expression" dxfId="5462" priority="118">
      <formula>X11&gt;$AG11</formula>
    </cfRule>
  </conditionalFormatting>
  <conditionalFormatting sqref="X34:Z34">
    <cfRule type="expression" dxfId="5461" priority="114">
      <formula>X$9&gt;=20/24</formula>
    </cfRule>
    <cfRule type="expression" dxfId="5460" priority="115">
      <formula>AND(X$9&gt;=14/24,X$9&lt;20/24)</formula>
    </cfRule>
    <cfRule type="expression" dxfId="5459" priority="116">
      <formula>AND(X$9&gt;=8/24,X$9&lt;14/24)</formula>
    </cfRule>
    <cfRule type="expression" dxfId="5458" priority="117">
      <formula>X$9&lt;8/24</formula>
    </cfRule>
  </conditionalFormatting>
  <conditionalFormatting sqref="X32:Z32">
    <cfRule type="expression" dxfId="5457" priority="110">
      <formula>X$9&gt;=20/24</formula>
    </cfRule>
    <cfRule type="expression" dxfId="5456" priority="111">
      <formula>AND(X$9&gt;=14/24,X$9&lt;20/24)</formula>
    </cfRule>
    <cfRule type="expression" dxfId="5455" priority="112">
      <formula>AND(X$9&gt;=8/24,X$9&lt;14/24)</formula>
    </cfRule>
    <cfRule type="expression" dxfId="5454" priority="113">
      <formula>X$9&lt;8/24</formula>
    </cfRule>
  </conditionalFormatting>
  <conditionalFormatting sqref="X32:Z32">
    <cfRule type="expression" dxfId="5453" priority="109">
      <formula>X32&gt;$AG32</formula>
    </cfRule>
  </conditionalFormatting>
  <conditionalFormatting sqref="X14:Z14">
    <cfRule type="expression" dxfId="5452" priority="105">
      <formula>X$9&gt;=20/24</formula>
    </cfRule>
    <cfRule type="expression" dxfId="5451" priority="106">
      <formula>AND(X$9&gt;=14/24,X$9&lt;20/24)</formula>
    </cfRule>
    <cfRule type="expression" dxfId="5450" priority="107">
      <formula>AND(X$9&gt;=8/24,X$9&lt;14/24)</formula>
    </cfRule>
    <cfRule type="expression" dxfId="5449" priority="108">
      <formula>X$9&lt;8/24</formula>
    </cfRule>
  </conditionalFormatting>
  <conditionalFormatting sqref="X14:Z14">
    <cfRule type="expression" dxfId="5448" priority="104">
      <formula>X14&gt;$AG14</formula>
    </cfRule>
  </conditionalFormatting>
  <conditionalFormatting sqref="X37:Z40 X43:Z46">
    <cfRule type="expression" dxfId="5447" priority="100">
      <formula>X$9&gt;=20/24</formula>
    </cfRule>
    <cfRule type="expression" dxfId="5446" priority="101">
      <formula>AND(X$9&gt;=14/24,X$9&lt;20/24)</formula>
    </cfRule>
    <cfRule type="expression" dxfId="5445" priority="102">
      <formula>AND(X$9&gt;=8/24,X$9&lt;14/24)</formula>
    </cfRule>
    <cfRule type="expression" dxfId="5444" priority="103">
      <formula>X$9&lt;8/24</formula>
    </cfRule>
  </conditionalFormatting>
  <conditionalFormatting sqref="X41:Z41">
    <cfRule type="expression" dxfId="5443" priority="96">
      <formula>X$9&gt;=20/24</formula>
    </cfRule>
    <cfRule type="expression" dxfId="5442" priority="97">
      <formula>AND(X$9&gt;=14/24,X$9&lt;20/24)</formula>
    </cfRule>
    <cfRule type="expression" dxfId="5441" priority="98">
      <formula>AND(X$9&gt;=8/24,X$9&lt;14/24)</formula>
    </cfRule>
    <cfRule type="expression" dxfId="5440" priority="99">
      <formula>X$9&lt;8/24</formula>
    </cfRule>
  </conditionalFormatting>
  <conditionalFormatting sqref="X47:Z47">
    <cfRule type="expression" dxfId="5439" priority="92">
      <formula>X$9&gt;=20/24</formula>
    </cfRule>
    <cfRule type="expression" dxfId="5438" priority="93">
      <formula>AND(X$9&gt;=14/24,X$9&lt;20/24)</formula>
    </cfRule>
    <cfRule type="expression" dxfId="5437" priority="94">
      <formula>AND(X$9&gt;=8/24,X$9&lt;14/24)</formula>
    </cfRule>
    <cfRule type="expression" dxfId="5436" priority="95">
      <formula>X$9&lt;8/24</formula>
    </cfRule>
  </conditionalFormatting>
  <conditionalFormatting sqref="X48:Z48">
    <cfRule type="expression" dxfId="5435" priority="88">
      <formula>X$9&gt;=20/24</formula>
    </cfRule>
    <cfRule type="expression" dxfId="5434" priority="89">
      <formula>AND(X$9&gt;=14/24,X$9&lt;20/24)</formula>
    </cfRule>
    <cfRule type="expression" dxfId="5433" priority="90">
      <formula>AND(X$9&gt;=8/24,X$9&lt;14/24)</formula>
    </cfRule>
    <cfRule type="expression" dxfId="5432" priority="91">
      <formula>X$9&lt;8/24</formula>
    </cfRule>
  </conditionalFormatting>
  <conditionalFormatting sqref="X43:Z46">
    <cfRule type="expression" dxfId="5431" priority="84">
      <formula>X$9&gt;=20/24</formula>
    </cfRule>
    <cfRule type="expression" dxfId="5430" priority="85">
      <formula>AND(X$9&gt;=14/24,X$9&lt;20/24)</formula>
    </cfRule>
    <cfRule type="expression" dxfId="5429" priority="86">
      <formula>AND(X$9&gt;=8/24,X$9&lt;14/24)</formula>
    </cfRule>
    <cfRule type="expression" dxfId="5428" priority="87">
      <formula>X$9&lt;8/24</formula>
    </cfRule>
  </conditionalFormatting>
  <conditionalFormatting sqref="X43:Z48 X37:Z41">
    <cfRule type="expression" dxfId="5427" priority="83">
      <formula>X37&gt;$AG37</formula>
    </cfRule>
  </conditionalFormatting>
  <conditionalFormatting sqref="X42:Z42">
    <cfRule type="expression" dxfId="5426" priority="79">
      <formula>X$9&gt;=20/24</formula>
    </cfRule>
    <cfRule type="expression" dxfId="5425" priority="80">
      <formula>AND(X$9&gt;=14/24,X$9&lt;20/24)</formula>
    </cfRule>
    <cfRule type="expression" dxfId="5424" priority="81">
      <formula>AND(X$9&gt;=8/24,X$9&lt;14/24)</formula>
    </cfRule>
    <cfRule type="expression" dxfId="5423" priority="82">
      <formula>X$9&lt;8/24</formula>
    </cfRule>
  </conditionalFormatting>
  <conditionalFormatting sqref="X42:Z42">
    <cfRule type="expression" dxfId="5422" priority="78">
      <formula>X42&gt;$AG42</formula>
    </cfRule>
  </conditionalFormatting>
  <conditionalFormatting sqref="X56:Z65">
    <cfRule type="expression" dxfId="5421" priority="74">
      <formula>X$9&gt;=20/24</formula>
    </cfRule>
    <cfRule type="expression" dxfId="5420" priority="75">
      <formula>AND(X$9&gt;=14/24,X$9&lt;20/24)</formula>
    </cfRule>
    <cfRule type="expression" dxfId="5419" priority="76">
      <formula>AND(X$9&gt;=8/24,X$9&lt;14/24)</formula>
    </cfRule>
    <cfRule type="expression" dxfId="5418" priority="77">
      <formula>X$9&lt;8/24</formula>
    </cfRule>
  </conditionalFormatting>
  <conditionalFormatting sqref="X55:Z55">
    <cfRule type="expression" dxfId="5417" priority="70">
      <formula>X$9&gt;=20/24</formula>
    </cfRule>
    <cfRule type="expression" dxfId="5416" priority="71">
      <formula>AND(X$9&gt;=14/24,X$9&lt;20/24)</formula>
    </cfRule>
    <cfRule type="expression" dxfId="5415" priority="72">
      <formula>AND(X$9&gt;=8/24,X$9&lt;14/24)</formula>
    </cfRule>
    <cfRule type="expression" dxfId="5414" priority="73">
      <formula>X$9&lt;8/24</formula>
    </cfRule>
  </conditionalFormatting>
  <conditionalFormatting sqref="X83:Y89">
    <cfRule type="expression" dxfId="5413" priority="66">
      <formula>Y$9&gt;=20/24</formula>
    </cfRule>
    <cfRule type="expression" dxfId="5412" priority="67">
      <formula>AND(Y$9&gt;=14/24,Y$9&lt;20/24)</formula>
    </cfRule>
    <cfRule type="expression" dxfId="5411" priority="68">
      <formula>AND(Y$9&gt;=8/24,Y$9&lt;14/24)</formula>
    </cfRule>
    <cfRule type="expression" dxfId="5410" priority="69">
      <formula>Y$9&lt;8/24</formula>
    </cfRule>
  </conditionalFormatting>
  <conditionalFormatting sqref="X82:Y82">
    <cfRule type="expression" dxfId="5409" priority="62">
      <formula>Y$9&gt;=20/24</formula>
    </cfRule>
    <cfRule type="expression" dxfId="5408" priority="63">
      <formula>AND(Y$9&gt;=14/24,Y$9&lt;20/24)</formula>
    </cfRule>
    <cfRule type="expression" dxfId="5407" priority="64">
      <formula>AND(Y$9&gt;=8/24,Y$9&lt;14/24)</formula>
    </cfRule>
    <cfRule type="expression" dxfId="5406" priority="65">
      <formula>Y$9&lt;8/24</formula>
    </cfRule>
  </conditionalFormatting>
  <conditionalFormatting sqref="X92:Y95">
    <cfRule type="expression" dxfId="5405" priority="58">
      <formula>Y$9&gt;=20/24</formula>
    </cfRule>
    <cfRule type="expression" dxfId="5404" priority="59">
      <formula>AND(Y$9&gt;=14/24,Y$9&lt;20/24)</formula>
    </cfRule>
    <cfRule type="expression" dxfId="5403" priority="60">
      <formula>AND(Y$9&gt;=8/24,Y$9&lt;14/24)</formula>
    </cfRule>
    <cfRule type="expression" dxfId="5402" priority="61">
      <formula>Y$9&lt;8/24</formula>
    </cfRule>
  </conditionalFormatting>
  <conditionalFormatting sqref="X96:Y96">
    <cfRule type="expression" dxfId="5401" priority="54">
      <formula>Y$9&gt;=20/24</formula>
    </cfRule>
    <cfRule type="expression" dxfId="5400" priority="55">
      <formula>AND(Y$9&gt;=14/24,Y$9&lt;20/24)</formula>
    </cfRule>
    <cfRule type="expression" dxfId="5399" priority="56">
      <formula>AND(Y$9&gt;=8/24,Y$9&lt;14/24)</formula>
    </cfRule>
    <cfRule type="expression" dxfId="5398" priority="57">
      <formula>Y$9&lt;8/24</formula>
    </cfRule>
  </conditionalFormatting>
  <conditionalFormatting sqref="AA32:AD32">
    <cfRule type="expression" dxfId="5397" priority="7">
      <formula>AA$9&gt;=20/24</formula>
    </cfRule>
    <cfRule type="expression" dxfId="5396" priority="8">
      <formula>AND(AA$9&gt;=14/24,AA$9&lt;20/24)</formula>
    </cfRule>
    <cfRule type="expression" dxfId="5395" priority="9">
      <formula>AND(AA$9&gt;=8/24,AA$9&lt;14/24)</formula>
    </cfRule>
    <cfRule type="expression" dxfId="5394" priority="10">
      <formula>AA$9&lt;8/24</formula>
    </cfRule>
  </conditionalFormatting>
  <conditionalFormatting sqref="W51:W53">
    <cfRule type="expression" dxfId="5393" priority="37">
      <formula>W$9&gt;=20/24</formula>
    </cfRule>
    <cfRule type="expression" dxfId="5392" priority="38">
      <formula>AND(W$9&gt;=14/24,W$9&lt;20/24)</formula>
    </cfRule>
    <cfRule type="expression" dxfId="5391" priority="39">
      <formula>AND(W$9&gt;=8/24,W$9&lt;14/24)</formula>
    </cfRule>
    <cfRule type="expression" dxfId="5390" priority="40">
      <formula>W$9&lt;8/24</formula>
    </cfRule>
  </conditionalFormatting>
  <conditionalFormatting sqref="W51:W53">
    <cfRule type="expression" dxfId="5389" priority="36">
      <formula>W51&gt;$AG51</formula>
    </cfRule>
  </conditionalFormatting>
  <conditionalFormatting sqref="Z92">
    <cfRule type="expression" dxfId="5388" priority="24">
      <formula>AA$9&gt;=20/24</formula>
    </cfRule>
    <cfRule type="expression" dxfId="5387" priority="25">
      <formula>AND(AA$9&gt;=14/24,AA$9&lt;20/24)</formula>
    </cfRule>
    <cfRule type="expression" dxfId="5386" priority="26">
      <formula>AND(AA$9&gt;=8/24,AA$9&lt;14/24)</formula>
    </cfRule>
    <cfRule type="expression" dxfId="5385" priority="27">
      <formula>AA$9&lt;8/24</formula>
    </cfRule>
  </conditionalFormatting>
  <conditionalFormatting sqref="Z92:Z95">
    <cfRule type="expression" dxfId="5384" priority="32">
      <formula>AA$9&gt;=20/24</formula>
    </cfRule>
    <cfRule type="expression" dxfId="5383" priority="33">
      <formula>AND(AA$9&gt;=14/24,AA$9&lt;20/24)</formula>
    </cfRule>
    <cfRule type="expression" dxfId="5382" priority="34">
      <formula>AND(AA$9&gt;=8/24,AA$9&lt;14/24)</formula>
    </cfRule>
    <cfRule type="expression" dxfId="5381" priority="35">
      <formula>AA$9&lt;8/24</formula>
    </cfRule>
  </conditionalFormatting>
  <conditionalFormatting sqref="Z96">
    <cfRule type="expression" dxfId="5380" priority="28">
      <formula>AA$9&gt;=20/24</formula>
    </cfRule>
    <cfRule type="expression" dxfId="5379" priority="29">
      <formula>AND(AA$9&gt;=14/24,AA$9&lt;20/24)</formula>
    </cfRule>
    <cfRule type="expression" dxfId="5378" priority="30">
      <formula>AND(AA$9&gt;=8/24,AA$9&lt;14/24)</formula>
    </cfRule>
    <cfRule type="expression" dxfId="5377" priority="31">
      <formula>AA$9&lt;8/24</formula>
    </cfRule>
  </conditionalFormatting>
  <conditionalFormatting sqref="AA35 AA13:AD13 AA15:AD31">
    <cfRule type="expression" dxfId="5376" priority="20">
      <formula>AA$9&gt;=20/24</formula>
    </cfRule>
    <cfRule type="expression" dxfId="5375" priority="21">
      <formula>AND(AA$9&gt;=14/24,AA$9&lt;20/24)</formula>
    </cfRule>
    <cfRule type="expression" dxfId="5374" priority="22">
      <formula>AND(AA$9&gt;=8/24,AA$9&lt;14/24)</formula>
    </cfRule>
    <cfRule type="expression" dxfId="5373" priority="23">
      <formula>AA$9&lt;8/24</formula>
    </cfRule>
  </conditionalFormatting>
  <conditionalFormatting sqref="AA33:AD33">
    <cfRule type="expression" dxfId="5372" priority="16">
      <formula>AA$9&gt;=20/24</formula>
    </cfRule>
    <cfRule type="expression" dxfId="5371" priority="17">
      <formula>AND(AA$9&gt;=14/24,AA$9&lt;20/24)</formula>
    </cfRule>
    <cfRule type="expression" dxfId="5370" priority="18">
      <formula>AND(AA$9&gt;=8/24,AA$9&lt;14/24)</formula>
    </cfRule>
    <cfRule type="expression" dxfId="5369" priority="19">
      <formula>AA$9&lt;8/24</formula>
    </cfRule>
  </conditionalFormatting>
  <conditionalFormatting sqref="AA33:AA35 AA13:AD13 AA15:AD31 AB33:AD34">
    <cfRule type="expression" dxfId="5368" priority="15">
      <formula>AA13&gt;$AG13</formula>
    </cfRule>
  </conditionalFormatting>
  <conditionalFormatting sqref="AA32:AD32">
    <cfRule type="expression" dxfId="5367" priority="6">
      <formula>AA32&gt;$AG32</formula>
    </cfRule>
  </conditionalFormatting>
  <conditionalFormatting sqref="AA14:AD14">
    <cfRule type="expression" dxfId="5366" priority="2">
      <formula>AA$9&gt;=20/24</formula>
    </cfRule>
    <cfRule type="expression" dxfId="5365" priority="3">
      <formula>AND(AA$9&gt;=14/24,AA$9&lt;20/24)</formula>
    </cfRule>
    <cfRule type="expression" dxfId="5364" priority="4">
      <formula>AND(AA$9&gt;=8/24,AA$9&lt;14/24)</formula>
    </cfRule>
    <cfRule type="expression" dxfId="5363" priority="5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J58" sqref="J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2078/07/17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-61</v>
      </c>
      <c r="C5" s="32">
        <f t="shared" ref="C5:AF5" si="0">C67</f>
        <v>-57.4</v>
      </c>
      <c r="D5" s="32">
        <f t="shared" si="0"/>
        <v>-56.7</v>
      </c>
      <c r="E5" s="32">
        <f t="shared" si="0"/>
        <v>-55.2</v>
      </c>
      <c r="F5" s="32">
        <f t="shared" si="0"/>
        <v>-59</v>
      </c>
      <c r="G5" s="32">
        <f t="shared" si="0"/>
        <v>-59.3</v>
      </c>
      <c r="H5" s="32">
        <f t="shared" si="0"/>
        <v>-62.7</v>
      </c>
      <c r="I5" s="32">
        <f t="shared" si="0"/>
        <v>-45.9</v>
      </c>
      <c r="J5" s="32">
        <f t="shared" si="0"/>
        <v>-56.7</v>
      </c>
      <c r="K5" s="32">
        <f t="shared" si="0"/>
        <v>-55</v>
      </c>
      <c r="L5" s="32">
        <f t="shared" si="0"/>
        <v>-61.5</v>
      </c>
      <c r="M5" s="32">
        <f t="shared" si="0"/>
        <v>-55</v>
      </c>
      <c r="N5" s="32">
        <f t="shared" si="0"/>
        <v>-58.5</v>
      </c>
      <c r="O5" s="32">
        <f t="shared" si="0"/>
        <v>-53.8</v>
      </c>
      <c r="P5" s="32">
        <f t="shared" si="0"/>
        <v>-65</v>
      </c>
      <c r="Q5" s="32">
        <f t="shared" si="0"/>
        <v>-60</v>
      </c>
      <c r="R5" s="32">
        <f t="shared" si="0"/>
        <v>-78</v>
      </c>
      <c r="S5" s="32">
        <f t="shared" si="0"/>
        <v>-50.4</v>
      </c>
      <c r="T5" s="32">
        <f t="shared" si="0"/>
        <v>-39.799999999999997</v>
      </c>
      <c r="U5" s="32">
        <f t="shared" si="0"/>
        <v>-54.8</v>
      </c>
      <c r="V5" s="32">
        <f t="shared" si="0"/>
        <v>-41.2</v>
      </c>
      <c r="W5" s="32">
        <f t="shared" si="0"/>
        <v>-40</v>
      </c>
      <c r="X5" s="32">
        <f t="shared" si="0"/>
        <v>-48.6</v>
      </c>
      <c r="Y5" s="32">
        <f t="shared" si="0"/>
        <v>-74.5</v>
      </c>
      <c r="Z5" s="32">
        <f t="shared" si="0"/>
        <v>-63.1</v>
      </c>
      <c r="AA5" s="32">
        <f t="shared" si="0"/>
        <v>-43.6</v>
      </c>
      <c r="AB5" s="32">
        <f t="shared" si="0"/>
        <v>-60.2</v>
      </c>
      <c r="AC5" s="32">
        <f t="shared" si="0"/>
        <v>-66.900000000000006</v>
      </c>
      <c r="AD5" s="32">
        <f t="shared" si="0"/>
        <v>-75.599999999999994</v>
      </c>
      <c r="AE5" s="32">
        <f t="shared" si="0"/>
        <v>-57.9</v>
      </c>
      <c r="AF5" s="32">
        <f t="shared" si="0"/>
        <v>-58.1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1225MW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Load=854</v>
      </c>
      <c r="B7" s="37">
        <f t="shared" ref="B7:AF7" si="1">B74</f>
        <v>868.74</v>
      </c>
      <c r="C7" s="37">
        <f t="shared" si="1"/>
        <v>860.74</v>
      </c>
      <c r="D7" s="37">
        <f t="shared" si="1"/>
        <v>857.93999999999994</v>
      </c>
      <c r="E7" s="37">
        <f t="shared" si="1"/>
        <v>853.63999999999987</v>
      </c>
      <c r="F7" s="37">
        <f t="shared" si="1"/>
        <v>915.34</v>
      </c>
      <c r="G7" s="37">
        <f t="shared" si="1"/>
        <v>969.24</v>
      </c>
      <c r="H7" s="37">
        <f t="shared" si="1"/>
        <v>1021.44</v>
      </c>
      <c r="I7" s="37">
        <f t="shared" si="1"/>
        <v>1069.94</v>
      </c>
      <c r="J7" s="37">
        <f t="shared" si="1"/>
        <v>1138.44</v>
      </c>
      <c r="K7" s="37">
        <f t="shared" si="1"/>
        <v>1188.74</v>
      </c>
      <c r="L7" s="37">
        <f>L74</f>
        <v>1218.24</v>
      </c>
      <c r="M7" s="37">
        <f t="shared" si="1"/>
        <v>1224.74</v>
      </c>
      <c r="N7" s="37">
        <f t="shared" si="1"/>
        <v>1133.8400000000001</v>
      </c>
      <c r="O7" s="37">
        <f t="shared" si="1"/>
        <v>1087.44</v>
      </c>
      <c r="P7" s="37">
        <f t="shared" si="1"/>
        <v>1046.24</v>
      </c>
      <c r="Q7" s="37">
        <f t="shared" si="1"/>
        <v>1059.44</v>
      </c>
      <c r="R7" s="37">
        <f t="shared" si="1"/>
        <v>1027.3400000000001</v>
      </c>
      <c r="S7" s="37">
        <f t="shared" si="1"/>
        <v>1003.3400000000001</v>
      </c>
      <c r="T7" s="37">
        <f t="shared" si="1"/>
        <v>1022.3400000000001</v>
      </c>
      <c r="U7" s="37">
        <f t="shared" si="1"/>
        <v>1081.5400000000002</v>
      </c>
      <c r="V7" s="37">
        <f t="shared" si="1"/>
        <v>1192.44</v>
      </c>
      <c r="W7" s="37">
        <f t="shared" si="1"/>
        <v>1392.44</v>
      </c>
      <c r="X7" s="37">
        <f t="shared" si="1"/>
        <v>1391.0400000000002</v>
      </c>
      <c r="Y7" s="37">
        <f t="shared" si="1"/>
        <v>1306.04</v>
      </c>
      <c r="Z7" s="37">
        <f t="shared" si="1"/>
        <v>1281.24</v>
      </c>
      <c r="AA7" s="37">
        <f t="shared" si="1"/>
        <v>1224.54</v>
      </c>
      <c r="AB7" s="37">
        <f t="shared" si="1"/>
        <v>1168.6400000000001</v>
      </c>
      <c r="AC7" s="37">
        <f t="shared" si="1"/>
        <v>1089.3400000000001</v>
      </c>
      <c r="AD7" s="37">
        <f t="shared" si="1"/>
        <v>967.54000000000008</v>
      </c>
      <c r="AE7" s="37">
        <f t="shared" si="1"/>
        <v>907.34</v>
      </c>
      <c r="AF7" s="37">
        <f t="shared" si="1"/>
        <v>874.04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33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110</v>
      </c>
      <c r="C11" s="49">
        <v>110</v>
      </c>
      <c r="D11" s="49">
        <v>100</v>
      </c>
      <c r="E11" s="49">
        <v>100</v>
      </c>
      <c r="F11" s="49">
        <v>130</v>
      </c>
      <c r="G11" s="49">
        <v>160</v>
      </c>
      <c r="H11" s="49">
        <v>160</v>
      </c>
      <c r="I11" s="49">
        <v>160</v>
      </c>
      <c r="J11" s="49">
        <v>200</v>
      </c>
      <c r="K11" s="49">
        <v>210</v>
      </c>
      <c r="L11" s="50">
        <v>240</v>
      </c>
      <c r="M11" s="50">
        <v>250</v>
      </c>
      <c r="N11" s="50">
        <v>180</v>
      </c>
      <c r="O11" s="50">
        <v>180</v>
      </c>
      <c r="P11" s="50">
        <v>185</v>
      </c>
      <c r="Q11" s="51">
        <v>185</v>
      </c>
      <c r="R11" s="52">
        <v>135</v>
      </c>
      <c r="S11" s="52">
        <v>130</v>
      </c>
      <c r="T11" s="52">
        <v>120</v>
      </c>
      <c r="U11" s="52">
        <v>140</v>
      </c>
      <c r="V11" s="52">
        <v>180</v>
      </c>
      <c r="W11" s="52">
        <v>340</v>
      </c>
      <c r="X11" s="52">
        <v>340</v>
      </c>
      <c r="Y11" s="53">
        <v>320</v>
      </c>
      <c r="Z11" s="54">
        <v>280</v>
      </c>
      <c r="AA11" s="54">
        <v>220</v>
      </c>
      <c r="AB11" s="54">
        <v>210</v>
      </c>
      <c r="AC11" s="54">
        <v>160</v>
      </c>
      <c r="AD11" s="54">
        <v>100</v>
      </c>
      <c r="AE11" s="54">
        <v>90</v>
      </c>
      <c r="AF11" s="54">
        <v>60</v>
      </c>
      <c r="AG11" s="55">
        <v>456</v>
      </c>
      <c r="AH11" s="56">
        <f>MAX(B11:AF11)</f>
        <v>340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50</v>
      </c>
      <c r="I12" s="49">
        <v>50</v>
      </c>
      <c r="J12" s="49">
        <v>60</v>
      </c>
      <c r="K12" s="49">
        <v>60</v>
      </c>
      <c r="L12" s="49">
        <v>60</v>
      </c>
      <c r="M12" s="49">
        <v>50</v>
      </c>
      <c r="N12" s="49">
        <v>50</v>
      </c>
      <c r="O12" s="49">
        <v>50</v>
      </c>
      <c r="P12" s="49">
        <v>60</v>
      </c>
      <c r="Q12" s="49">
        <v>60</v>
      </c>
      <c r="R12" s="60">
        <v>60</v>
      </c>
      <c r="S12" s="60">
        <v>40</v>
      </c>
      <c r="T12" s="60">
        <v>40</v>
      </c>
      <c r="U12" s="60">
        <v>60</v>
      </c>
      <c r="V12" s="60">
        <v>60</v>
      </c>
      <c r="W12" s="60">
        <v>60</v>
      </c>
      <c r="X12" s="60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40</v>
      </c>
      <c r="AE12" s="50">
        <v>40</v>
      </c>
      <c r="AF12" s="50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13</v>
      </c>
      <c r="C13" s="49">
        <v>13</v>
      </c>
      <c r="D13" s="49">
        <v>13</v>
      </c>
      <c r="E13" s="49">
        <v>13</v>
      </c>
      <c r="F13" s="49">
        <v>13</v>
      </c>
      <c r="G13" s="49">
        <v>13</v>
      </c>
      <c r="H13" s="49">
        <v>13</v>
      </c>
      <c r="I13" s="49">
        <v>13</v>
      </c>
      <c r="J13" s="49">
        <v>13</v>
      </c>
      <c r="K13" s="49">
        <v>13</v>
      </c>
      <c r="L13" s="49">
        <v>13</v>
      </c>
      <c r="M13" s="49">
        <v>13</v>
      </c>
      <c r="N13" s="49">
        <v>13</v>
      </c>
      <c r="O13" s="49">
        <v>13</v>
      </c>
      <c r="P13" s="49">
        <v>13</v>
      </c>
      <c r="Q13" s="49">
        <v>13</v>
      </c>
      <c r="R13" s="49">
        <v>13</v>
      </c>
      <c r="S13" s="60">
        <v>13</v>
      </c>
      <c r="T13" s="60">
        <v>13</v>
      </c>
      <c r="U13" s="60">
        <v>13</v>
      </c>
      <c r="V13" s="60">
        <v>13</v>
      </c>
      <c r="W13" s="60">
        <v>0</v>
      </c>
      <c r="X13" s="60">
        <v>13</v>
      </c>
      <c r="Y13" s="50">
        <v>13</v>
      </c>
      <c r="Z13" s="50">
        <v>13</v>
      </c>
      <c r="AA13" s="50">
        <v>13</v>
      </c>
      <c r="AB13" s="50">
        <v>13</v>
      </c>
      <c r="AC13" s="50">
        <v>13</v>
      </c>
      <c r="AD13" s="50">
        <v>13</v>
      </c>
      <c r="AE13" s="50">
        <v>13</v>
      </c>
      <c r="AF13" s="50">
        <v>13</v>
      </c>
      <c r="AG13" s="61">
        <v>52.4</v>
      </c>
      <c r="AH13" s="56">
        <f>MAX(B13:AF13)</f>
        <v>13</v>
      </c>
      <c r="AI13" s="57">
        <f>MIN(B13:AF13)</f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25.6</v>
      </c>
      <c r="C14" s="49">
        <v>25.6</v>
      </c>
      <c r="D14" s="49">
        <v>25.6</v>
      </c>
      <c r="E14" s="49">
        <v>25.6</v>
      </c>
      <c r="F14" s="49">
        <v>25.6</v>
      </c>
      <c r="G14" s="49">
        <v>25.6</v>
      </c>
      <c r="H14" s="49">
        <v>25.6</v>
      </c>
      <c r="I14" s="49">
        <v>25.6</v>
      </c>
      <c r="J14" s="49">
        <v>25.6</v>
      </c>
      <c r="K14" s="49">
        <v>25.6</v>
      </c>
      <c r="L14" s="50">
        <v>25.4</v>
      </c>
      <c r="M14" s="50">
        <v>25.4</v>
      </c>
      <c r="N14" s="50">
        <v>25.4</v>
      </c>
      <c r="O14" s="50">
        <v>25.4</v>
      </c>
      <c r="P14" s="50">
        <v>25.4</v>
      </c>
      <c r="Q14" s="50">
        <v>25.2</v>
      </c>
      <c r="R14" s="50">
        <v>25.2</v>
      </c>
      <c r="S14" s="50">
        <v>25.2</v>
      </c>
      <c r="T14" s="50">
        <v>25.2</v>
      </c>
      <c r="U14" s="62">
        <v>25.2</v>
      </c>
      <c r="V14" s="62">
        <v>25.2</v>
      </c>
      <c r="W14" s="62">
        <v>25.2</v>
      </c>
      <c r="X14" s="62">
        <v>25.2</v>
      </c>
      <c r="Y14" s="62">
        <v>25.2</v>
      </c>
      <c r="Z14" s="62">
        <v>25.2</v>
      </c>
      <c r="AA14" s="62">
        <v>23.3</v>
      </c>
      <c r="AB14" s="62">
        <v>23.3</v>
      </c>
      <c r="AC14" s="62">
        <v>23.3</v>
      </c>
      <c r="AD14" s="62">
        <v>23.3</v>
      </c>
      <c r="AE14" s="62">
        <v>23.3</v>
      </c>
      <c r="AF14" s="62">
        <v>23.3</v>
      </c>
      <c r="AG14" s="61">
        <v>50</v>
      </c>
      <c r="AH14" s="56">
        <f t="shared" si="2"/>
        <v>25.6</v>
      </c>
      <c r="AI14" s="57">
        <f t="shared" si="3"/>
        <v>23.3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37.700000000000003</v>
      </c>
      <c r="C15" s="63">
        <v>37.700000000000003</v>
      </c>
      <c r="D15" s="63">
        <v>37.700000000000003</v>
      </c>
      <c r="E15" s="63">
        <v>37.700000000000003</v>
      </c>
      <c r="F15" s="63">
        <v>37.700000000000003</v>
      </c>
      <c r="G15" s="63">
        <v>37.700000000000003</v>
      </c>
      <c r="H15" s="63">
        <v>42.2</v>
      </c>
      <c r="I15" s="63">
        <v>42.2</v>
      </c>
      <c r="J15" s="63">
        <v>42.2</v>
      </c>
      <c r="K15" s="63">
        <v>42.2</v>
      </c>
      <c r="L15" s="50">
        <v>37</v>
      </c>
      <c r="M15" s="50">
        <v>37</v>
      </c>
      <c r="N15" s="50">
        <v>37</v>
      </c>
      <c r="O15" s="50">
        <v>37</v>
      </c>
      <c r="P15" s="50">
        <v>37</v>
      </c>
      <c r="Q15" s="50">
        <v>37</v>
      </c>
      <c r="R15" s="50">
        <v>37</v>
      </c>
      <c r="S15" s="50">
        <v>37</v>
      </c>
      <c r="T15" s="50">
        <v>37</v>
      </c>
      <c r="U15" s="50">
        <v>37</v>
      </c>
      <c r="V15" s="50">
        <v>37</v>
      </c>
      <c r="W15" s="62">
        <v>37</v>
      </c>
      <c r="X15" s="62">
        <v>37</v>
      </c>
      <c r="Y15" s="62">
        <v>37</v>
      </c>
      <c r="Z15" s="62">
        <v>37</v>
      </c>
      <c r="AA15" s="62">
        <v>37</v>
      </c>
      <c r="AB15" s="62">
        <v>37</v>
      </c>
      <c r="AC15" s="62">
        <v>37</v>
      </c>
      <c r="AD15" s="62">
        <v>37</v>
      </c>
      <c r="AE15" s="62">
        <v>37</v>
      </c>
      <c r="AF15" s="62">
        <v>37</v>
      </c>
      <c r="AG15" s="64">
        <v>45</v>
      </c>
      <c r="AH15" s="56">
        <f t="shared" si="2"/>
        <v>42.2</v>
      </c>
      <c r="AI15" s="57">
        <f t="shared" si="3"/>
        <v>37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23</v>
      </c>
      <c r="J16" s="49">
        <v>23</v>
      </c>
      <c r="K16" s="49">
        <v>23</v>
      </c>
      <c r="L16" s="49">
        <v>23</v>
      </c>
      <c r="M16" s="49">
        <v>23</v>
      </c>
      <c r="N16" s="49">
        <v>23</v>
      </c>
      <c r="O16" s="49">
        <v>23</v>
      </c>
      <c r="P16" s="49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50">
        <v>23</v>
      </c>
      <c r="W16" s="65">
        <v>26</v>
      </c>
      <c r="X16" s="65">
        <v>26</v>
      </c>
      <c r="Y16" s="65">
        <v>26</v>
      </c>
      <c r="Z16" s="65">
        <v>26</v>
      </c>
      <c r="AA16" s="65">
        <v>26</v>
      </c>
      <c r="AB16" s="65">
        <v>26</v>
      </c>
      <c r="AC16" s="65">
        <v>26</v>
      </c>
      <c r="AD16" s="65">
        <v>26</v>
      </c>
      <c r="AE16" s="65">
        <v>20</v>
      </c>
      <c r="AF16" s="65">
        <v>20</v>
      </c>
      <c r="AG16" s="61">
        <v>45</v>
      </c>
      <c r="AH16" s="56">
        <f t="shared" si="2"/>
        <v>26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25</v>
      </c>
      <c r="I17" s="49">
        <v>25</v>
      </c>
      <c r="J17" s="49">
        <v>25</v>
      </c>
      <c r="K17" s="49">
        <v>25</v>
      </c>
      <c r="L17" s="49">
        <v>25</v>
      </c>
      <c r="M17" s="49">
        <v>25</v>
      </c>
      <c r="N17" s="49">
        <v>25</v>
      </c>
      <c r="O17" s="49">
        <v>25</v>
      </c>
      <c r="P17" s="49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62">
        <v>25</v>
      </c>
      <c r="X17" s="62">
        <v>25</v>
      </c>
      <c r="Y17" s="62">
        <v>25</v>
      </c>
      <c r="Z17" s="62">
        <v>25</v>
      </c>
      <c r="AA17" s="62">
        <v>25</v>
      </c>
      <c r="AB17" s="62">
        <v>25</v>
      </c>
      <c r="AC17" s="62">
        <v>25</v>
      </c>
      <c r="AD17" s="62">
        <v>25</v>
      </c>
      <c r="AE17" s="62">
        <v>25</v>
      </c>
      <c r="AF17" s="62">
        <v>25</v>
      </c>
      <c r="AG17" s="61">
        <v>42</v>
      </c>
      <c r="AH17" s="56">
        <f t="shared" si="2"/>
        <v>25</v>
      </c>
      <c r="AI17" s="57">
        <f t="shared" si="3"/>
        <v>20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25</v>
      </c>
      <c r="J18" s="49">
        <v>25</v>
      </c>
      <c r="K18" s="49">
        <v>25</v>
      </c>
      <c r="L18" s="49">
        <v>25</v>
      </c>
      <c r="M18" s="49">
        <v>25</v>
      </c>
      <c r="N18" s="49">
        <v>25</v>
      </c>
      <c r="O18" s="49">
        <v>25</v>
      </c>
      <c r="P18" s="49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61">
        <v>36</v>
      </c>
      <c r="AH18" s="56">
        <f t="shared" si="2"/>
        <v>25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23.4</v>
      </c>
      <c r="C19" s="49">
        <v>23.4</v>
      </c>
      <c r="D19" s="49">
        <v>23.4</v>
      </c>
      <c r="E19" s="49">
        <v>23.4</v>
      </c>
      <c r="F19" s="49">
        <v>23.4</v>
      </c>
      <c r="G19" s="49">
        <v>23.4</v>
      </c>
      <c r="H19" s="49">
        <v>23.4</v>
      </c>
      <c r="I19" s="49">
        <v>23.4</v>
      </c>
      <c r="J19" s="49">
        <v>23.4</v>
      </c>
      <c r="K19" s="49">
        <v>23.4</v>
      </c>
      <c r="L19" s="49">
        <v>23.4</v>
      </c>
      <c r="M19" s="49">
        <v>23.4</v>
      </c>
      <c r="N19" s="49">
        <v>23.4</v>
      </c>
      <c r="O19" s="49">
        <v>23.4</v>
      </c>
      <c r="P19" s="49">
        <v>23.4</v>
      </c>
      <c r="Q19" s="50">
        <v>23.3</v>
      </c>
      <c r="R19" s="50">
        <v>23.3</v>
      </c>
      <c r="S19" s="50">
        <v>23.3</v>
      </c>
      <c r="T19" s="50">
        <v>23.3</v>
      </c>
      <c r="U19" s="50">
        <v>23.3</v>
      </c>
      <c r="V19" s="50">
        <v>23.3</v>
      </c>
      <c r="W19" s="50">
        <v>23.3</v>
      </c>
      <c r="X19" s="50">
        <v>23.3</v>
      </c>
      <c r="Y19" s="50">
        <v>23.3</v>
      </c>
      <c r="Z19" s="50">
        <v>23.3</v>
      </c>
      <c r="AA19" s="50">
        <v>23.3</v>
      </c>
      <c r="AB19" s="50">
        <v>23.3</v>
      </c>
      <c r="AC19" s="50">
        <v>23.3</v>
      </c>
      <c r="AD19" s="50">
        <v>23.3</v>
      </c>
      <c r="AE19" s="50">
        <v>23.3</v>
      </c>
      <c r="AF19" s="50">
        <v>23.3</v>
      </c>
      <c r="AG19" s="61">
        <v>30</v>
      </c>
      <c r="AH19" s="56">
        <f t="shared" si="2"/>
        <v>23.4</v>
      </c>
      <c r="AI19" s="57">
        <f t="shared" si="3"/>
        <v>23.3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49">
        <v>6.2</v>
      </c>
      <c r="N20" s="49">
        <v>6.2</v>
      </c>
      <c r="O20" s="49">
        <v>6.2</v>
      </c>
      <c r="P20" s="49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49">
        <v>11</v>
      </c>
      <c r="M21" s="49">
        <v>11</v>
      </c>
      <c r="N21" s="49">
        <v>11</v>
      </c>
      <c r="O21" s="49">
        <v>11</v>
      </c>
      <c r="P21" s="49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18</v>
      </c>
      <c r="C22" s="49">
        <v>18</v>
      </c>
      <c r="D22" s="49">
        <v>18</v>
      </c>
      <c r="E22" s="49">
        <v>18</v>
      </c>
      <c r="F22" s="49">
        <v>18</v>
      </c>
      <c r="G22" s="49">
        <v>18</v>
      </c>
      <c r="H22" s="49">
        <v>22</v>
      </c>
      <c r="I22" s="49">
        <v>22</v>
      </c>
      <c r="J22" s="49">
        <v>22</v>
      </c>
      <c r="K22" s="49">
        <v>22</v>
      </c>
      <c r="L22" s="49">
        <v>22</v>
      </c>
      <c r="M22" s="49">
        <v>22</v>
      </c>
      <c r="N22" s="49">
        <v>22</v>
      </c>
      <c r="O22" s="49">
        <v>22</v>
      </c>
      <c r="P22" s="49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49">
        <v>22</v>
      </c>
      <c r="M23" s="49">
        <v>22</v>
      </c>
      <c r="N23" s="49">
        <v>22</v>
      </c>
      <c r="O23" s="49">
        <v>22</v>
      </c>
      <c r="P23" s="49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</v>
      </c>
      <c r="AI23" s="57">
        <f t="shared" si="3"/>
        <v>22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21</v>
      </c>
      <c r="C24" s="49">
        <v>21</v>
      </c>
      <c r="D24" s="49">
        <v>21</v>
      </c>
      <c r="E24" s="49">
        <v>21</v>
      </c>
      <c r="F24" s="49">
        <v>21</v>
      </c>
      <c r="G24" s="49">
        <v>21</v>
      </c>
      <c r="H24" s="49">
        <v>21</v>
      </c>
      <c r="I24" s="49">
        <v>21</v>
      </c>
      <c r="J24" s="49">
        <v>21</v>
      </c>
      <c r="K24" s="49">
        <v>21</v>
      </c>
      <c r="L24" s="49">
        <v>21</v>
      </c>
      <c r="M24" s="49">
        <v>21</v>
      </c>
      <c r="N24" s="49">
        <v>21</v>
      </c>
      <c r="O24" s="49">
        <v>21</v>
      </c>
      <c r="P24" s="49">
        <v>21</v>
      </c>
      <c r="Q24" s="50">
        <v>21</v>
      </c>
      <c r="R24" s="50">
        <v>21</v>
      </c>
      <c r="S24" s="50">
        <v>21</v>
      </c>
      <c r="T24" s="50">
        <v>21</v>
      </c>
      <c r="U24" s="50">
        <v>21</v>
      </c>
      <c r="V24" s="50">
        <v>21</v>
      </c>
      <c r="W24" s="50">
        <v>21</v>
      </c>
      <c r="X24" s="50">
        <v>21</v>
      </c>
      <c r="Y24" s="50">
        <v>21</v>
      </c>
      <c r="Z24" s="50">
        <v>21</v>
      </c>
      <c r="AA24" s="50">
        <v>21</v>
      </c>
      <c r="AB24" s="50">
        <v>21</v>
      </c>
      <c r="AC24" s="50">
        <v>21</v>
      </c>
      <c r="AD24" s="50">
        <v>21</v>
      </c>
      <c r="AE24" s="50">
        <v>21</v>
      </c>
      <c r="AF24" s="50">
        <v>21</v>
      </c>
      <c r="AG24" s="61">
        <v>25</v>
      </c>
      <c r="AH24" s="56">
        <f t="shared" si="2"/>
        <v>21</v>
      </c>
      <c r="AI24" s="57">
        <f t="shared" si="3"/>
        <v>21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18</v>
      </c>
      <c r="C25" s="49">
        <v>18</v>
      </c>
      <c r="D25" s="49">
        <v>18</v>
      </c>
      <c r="E25" s="49">
        <v>18</v>
      </c>
      <c r="F25" s="49">
        <v>18</v>
      </c>
      <c r="G25" s="49">
        <v>18</v>
      </c>
      <c r="H25" s="49">
        <v>22</v>
      </c>
      <c r="I25" s="49">
        <v>22</v>
      </c>
      <c r="J25" s="49">
        <v>22</v>
      </c>
      <c r="K25" s="49">
        <v>22</v>
      </c>
      <c r="L25" s="49">
        <v>22</v>
      </c>
      <c r="M25" s="49">
        <v>22</v>
      </c>
      <c r="N25" s="49">
        <v>22</v>
      </c>
      <c r="O25" s="49">
        <v>22</v>
      </c>
      <c r="P25" s="49">
        <v>22</v>
      </c>
      <c r="Q25" s="50">
        <v>22</v>
      </c>
      <c r="R25" s="50">
        <v>22</v>
      </c>
      <c r="S25" s="50">
        <v>22</v>
      </c>
      <c r="T25" s="50">
        <v>22</v>
      </c>
      <c r="U25" s="50">
        <v>22</v>
      </c>
      <c r="V25" s="50">
        <v>22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22</v>
      </c>
      <c r="AE25" s="50">
        <v>22</v>
      </c>
      <c r="AF25" s="50">
        <v>22</v>
      </c>
      <c r="AG25" s="61">
        <v>24.2</v>
      </c>
      <c r="AH25" s="56">
        <f t="shared" si="2"/>
        <v>22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49">
        <v>4</v>
      </c>
      <c r="M26" s="49">
        <v>4</v>
      </c>
      <c r="N26" s="49">
        <v>4</v>
      </c>
      <c r="O26" s="49">
        <v>4</v>
      </c>
      <c r="P26" s="49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4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12</v>
      </c>
      <c r="C27" s="49">
        <v>12</v>
      </c>
      <c r="D27" s="49">
        <v>12</v>
      </c>
      <c r="E27" s="49">
        <v>12</v>
      </c>
      <c r="F27" s="49">
        <v>12</v>
      </c>
      <c r="G27" s="49">
        <v>12</v>
      </c>
      <c r="H27" s="49">
        <v>12</v>
      </c>
      <c r="I27" s="49">
        <v>12</v>
      </c>
      <c r="J27" s="49">
        <v>12</v>
      </c>
      <c r="K27" s="49">
        <v>12</v>
      </c>
      <c r="L27" s="49">
        <v>12</v>
      </c>
      <c r="M27" s="49">
        <v>12</v>
      </c>
      <c r="N27" s="49">
        <v>12</v>
      </c>
      <c r="O27" s="49">
        <v>12</v>
      </c>
      <c r="P27" s="49">
        <v>12</v>
      </c>
      <c r="Q27" s="49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12</v>
      </c>
      <c r="W27" s="50">
        <v>12</v>
      </c>
      <c r="X27" s="50">
        <v>12</v>
      </c>
      <c r="Y27" s="50">
        <v>12</v>
      </c>
      <c r="Z27" s="50">
        <v>12</v>
      </c>
      <c r="AA27" s="50">
        <v>12</v>
      </c>
      <c r="AB27" s="50">
        <v>12</v>
      </c>
      <c r="AC27" s="50">
        <v>12</v>
      </c>
      <c r="AD27" s="50">
        <v>12</v>
      </c>
      <c r="AE27" s="50">
        <v>12</v>
      </c>
      <c r="AF27" s="50">
        <v>12</v>
      </c>
      <c r="AG27" s="61">
        <v>23.5</v>
      </c>
      <c r="AH27" s="56">
        <f t="shared" si="2"/>
        <v>12</v>
      </c>
      <c r="AI27" s="57">
        <f t="shared" si="3"/>
        <v>12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4.5</v>
      </c>
      <c r="C28" s="49">
        <v>4.5</v>
      </c>
      <c r="D28" s="49">
        <v>4.5</v>
      </c>
      <c r="E28" s="49">
        <v>4.5</v>
      </c>
      <c r="F28" s="49">
        <v>4.5</v>
      </c>
      <c r="G28" s="49">
        <v>4.5</v>
      </c>
      <c r="H28" s="49">
        <v>4.5</v>
      </c>
      <c r="I28" s="49">
        <v>4.5</v>
      </c>
      <c r="J28" s="49">
        <v>4.5</v>
      </c>
      <c r="K28" s="49">
        <v>4.5</v>
      </c>
      <c r="L28" s="49">
        <v>4.5</v>
      </c>
      <c r="M28" s="49">
        <v>4.5</v>
      </c>
      <c r="N28" s="49">
        <v>4.5</v>
      </c>
      <c r="O28" s="49">
        <v>4.5</v>
      </c>
      <c r="P28" s="49">
        <v>4.5</v>
      </c>
      <c r="Q28" s="49">
        <v>4.5</v>
      </c>
      <c r="R28" s="50">
        <v>4.5</v>
      </c>
      <c r="S28" s="50">
        <v>4.5</v>
      </c>
      <c r="T28" s="50">
        <v>4.5</v>
      </c>
      <c r="U28" s="50">
        <v>4.5</v>
      </c>
      <c r="V28" s="50">
        <v>4.5</v>
      </c>
      <c r="W28" s="50">
        <v>4.5</v>
      </c>
      <c r="X28" s="50">
        <v>4.5</v>
      </c>
      <c r="Y28" s="50">
        <v>4.5</v>
      </c>
      <c r="Z28" s="50">
        <v>4.5</v>
      </c>
      <c r="AA28" s="50">
        <v>4.5</v>
      </c>
      <c r="AB28" s="50">
        <v>4.5</v>
      </c>
      <c r="AC28" s="50">
        <v>4.5</v>
      </c>
      <c r="AD28" s="50">
        <v>4.5</v>
      </c>
      <c r="AE28" s="50">
        <v>4.5</v>
      </c>
      <c r="AF28" s="50">
        <v>4.5</v>
      </c>
      <c r="AG28" s="61">
        <v>22.2</v>
      </c>
      <c r="AH28" s="56">
        <f t="shared" si="2"/>
        <v>4.5</v>
      </c>
      <c r="AI28" s="57">
        <f t="shared" si="3"/>
        <v>4.5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49">
        <v>12</v>
      </c>
      <c r="N30" s="49">
        <v>12</v>
      </c>
      <c r="O30" s="49">
        <v>12</v>
      </c>
      <c r="P30" s="49">
        <v>12</v>
      </c>
      <c r="Q30" s="49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</v>
      </c>
      <c r="C33" s="63">
        <v>9</v>
      </c>
      <c r="D33" s="63">
        <v>9</v>
      </c>
      <c r="E33" s="63">
        <v>9</v>
      </c>
      <c r="F33" s="63">
        <v>9</v>
      </c>
      <c r="G33" s="63">
        <v>9</v>
      </c>
      <c r="H33" s="63">
        <v>9</v>
      </c>
      <c r="I33" s="63">
        <v>9</v>
      </c>
      <c r="J33" s="63">
        <v>9</v>
      </c>
      <c r="K33" s="63">
        <v>9</v>
      </c>
      <c r="L33" s="63">
        <v>9</v>
      </c>
      <c r="M33" s="63">
        <v>9</v>
      </c>
      <c r="N33" s="63">
        <v>9</v>
      </c>
      <c r="O33" s="63">
        <v>9</v>
      </c>
      <c r="P33" s="63">
        <v>9</v>
      </c>
      <c r="Q33" s="63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230</v>
      </c>
      <c r="I35" s="63">
        <v>230</v>
      </c>
      <c r="J35" s="63">
        <v>230</v>
      </c>
      <c r="K35" s="63">
        <v>230</v>
      </c>
      <c r="L35" s="63">
        <v>230</v>
      </c>
      <c r="M35" s="63">
        <v>230</v>
      </c>
      <c r="N35" s="63">
        <v>230</v>
      </c>
      <c r="O35" s="63">
        <v>230</v>
      </c>
      <c r="P35" s="63">
        <v>230</v>
      </c>
      <c r="Q35" s="63">
        <v>230</v>
      </c>
      <c r="R35" s="63">
        <v>230</v>
      </c>
      <c r="S35" s="63">
        <v>230</v>
      </c>
      <c r="T35" s="63">
        <v>230</v>
      </c>
      <c r="U35" s="63">
        <v>230</v>
      </c>
      <c r="V35" s="63">
        <v>230</v>
      </c>
      <c r="W35" s="63">
        <v>230</v>
      </c>
      <c r="X35" s="63">
        <v>230</v>
      </c>
      <c r="Y35" s="63">
        <v>230</v>
      </c>
      <c r="Z35" s="63">
        <v>230</v>
      </c>
      <c r="AA35" s="63">
        <v>230</v>
      </c>
      <c r="AB35" s="63">
        <v>230</v>
      </c>
      <c r="AC35" s="63">
        <v>230</v>
      </c>
      <c r="AD35" s="63">
        <v>230</v>
      </c>
      <c r="AE35" s="63">
        <v>230</v>
      </c>
      <c r="AF35" s="63">
        <v>230</v>
      </c>
      <c r="AG35" s="69">
        <v>85</v>
      </c>
      <c r="AH35" s="56">
        <f t="shared" si="2"/>
        <v>230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63">
        <f>66.8+53.4</f>
        <v>120.19999999999999</v>
      </c>
      <c r="C36" s="63">
        <f>67.2+52.5</f>
        <v>119.7</v>
      </c>
      <c r="D36" s="63">
        <f>52.5+67.4</f>
        <v>119.9</v>
      </c>
      <c r="E36" s="63">
        <f>67.4+52.6</f>
        <v>120</v>
      </c>
      <c r="F36" s="63">
        <f>67.2+52.2</f>
        <v>119.4</v>
      </c>
      <c r="G36" s="63">
        <f>66.5+51.7</f>
        <v>118.2</v>
      </c>
      <c r="H36" s="63">
        <f>66.5+51.7</f>
        <v>118.2</v>
      </c>
      <c r="I36" s="63">
        <f>72.2+54.6</f>
        <v>126.80000000000001</v>
      </c>
      <c r="J36" s="63">
        <f>71.9+54.4</f>
        <v>126.30000000000001</v>
      </c>
      <c r="K36" s="63">
        <f>71.7+54.6</f>
        <v>126.30000000000001</v>
      </c>
      <c r="L36" s="63">
        <f>71.7+54.6</f>
        <v>126.30000000000001</v>
      </c>
      <c r="M36" s="63">
        <f>71.7+54.6</f>
        <v>126.30000000000001</v>
      </c>
      <c r="N36" s="63">
        <f>71.7+54.6</f>
        <v>126.30000000000001</v>
      </c>
      <c r="O36" s="63">
        <f>55.9+72.4</f>
        <v>128.30000000000001</v>
      </c>
      <c r="P36" s="63">
        <f>55.9+72.3</f>
        <v>128.19999999999999</v>
      </c>
      <c r="Q36" s="63">
        <v>128</v>
      </c>
      <c r="R36" s="63">
        <f>55.5+71.8</f>
        <v>127.3</v>
      </c>
      <c r="S36" s="72">
        <f>71.7+56.1</f>
        <v>127.80000000000001</v>
      </c>
      <c r="T36" s="72">
        <f>70.9+64</f>
        <v>134.9</v>
      </c>
      <c r="U36" s="72">
        <f>71+63.2</f>
        <v>134.19999999999999</v>
      </c>
      <c r="V36" s="72">
        <f>66.9+61.8</f>
        <v>128.69999999999999</v>
      </c>
      <c r="W36" s="72">
        <v>128</v>
      </c>
      <c r="X36" s="72">
        <v>128</v>
      </c>
      <c r="Y36" s="72">
        <v>128</v>
      </c>
      <c r="Z36" s="72">
        <v>128</v>
      </c>
      <c r="AA36" s="72">
        <v>128</v>
      </c>
      <c r="AB36" s="72">
        <f>64.5+64.3</f>
        <v>128.80000000000001</v>
      </c>
      <c r="AC36" s="72">
        <f>64.7+64.4</f>
        <v>129.10000000000002</v>
      </c>
      <c r="AD36" s="72">
        <f>68.6+65.3</f>
        <v>133.89999999999998</v>
      </c>
      <c r="AE36" s="72">
        <f>70.7+65.8</f>
        <v>136.5</v>
      </c>
      <c r="AF36" s="72">
        <f>55.4+71.1</f>
        <v>126.5</v>
      </c>
      <c r="AG36" s="69">
        <v>240</v>
      </c>
      <c r="AH36" s="56">
        <f t="shared" si="2"/>
        <v>136.5</v>
      </c>
      <c r="AI36" s="57">
        <f t="shared" si="3"/>
        <v>118.2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670.4</v>
      </c>
      <c r="C37" s="74">
        <f t="shared" si="4"/>
        <v>670.4</v>
      </c>
      <c r="D37" s="74">
        <f t="shared" si="4"/>
        <v>660.4</v>
      </c>
      <c r="E37" s="74">
        <f t="shared" si="4"/>
        <v>660.4</v>
      </c>
      <c r="F37" s="74">
        <f t="shared" si="4"/>
        <v>690.4</v>
      </c>
      <c r="G37" s="74">
        <f t="shared" si="4"/>
        <v>720.4</v>
      </c>
      <c r="H37" s="74">
        <f t="shared" si="4"/>
        <v>757.9</v>
      </c>
      <c r="I37" s="74">
        <f t="shared" si="4"/>
        <v>762.9</v>
      </c>
      <c r="J37" s="74">
        <f t="shared" si="4"/>
        <v>812.9</v>
      </c>
      <c r="K37" s="74">
        <f t="shared" si="4"/>
        <v>822.9</v>
      </c>
      <c r="L37" s="74">
        <f t="shared" si="4"/>
        <v>847.5</v>
      </c>
      <c r="M37" s="74">
        <f t="shared" si="4"/>
        <v>847.5</v>
      </c>
      <c r="N37" s="74">
        <f t="shared" si="4"/>
        <v>777.5</v>
      </c>
      <c r="O37" s="74">
        <f t="shared" si="4"/>
        <v>777.5</v>
      </c>
      <c r="P37" s="74">
        <f t="shared" si="4"/>
        <v>792.5</v>
      </c>
      <c r="Q37" s="74">
        <f t="shared" si="4"/>
        <v>792.2</v>
      </c>
      <c r="R37" s="74">
        <f t="shared" si="4"/>
        <v>742.2</v>
      </c>
      <c r="S37" s="74">
        <f t="shared" si="4"/>
        <v>717.2</v>
      </c>
      <c r="T37" s="74">
        <f t="shared" si="4"/>
        <v>707.2</v>
      </c>
      <c r="U37" s="74">
        <f t="shared" si="4"/>
        <v>747.2</v>
      </c>
      <c r="V37" s="74">
        <f t="shared" si="4"/>
        <v>787.2</v>
      </c>
      <c r="W37" s="74">
        <f t="shared" si="4"/>
        <v>937.2</v>
      </c>
      <c r="X37" s="74">
        <f t="shared" si="4"/>
        <v>950.2</v>
      </c>
      <c r="Y37" s="74">
        <f t="shared" si="4"/>
        <v>930.2</v>
      </c>
      <c r="Z37" s="74">
        <f t="shared" si="4"/>
        <v>890.2</v>
      </c>
      <c r="AA37" s="74">
        <f t="shared" si="4"/>
        <v>828.3</v>
      </c>
      <c r="AB37" s="74">
        <f t="shared" si="4"/>
        <v>818.3</v>
      </c>
      <c r="AC37" s="74">
        <f t="shared" si="4"/>
        <v>768.3</v>
      </c>
      <c r="AD37" s="74">
        <f t="shared" si="4"/>
        <v>688.3</v>
      </c>
      <c r="AE37" s="74">
        <f t="shared" si="4"/>
        <v>672.3</v>
      </c>
      <c r="AF37" s="74">
        <f t="shared" si="4"/>
        <v>642.29999999999995</v>
      </c>
      <c r="AG37" s="69">
        <f>SUM(AG11:AG36)</f>
        <v>1481.8299999999997</v>
      </c>
      <c r="AH37" s="56">
        <f>MAX(B37:AF37)</f>
        <v>950.2</v>
      </c>
      <c r="AI37" s="57">
        <f t="shared" si="3"/>
        <v>642.29999999999995</v>
      </c>
      <c r="AK37" s="58"/>
    </row>
    <row r="38" spans="1:88" x14ac:dyDescent="0.25">
      <c r="A38" s="59" t="s">
        <v>45</v>
      </c>
      <c r="B38" s="63">
        <v>81.400000000000006</v>
      </c>
      <c r="C38" s="63">
        <v>71</v>
      </c>
      <c r="D38" s="63">
        <v>60.6</v>
      </c>
      <c r="E38" s="63">
        <v>60.8</v>
      </c>
      <c r="F38" s="63">
        <v>69.900000000000006</v>
      </c>
      <c r="G38" s="63">
        <v>81.7</v>
      </c>
      <c r="H38" s="63">
        <v>102</v>
      </c>
      <c r="I38" s="63">
        <v>111.8</v>
      </c>
      <c r="J38" s="63">
        <v>121.5</v>
      </c>
      <c r="K38" s="63">
        <v>121.6</v>
      </c>
      <c r="L38" s="50">
        <v>142.9</v>
      </c>
      <c r="M38" s="50">
        <v>142.9</v>
      </c>
      <c r="N38" s="50">
        <v>133.30000000000001</v>
      </c>
      <c r="O38" s="50">
        <v>107</v>
      </c>
      <c r="P38" s="50">
        <v>101.5</v>
      </c>
      <c r="Q38" s="50">
        <v>110</v>
      </c>
      <c r="R38" s="50">
        <v>106</v>
      </c>
      <c r="S38" s="50">
        <v>106.6</v>
      </c>
      <c r="T38" s="50">
        <v>106.6</v>
      </c>
      <c r="U38" s="50">
        <v>106.6</v>
      </c>
      <c r="V38" s="50">
        <v>144.69999999999999</v>
      </c>
      <c r="W38" s="50">
        <v>144</v>
      </c>
      <c r="X38" s="50">
        <v>144</v>
      </c>
      <c r="Y38" s="50">
        <v>144</v>
      </c>
      <c r="Z38" s="50">
        <v>144</v>
      </c>
      <c r="AA38" s="50">
        <v>144</v>
      </c>
      <c r="AB38" s="50">
        <v>130.9</v>
      </c>
      <c r="AC38" s="50">
        <v>115</v>
      </c>
      <c r="AD38" s="50">
        <v>101.4</v>
      </c>
      <c r="AE38" s="50">
        <v>90.8</v>
      </c>
      <c r="AF38" s="50">
        <v>91.9</v>
      </c>
      <c r="AG38" s="64">
        <v>144</v>
      </c>
      <c r="AH38" s="56">
        <f t="shared" si="2"/>
        <v>144.69999999999999</v>
      </c>
      <c r="AI38" s="57">
        <f t="shared" si="3"/>
        <v>60.6</v>
      </c>
      <c r="AK38" s="58"/>
    </row>
    <row r="39" spans="1:88" x14ac:dyDescent="0.25">
      <c r="A39" s="68" t="s">
        <v>46</v>
      </c>
      <c r="B39" s="63">
        <v>25.7</v>
      </c>
      <c r="C39" s="63">
        <v>24.4</v>
      </c>
      <c r="D39" s="63">
        <v>25.1</v>
      </c>
      <c r="E39" s="63">
        <v>25.3</v>
      </c>
      <c r="F39" s="63">
        <v>34.1</v>
      </c>
      <c r="G39" s="63">
        <v>46.3</v>
      </c>
      <c r="H39" s="63">
        <v>45.4</v>
      </c>
      <c r="I39" s="63">
        <v>46.8</v>
      </c>
      <c r="J39" s="63">
        <v>54.6</v>
      </c>
      <c r="K39" s="63">
        <v>67.3</v>
      </c>
      <c r="L39" s="52">
        <v>64.400000000000006</v>
      </c>
      <c r="M39" s="52">
        <v>64.400000000000006</v>
      </c>
      <c r="N39" s="52">
        <v>60.4</v>
      </c>
      <c r="O39" s="52">
        <v>50.5</v>
      </c>
      <c r="P39" s="52">
        <v>22.7</v>
      </c>
      <c r="Q39" s="52">
        <v>29.1</v>
      </c>
      <c r="R39" s="52">
        <v>50.2</v>
      </c>
      <c r="S39" s="52">
        <v>50.8</v>
      </c>
      <c r="T39" s="52">
        <v>64.3</v>
      </c>
      <c r="U39" s="52">
        <v>60.7</v>
      </c>
      <c r="V39" s="52">
        <v>69.8</v>
      </c>
      <c r="W39" s="52">
        <v>70.599999999999994</v>
      </c>
      <c r="X39" s="52">
        <v>70.599999999999994</v>
      </c>
      <c r="Y39" s="52">
        <v>60</v>
      </c>
      <c r="Z39" s="52">
        <v>69.2</v>
      </c>
      <c r="AA39" s="52">
        <v>54.9</v>
      </c>
      <c r="AB39" s="52">
        <v>58.9</v>
      </c>
      <c r="AC39" s="52">
        <v>59.7</v>
      </c>
      <c r="AD39" s="52">
        <v>50.1</v>
      </c>
      <c r="AE39" s="52">
        <v>35</v>
      </c>
      <c r="AF39" s="52">
        <v>34.9</v>
      </c>
      <c r="AG39" s="69">
        <v>70</v>
      </c>
      <c r="AH39" s="56">
        <f t="shared" si="2"/>
        <v>70.599999999999994</v>
      </c>
      <c r="AI39" s="57">
        <f t="shared" si="3"/>
        <v>22.7</v>
      </c>
      <c r="AK39" s="58"/>
    </row>
    <row r="40" spans="1:88" x14ac:dyDescent="0.25">
      <c r="A40" s="68" t="s">
        <v>47</v>
      </c>
      <c r="B40" s="63">
        <v>35</v>
      </c>
      <c r="C40" s="63">
        <v>35.1</v>
      </c>
      <c r="D40" s="63">
        <v>41.4</v>
      </c>
      <c r="E40" s="63">
        <v>37.200000000000003</v>
      </c>
      <c r="F40" s="63">
        <v>47.5</v>
      </c>
      <c r="G40" s="63">
        <v>37.6</v>
      </c>
      <c r="H40" s="63">
        <v>36.299999999999997</v>
      </c>
      <c r="I40" s="63">
        <v>52.1</v>
      </c>
      <c r="J40" s="63">
        <v>62.4</v>
      </c>
      <c r="K40" s="63">
        <v>69.099999999999994</v>
      </c>
      <c r="L40" s="52">
        <v>63.5</v>
      </c>
      <c r="M40" s="52">
        <v>63.5</v>
      </c>
      <c r="N40" s="52">
        <v>70.400000000000006</v>
      </c>
      <c r="O40" s="52">
        <v>55.5</v>
      </c>
      <c r="P40" s="52">
        <v>32.700000000000003</v>
      </c>
      <c r="Q40" s="52">
        <v>46.6</v>
      </c>
      <c r="R40" s="52">
        <v>52</v>
      </c>
      <c r="S40" s="52">
        <v>34</v>
      </c>
      <c r="T40" s="52">
        <v>41.4</v>
      </c>
      <c r="U40" s="52">
        <v>66.900000000000006</v>
      </c>
      <c r="V40" s="52">
        <v>62</v>
      </c>
      <c r="W40" s="52">
        <v>69.400000000000006</v>
      </c>
      <c r="X40" s="52">
        <v>69.400000000000006</v>
      </c>
      <c r="Y40" s="52">
        <v>69.400000000000006</v>
      </c>
      <c r="Z40" s="52">
        <v>69</v>
      </c>
      <c r="AA40" s="52">
        <v>69</v>
      </c>
      <c r="AB40" s="52">
        <v>59.4</v>
      </c>
      <c r="AC40" s="52">
        <v>61.7</v>
      </c>
      <c r="AD40" s="52">
        <v>51.8</v>
      </c>
      <c r="AE40" s="52">
        <v>34.700000000000003</v>
      </c>
      <c r="AF40" s="52">
        <v>34.6</v>
      </c>
      <c r="AG40" s="69">
        <v>69</v>
      </c>
      <c r="AH40" s="56">
        <f t="shared" si="2"/>
        <v>70.400000000000006</v>
      </c>
      <c r="AI40" s="57">
        <f t="shared" si="3"/>
        <v>32.700000000000003</v>
      </c>
      <c r="AK40" s="58"/>
    </row>
    <row r="41" spans="1:88" x14ac:dyDescent="0.25">
      <c r="A41" s="68" t="s">
        <v>48</v>
      </c>
      <c r="B41" s="63">
        <v>21.4</v>
      </c>
      <c r="C41" s="63">
        <v>21.4</v>
      </c>
      <c r="D41" s="63">
        <v>30.7</v>
      </c>
      <c r="E41" s="63">
        <v>23.2</v>
      </c>
      <c r="F41" s="63">
        <v>30.5</v>
      </c>
      <c r="G41" s="63">
        <v>40.6</v>
      </c>
      <c r="H41" s="63">
        <v>40.6</v>
      </c>
      <c r="I41" s="63">
        <v>40.299999999999997</v>
      </c>
      <c r="J41" s="63">
        <v>41.8</v>
      </c>
      <c r="K41" s="63">
        <v>60.9</v>
      </c>
      <c r="L41" s="52">
        <v>59.5</v>
      </c>
      <c r="M41" s="52">
        <v>59.5</v>
      </c>
      <c r="N41" s="52">
        <v>48.8</v>
      </c>
      <c r="O41" s="52">
        <v>48.8</v>
      </c>
      <c r="P41" s="52">
        <v>60.9</v>
      </c>
      <c r="Q41" s="52">
        <v>40</v>
      </c>
      <c r="R41" s="52">
        <v>51.4</v>
      </c>
      <c r="S41" s="52">
        <v>41.6</v>
      </c>
      <c r="T41" s="52">
        <v>39.1</v>
      </c>
      <c r="U41" s="52">
        <v>51.4</v>
      </c>
      <c r="V41" s="52">
        <v>61.4</v>
      </c>
      <c r="W41" s="52">
        <v>61.2</v>
      </c>
      <c r="X41" s="52">
        <v>61.2</v>
      </c>
      <c r="Y41" s="52">
        <v>61.2</v>
      </c>
      <c r="Z41" s="52">
        <v>61.4</v>
      </c>
      <c r="AA41" s="52">
        <v>61.4</v>
      </c>
      <c r="AB41" s="52">
        <v>51.1</v>
      </c>
      <c r="AC41" s="52">
        <v>41.3</v>
      </c>
      <c r="AD41" s="52">
        <v>41.3</v>
      </c>
      <c r="AE41" s="52">
        <v>22.2</v>
      </c>
      <c r="AF41" s="52">
        <v>22.2</v>
      </c>
      <c r="AG41" s="69">
        <v>60</v>
      </c>
      <c r="AH41" s="56">
        <f t="shared" si="2"/>
        <v>61.4</v>
      </c>
      <c r="AI41" s="57">
        <f t="shared" si="3"/>
        <v>21.4</v>
      </c>
      <c r="AK41" s="58"/>
    </row>
    <row r="42" spans="1:88" x14ac:dyDescent="0.25">
      <c r="A42" s="68" t="s">
        <v>49</v>
      </c>
      <c r="B42" s="63">
        <v>24.6</v>
      </c>
      <c r="C42" s="63">
        <v>24.6</v>
      </c>
      <c r="D42" s="63">
        <v>25.2</v>
      </c>
      <c r="E42" s="63">
        <v>25.2</v>
      </c>
      <c r="F42" s="63">
        <v>25.2</v>
      </c>
      <c r="G42" s="63">
        <v>25.2</v>
      </c>
      <c r="H42" s="63">
        <v>25.2</v>
      </c>
      <c r="I42" s="63">
        <v>25.2</v>
      </c>
      <c r="J42" s="63">
        <v>25.2</v>
      </c>
      <c r="K42" s="63">
        <v>25.2</v>
      </c>
      <c r="L42" s="63">
        <v>25.2</v>
      </c>
      <c r="M42" s="63">
        <v>25.2</v>
      </c>
      <c r="N42" s="63">
        <v>25.2</v>
      </c>
      <c r="O42" s="63">
        <v>25.2</v>
      </c>
      <c r="P42" s="50">
        <v>24.2</v>
      </c>
      <c r="Q42" s="50">
        <v>24.8</v>
      </c>
      <c r="R42" s="50">
        <v>24.8</v>
      </c>
      <c r="S42" s="50">
        <v>24.8</v>
      </c>
      <c r="T42" s="50">
        <v>24.8</v>
      </c>
      <c r="U42" s="50">
        <v>24.8</v>
      </c>
      <c r="V42" s="50">
        <v>29.8</v>
      </c>
      <c r="W42" s="50">
        <v>29.8</v>
      </c>
      <c r="X42" s="50">
        <v>29.8</v>
      </c>
      <c r="Y42" s="50">
        <v>29.8</v>
      </c>
      <c r="Z42" s="50">
        <v>29.8</v>
      </c>
      <c r="AA42" s="50">
        <v>29.8</v>
      </c>
      <c r="AB42" s="50">
        <v>29.5</v>
      </c>
      <c r="AC42" s="50">
        <v>29.5</v>
      </c>
      <c r="AD42" s="50">
        <v>29.5</v>
      </c>
      <c r="AE42" s="50">
        <v>29.5</v>
      </c>
      <c r="AF42" s="50">
        <v>29.5</v>
      </c>
      <c r="AG42" s="69">
        <v>30</v>
      </c>
      <c r="AH42" s="56">
        <f t="shared" si="2"/>
        <v>29.8</v>
      </c>
      <c r="AI42" s="57">
        <f t="shared" si="3"/>
        <v>24.2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75">
        <v>12</v>
      </c>
      <c r="C44" s="75">
        <v>12</v>
      </c>
      <c r="D44" s="75">
        <v>12</v>
      </c>
      <c r="E44" s="75">
        <v>17.5</v>
      </c>
      <c r="F44" s="75">
        <v>17.5</v>
      </c>
      <c r="G44" s="75">
        <v>17.5</v>
      </c>
      <c r="H44" s="75">
        <v>17.5</v>
      </c>
      <c r="I44" s="75">
        <v>17.5</v>
      </c>
      <c r="J44" s="75">
        <v>17.5</v>
      </c>
      <c r="K44" s="75">
        <v>17.5</v>
      </c>
      <c r="L44" s="75">
        <v>17.5</v>
      </c>
      <c r="M44" s="75">
        <v>17.5</v>
      </c>
      <c r="N44" s="75">
        <v>17.5</v>
      </c>
      <c r="O44" s="75">
        <v>17.5</v>
      </c>
      <c r="P44" s="75">
        <v>17.5</v>
      </c>
      <c r="Q44" s="50">
        <v>17.5</v>
      </c>
      <c r="R44" s="50">
        <v>17.5</v>
      </c>
      <c r="S44" s="50">
        <v>17.5</v>
      </c>
      <c r="T44" s="50">
        <v>17.5</v>
      </c>
      <c r="U44" s="50">
        <v>17.5</v>
      </c>
      <c r="V44" s="50">
        <v>17.5</v>
      </c>
      <c r="W44" s="50">
        <v>17.5</v>
      </c>
      <c r="X44" s="50">
        <v>17.5</v>
      </c>
      <c r="Y44" s="50">
        <v>17.5</v>
      </c>
      <c r="Z44" s="50">
        <v>17.5</v>
      </c>
      <c r="AA44" s="50">
        <v>17.5</v>
      </c>
      <c r="AB44" s="50">
        <v>17.5</v>
      </c>
      <c r="AC44" s="50">
        <v>17.5</v>
      </c>
      <c r="AD44" s="50">
        <v>17.5</v>
      </c>
      <c r="AE44" s="50">
        <v>17.5</v>
      </c>
      <c r="AF44" s="50">
        <v>17.5</v>
      </c>
      <c r="AG44" s="69">
        <v>24</v>
      </c>
      <c r="AH44" s="56">
        <f t="shared" si="2"/>
        <v>17.5</v>
      </c>
      <c r="AI44" s="57">
        <f t="shared" si="3"/>
        <v>12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13</v>
      </c>
      <c r="C46" s="63">
        <v>13</v>
      </c>
      <c r="D46" s="63">
        <v>13</v>
      </c>
      <c r="E46" s="63">
        <v>13</v>
      </c>
      <c r="F46" s="63">
        <v>13</v>
      </c>
      <c r="G46" s="63">
        <v>13</v>
      </c>
      <c r="H46" s="63">
        <v>13</v>
      </c>
      <c r="I46" s="63">
        <v>13</v>
      </c>
      <c r="J46" s="63">
        <v>13</v>
      </c>
      <c r="K46" s="63">
        <v>13</v>
      </c>
      <c r="L46" s="63">
        <v>13</v>
      </c>
      <c r="M46" s="63">
        <v>13</v>
      </c>
      <c r="N46" s="63">
        <v>13</v>
      </c>
      <c r="O46" s="63">
        <v>13</v>
      </c>
      <c r="P46" s="63">
        <v>13</v>
      </c>
      <c r="Q46" s="50">
        <v>13</v>
      </c>
      <c r="R46" s="50">
        <v>13</v>
      </c>
      <c r="S46" s="50">
        <v>13</v>
      </c>
      <c r="T46" s="50">
        <v>13</v>
      </c>
      <c r="U46" s="50">
        <v>13</v>
      </c>
      <c r="V46" s="50">
        <v>13</v>
      </c>
      <c r="W46" s="50">
        <v>13</v>
      </c>
      <c r="X46" s="50">
        <v>13</v>
      </c>
      <c r="Y46" s="50">
        <v>13</v>
      </c>
      <c r="Z46" s="50">
        <v>13</v>
      </c>
      <c r="AA46" s="50">
        <v>13</v>
      </c>
      <c r="AB46" s="50">
        <v>13</v>
      </c>
      <c r="AC46" s="50">
        <v>13</v>
      </c>
      <c r="AD46" s="50">
        <v>13</v>
      </c>
      <c r="AE46" s="50">
        <v>13</v>
      </c>
      <c r="AF46" s="50">
        <v>13</v>
      </c>
      <c r="AG46" s="69">
        <v>14.1</v>
      </c>
      <c r="AH46" s="56">
        <f t="shared" si="2"/>
        <v>13</v>
      </c>
      <c r="AI46" s="57">
        <f t="shared" si="3"/>
        <v>13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75">
        <v>10</v>
      </c>
      <c r="C47" s="75">
        <v>10</v>
      </c>
      <c r="D47" s="75">
        <v>10</v>
      </c>
      <c r="E47" s="75">
        <v>10</v>
      </c>
      <c r="F47" s="75">
        <v>10</v>
      </c>
      <c r="G47" s="75">
        <v>10</v>
      </c>
      <c r="H47" s="75">
        <v>10</v>
      </c>
      <c r="I47" s="75">
        <v>10</v>
      </c>
      <c r="J47" s="75">
        <v>10</v>
      </c>
      <c r="K47" s="75">
        <v>10</v>
      </c>
      <c r="L47" s="75">
        <v>10</v>
      </c>
      <c r="M47" s="75">
        <v>10</v>
      </c>
      <c r="N47" s="75">
        <v>10</v>
      </c>
      <c r="O47" s="75">
        <v>10</v>
      </c>
      <c r="P47" s="75">
        <v>10</v>
      </c>
      <c r="Q47" s="50">
        <v>10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10</v>
      </c>
      <c r="AG47" s="69">
        <v>14</v>
      </c>
      <c r="AH47" s="56">
        <f t="shared" si="2"/>
        <v>14</v>
      </c>
      <c r="AI47" s="57">
        <f t="shared" si="3"/>
        <v>10</v>
      </c>
      <c r="AK47" s="58"/>
    </row>
    <row r="48" spans="1:88" x14ac:dyDescent="0.25">
      <c r="A48" s="68" t="s">
        <v>55</v>
      </c>
      <c r="B48" s="63">
        <v>9.6</v>
      </c>
      <c r="C48" s="63">
        <v>9.6</v>
      </c>
      <c r="D48" s="63">
        <v>9.6</v>
      </c>
      <c r="E48" s="63">
        <v>9.6</v>
      </c>
      <c r="F48" s="63">
        <v>9.6</v>
      </c>
      <c r="G48" s="63">
        <v>9.6</v>
      </c>
      <c r="H48" s="63">
        <v>9.6</v>
      </c>
      <c r="I48" s="63">
        <v>9.6</v>
      </c>
      <c r="J48" s="63">
        <v>9.6</v>
      </c>
      <c r="K48" s="63">
        <v>9.6</v>
      </c>
      <c r="L48" s="63">
        <v>9.6</v>
      </c>
      <c r="M48" s="63">
        <v>9.6</v>
      </c>
      <c r="N48" s="63">
        <v>9.6</v>
      </c>
      <c r="O48" s="63">
        <v>9.6</v>
      </c>
      <c r="P48" s="63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0">
        <v>9.6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50">
        <v>9.6</v>
      </c>
      <c r="AF48" s="50">
        <v>9.6</v>
      </c>
      <c r="AG48" s="69">
        <v>10.050000000000001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63">
        <v>3.1</v>
      </c>
      <c r="C49" s="63">
        <v>3.1</v>
      </c>
      <c r="D49" s="63">
        <v>3.1</v>
      </c>
      <c r="E49" s="63">
        <v>3.1</v>
      </c>
      <c r="F49" s="63">
        <v>3.1</v>
      </c>
      <c r="G49" s="63">
        <v>3.1</v>
      </c>
      <c r="H49" s="63">
        <v>3.1</v>
      </c>
      <c r="I49" s="63">
        <v>3.1</v>
      </c>
      <c r="J49" s="63">
        <v>3.1</v>
      </c>
      <c r="K49" s="63">
        <v>3.1</v>
      </c>
      <c r="L49" s="63">
        <v>3.1</v>
      </c>
      <c r="M49" s="63">
        <v>3.1</v>
      </c>
      <c r="N49" s="63">
        <v>3.1</v>
      </c>
      <c r="O49" s="63">
        <v>3.1</v>
      </c>
      <c r="P49" s="63">
        <v>3.1</v>
      </c>
      <c r="Q49" s="50">
        <v>3.1</v>
      </c>
      <c r="R49" s="50">
        <v>3.1</v>
      </c>
      <c r="S49" s="50">
        <v>3.1</v>
      </c>
      <c r="T49" s="50">
        <v>3.1</v>
      </c>
      <c r="U49" s="50">
        <v>3.1</v>
      </c>
      <c r="V49" s="50">
        <v>3.1</v>
      </c>
      <c r="W49" s="50">
        <v>3.1</v>
      </c>
      <c r="X49" s="50">
        <v>3.1</v>
      </c>
      <c r="Y49" s="50">
        <v>3.1</v>
      </c>
      <c r="Z49" s="50">
        <v>3.1</v>
      </c>
      <c r="AA49" s="50">
        <v>3.1</v>
      </c>
      <c r="AB49" s="50">
        <v>3.1</v>
      </c>
      <c r="AC49" s="50">
        <v>3.1</v>
      </c>
      <c r="AD49" s="50">
        <v>3.1</v>
      </c>
      <c r="AE49" s="50">
        <v>3.1</v>
      </c>
      <c r="AF49" s="50">
        <v>3.1</v>
      </c>
      <c r="AG49" s="69">
        <v>6.2</v>
      </c>
      <c r="AH49" s="56">
        <f t="shared" si="2"/>
        <v>3.1</v>
      </c>
      <c r="AI49" s="57">
        <f t="shared" si="3"/>
        <v>3.1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239.34</v>
      </c>
      <c r="C51" s="74">
        <f t="shared" si="6"/>
        <v>227.73999999999998</v>
      </c>
      <c r="D51" s="74">
        <f t="shared" si="6"/>
        <v>234.23999999999995</v>
      </c>
      <c r="E51" s="74">
        <f t="shared" si="6"/>
        <v>228.43999999999997</v>
      </c>
      <c r="F51" s="74">
        <f t="shared" si="6"/>
        <v>263.94000000000005</v>
      </c>
      <c r="G51" s="74">
        <f t="shared" si="6"/>
        <v>288.14000000000004</v>
      </c>
      <c r="H51" s="74">
        <f t="shared" si="6"/>
        <v>306.24000000000007</v>
      </c>
      <c r="I51" s="74">
        <f t="shared" si="6"/>
        <v>332.94000000000005</v>
      </c>
      <c r="J51" s="74">
        <f t="shared" si="6"/>
        <v>362.24000000000007</v>
      </c>
      <c r="K51" s="74">
        <f t="shared" si="6"/>
        <v>400.84000000000003</v>
      </c>
      <c r="L51" s="74">
        <f t="shared" si="6"/>
        <v>412.24000000000007</v>
      </c>
      <c r="M51" s="74">
        <f t="shared" si="6"/>
        <v>412.24000000000007</v>
      </c>
      <c r="N51" s="74">
        <f t="shared" si="6"/>
        <v>394.84000000000009</v>
      </c>
      <c r="O51" s="74">
        <f t="shared" si="6"/>
        <v>343.74000000000007</v>
      </c>
      <c r="P51" s="74">
        <f t="shared" si="6"/>
        <v>298.74000000000007</v>
      </c>
      <c r="Q51" s="74">
        <f t="shared" si="6"/>
        <v>307.24000000000007</v>
      </c>
      <c r="R51" s="74">
        <f t="shared" si="6"/>
        <v>343.14000000000004</v>
      </c>
      <c r="S51" s="74">
        <f t="shared" si="6"/>
        <v>316.54000000000002</v>
      </c>
      <c r="T51" s="74">
        <f t="shared" si="6"/>
        <v>334.94000000000005</v>
      </c>
      <c r="U51" s="74">
        <f t="shared" si="6"/>
        <v>369.1400000000001</v>
      </c>
      <c r="V51" s="74">
        <f t="shared" si="6"/>
        <v>426.44000000000005</v>
      </c>
      <c r="W51" s="74">
        <f t="shared" si="6"/>
        <v>435.74000000000007</v>
      </c>
      <c r="X51" s="74">
        <f t="shared" si="6"/>
        <v>435.74000000000007</v>
      </c>
      <c r="Y51" s="74">
        <f t="shared" si="6"/>
        <v>425.14000000000004</v>
      </c>
      <c r="Z51" s="74">
        <f t="shared" si="6"/>
        <v>434.14000000000004</v>
      </c>
      <c r="AA51" s="74">
        <f t="shared" si="6"/>
        <v>419.84000000000003</v>
      </c>
      <c r="AB51" s="74">
        <f t="shared" si="6"/>
        <v>390.54000000000008</v>
      </c>
      <c r="AC51" s="74">
        <f t="shared" si="6"/>
        <v>367.94000000000005</v>
      </c>
      <c r="AD51" s="74">
        <f t="shared" si="6"/>
        <v>334.84000000000009</v>
      </c>
      <c r="AE51" s="74">
        <f t="shared" si="6"/>
        <v>272.94000000000005</v>
      </c>
      <c r="AF51" s="74">
        <f t="shared" si="6"/>
        <v>269.84000000000003</v>
      </c>
      <c r="AG51" s="79">
        <f>SUM(AG38:AG50)</f>
        <v>489.91</v>
      </c>
      <c r="AH51" s="56">
        <f t="shared" si="2"/>
        <v>435.74000000000007</v>
      </c>
      <c r="AI51" s="57">
        <f t="shared" si="3"/>
        <v>227.73999999999998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30.4</v>
      </c>
      <c r="X52" s="50">
        <v>19.8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30.4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52">
        <v>0</v>
      </c>
      <c r="R53" s="52">
        <v>0</v>
      </c>
      <c r="S53" s="50">
        <v>0</v>
      </c>
      <c r="T53" s="50">
        <v>0</v>
      </c>
      <c r="U53" s="52">
        <v>0</v>
      </c>
      <c r="V53" s="52">
        <v>0</v>
      </c>
      <c r="W53" s="52">
        <v>6.7</v>
      </c>
      <c r="X53" s="52">
        <v>10.199999999999999</v>
      </c>
      <c r="Y53" s="52">
        <v>3.8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10.199999999999999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82">
        <v>0</v>
      </c>
      <c r="R54" s="82">
        <v>0</v>
      </c>
      <c r="S54" s="50">
        <v>0</v>
      </c>
      <c r="T54" s="50">
        <v>0</v>
      </c>
      <c r="U54" s="82">
        <v>0</v>
      </c>
      <c r="V54" s="82">
        <v>0</v>
      </c>
      <c r="W54" s="82">
        <v>2.4</v>
      </c>
      <c r="X54" s="82">
        <v>3.7</v>
      </c>
      <c r="Y54" s="82">
        <v>1.4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3.7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>SUM(T52:T54)</f>
        <v>0</v>
      </c>
      <c r="U55" s="74">
        <f t="shared" si="7"/>
        <v>0</v>
      </c>
      <c r="V55" s="74">
        <f t="shared" si="7"/>
        <v>0</v>
      </c>
      <c r="W55" s="74">
        <f t="shared" si="7"/>
        <v>39.5</v>
      </c>
      <c r="X55" s="74">
        <f t="shared" si="7"/>
        <v>33.700000000000003</v>
      </c>
      <c r="Y55" s="74">
        <f t="shared" si="7"/>
        <v>5.1999999999999993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39.5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-61</v>
      </c>
      <c r="C58" s="52">
        <v>-57.4</v>
      </c>
      <c r="D58" s="52">
        <v>-56.7</v>
      </c>
      <c r="E58" s="52">
        <v>-55.2</v>
      </c>
      <c r="F58" s="52">
        <v>-59</v>
      </c>
      <c r="G58" s="50">
        <v>-59.3</v>
      </c>
      <c r="H58" s="50">
        <v>-62.7</v>
      </c>
      <c r="I58" s="50">
        <v>-45.9</v>
      </c>
      <c r="J58" s="50">
        <v>-56.7</v>
      </c>
      <c r="K58" s="50">
        <v>-55</v>
      </c>
      <c r="L58" s="50">
        <v>-61.5</v>
      </c>
      <c r="M58" s="50">
        <v>-55</v>
      </c>
      <c r="N58" s="50">
        <v>-58.5</v>
      </c>
      <c r="O58" s="50">
        <v>-53.8</v>
      </c>
      <c r="P58" s="50">
        <v>-65</v>
      </c>
      <c r="Q58" s="52">
        <v>-60</v>
      </c>
      <c r="R58" s="52">
        <v>-78</v>
      </c>
      <c r="S58" s="52">
        <v>-50.4</v>
      </c>
      <c r="T58" s="52">
        <v>-39.799999999999997</v>
      </c>
      <c r="U58" s="52">
        <v>-54.8</v>
      </c>
      <c r="V58" s="52">
        <v>-41.2</v>
      </c>
      <c r="W58" s="85">
        <v>-40</v>
      </c>
      <c r="X58" s="85">
        <v>-48.6</v>
      </c>
      <c r="Y58" s="85">
        <v>-74.5</v>
      </c>
      <c r="Z58" s="85">
        <v>-63.1</v>
      </c>
      <c r="AA58" s="52">
        <v>-43.6</v>
      </c>
      <c r="AB58" s="52">
        <v>-60.2</v>
      </c>
      <c r="AC58" s="52">
        <v>-66.900000000000006</v>
      </c>
      <c r="AD58" s="52">
        <v>-75.599999999999994</v>
      </c>
      <c r="AE58" s="52">
        <v>-57.9</v>
      </c>
      <c r="AF58" s="52">
        <v>-58.1</v>
      </c>
      <c r="AG58" s="86"/>
      <c r="AH58" s="56">
        <f t="shared" si="2"/>
        <v>-39.799999999999997</v>
      </c>
      <c r="AI58" s="57">
        <f t="shared" si="3"/>
        <v>-78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-61</v>
      </c>
      <c r="C67" s="74">
        <f t="shared" ref="C67:AF67" si="8">SUM(C56:C66)</f>
        <v>-57.4</v>
      </c>
      <c r="D67" s="74">
        <f t="shared" si="8"/>
        <v>-56.7</v>
      </c>
      <c r="E67" s="74">
        <f t="shared" si="8"/>
        <v>-55.2</v>
      </c>
      <c r="F67" s="74">
        <f t="shared" si="8"/>
        <v>-59</v>
      </c>
      <c r="G67" s="74">
        <f t="shared" si="8"/>
        <v>-59.3</v>
      </c>
      <c r="H67" s="74">
        <f t="shared" si="8"/>
        <v>-62.7</v>
      </c>
      <c r="I67" s="74">
        <f t="shared" si="8"/>
        <v>-45.9</v>
      </c>
      <c r="J67" s="74">
        <f t="shared" si="8"/>
        <v>-56.7</v>
      </c>
      <c r="K67" s="74">
        <f t="shared" si="8"/>
        <v>-55</v>
      </c>
      <c r="L67" s="74">
        <f t="shared" si="8"/>
        <v>-61.5</v>
      </c>
      <c r="M67" s="74">
        <f t="shared" si="8"/>
        <v>-55</v>
      </c>
      <c r="N67" s="74">
        <f t="shared" si="8"/>
        <v>-58.5</v>
      </c>
      <c r="O67" s="74">
        <f t="shared" si="8"/>
        <v>-53.8</v>
      </c>
      <c r="P67" s="74">
        <f t="shared" si="8"/>
        <v>-65</v>
      </c>
      <c r="Q67" s="74">
        <f t="shared" si="8"/>
        <v>-60</v>
      </c>
      <c r="R67" s="74">
        <f t="shared" si="8"/>
        <v>-78</v>
      </c>
      <c r="S67" s="74">
        <f t="shared" si="8"/>
        <v>-50.4</v>
      </c>
      <c r="T67" s="74">
        <f t="shared" si="8"/>
        <v>-39.799999999999997</v>
      </c>
      <c r="U67" s="74">
        <f t="shared" si="8"/>
        <v>-54.8</v>
      </c>
      <c r="V67" s="74">
        <f t="shared" si="8"/>
        <v>-41.2</v>
      </c>
      <c r="W67" s="74">
        <f t="shared" si="8"/>
        <v>-40</v>
      </c>
      <c r="X67" s="74">
        <f t="shared" si="8"/>
        <v>-48.6</v>
      </c>
      <c r="Y67" s="74">
        <f t="shared" si="8"/>
        <v>-74.5</v>
      </c>
      <c r="Z67" s="74">
        <f t="shared" si="8"/>
        <v>-63.1</v>
      </c>
      <c r="AA67" s="74">
        <f t="shared" si="8"/>
        <v>-43.6</v>
      </c>
      <c r="AB67" s="74">
        <f t="shared" si="8"/>
        <v>-60.2</v>
      </c>
      <c r="AC67" s="74">
        <f t="shared" si="8"/>
        <v>-66.900000000000006</v>
      </c>
      <c r="AD67" s="74">
        <f t="shared" si="8"/>
        <v>-75.599999999999994</v>
      </c>
      <c r="AE67" s="74">
        <f t="shared" si="8"/>
        <v>-57.9</v>
      </c>
      <c r="AF67" s="74">
        <f t="shared" si="8"/>
        <v>-58.1</v>
      </c>
      <c r="AG67" s="79">
        <f>SUM(AG56:AG66)</f>
        <v>0</v>
      </c>
      <c r="AH67" s="56">
        <f t="shared" si="2"/>
        <v>-39.799999999999997</v>
      </c>
      <c r="AI67" s="57">
        <f t="shared" si="3"/>
        <v>-78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848.74</v>
      </c>
      <c r="C72" s="90">
        <f t="shared" ref="C72:AG72" si="10">C67+C55+C51+C37+C71</f>
        <v>840.74</v>
      </c>
      <c r="D72" s="90">
        <f t="shared" si="10"/>
        <v>837.93999999999994</v>
      </c>
      <c r="E72" s="90">
        <f t="shared" si="10"/>
        <v>833.63999999999987</v>
      </c>
      <c r="F72" s="90">
        <f t="shared" si="10"/>
        <v>895.34</v>
      </c>
      <c r="G72" s="90">
        <f t="shared" si="10"/>
        <v>949.24</v>
      </c>
      <c r="H72" s="90">
        <f t="shared" si="10"/>
        <v>1001.44</v>
      </c>
      <c r="I72" s="90">
        <f t="shared" si="10"/>
        <v>1049.94</v>
      </c>
      <c r="J72" s="90">
        <f t="shared" si="10"/>
        <v>1118.44</v>
      </c>
      <c r="K72" s="90">
        <f t="shared" si="10"/>
        <v>1168.74</v>
      </c>
      <c r="L72" s="90">
        <f t="shared" si="10"/>
        <v>1198.24</v>
      </c>
      <c r="M72" s="90">
        <f t="shared" si="10"/>
        <v>1204.74</v>
      </c>
      <c r="N72" s="90">
        <f t="shared" si="10"/>
        <v>1113.8400000000001</v>
      </c>
      <c r="O72" s="90">
        <f t="shared" si="10"/>
        <v>1067.44</v>
      </c>
      <c r="P72" s="90">
        <f t="shared" si="10"/>
        <v>1026.24</v>
      </c>
      <c r="Q72" s="90">
        <f t="shared" si="10"/>
        <v>1039.44</v>
      </c>
      <c r="R72" s="90">
        <f t="shared" si="10"/>
        <v>1007.3400000000001</v>
      </c>
      <c r="S72" s="90">
        <f t="shared" si="10"/>
        <v>983.34000000000015</v>
      </c>
      <c r="T72" s="90">
        <f t="shared" si="10"/>
        <v>1002.3400000000001</v>
      </c>
      <c r="U72" s="90">
        <f t="shared" si="10"/>
        <v>1061.5400000000002</v>
      </c>
      <c r="V72" s="90">
        <f t="shared" si="10"/>
        <v>1172.44</v>
      </c>
      <c r="W72" s="90">
        <f t="shared" si="10"/>
        <v>1372.44</v>
      </c>
      <c r="X72" s="90">
        <f t="shared" si="10"/>
        <v>1371.0400000000002</v>
      </c>
      <c r="Y72" s="90">
        <f t="shared" si="10"/>
        <v>1286.04</v>
      </c>
      <c r="Z72" s="90">
        <f t="shared" si="10"/>
        <v>1261.24</v>
      </c>
      <c r="AA72" s="90">
        <f t="shared" si="10"/>
        <v>1204.54</v>
      </c>
      <c r="AB72" s="90">
        <f t="shared" si="10"/>
        <v>1148.6400000000001</v>
      </c>
      <c r="AC72" s="90">
        <f t="shared" si="10"/>
        <v>1069.3400000000001</v>
      </c>
      <c r="AD72" s="90">
        <f t="shared" si="10"/>
        <v>947.54000000000008</v>
      </c>
      <c r="AE72" s="90">
        <f t="shared" si="10"/>
        <v>887.34</v>
      </c>
      <c r="AF72" s="90">
        <f t="shared" si="10"/>
        <v>854.04</v>
      </c>
      <c r="AG72" s="90">
        <f t="shared" si="10"/>
        <v>2133.14</v>
      </c>
      <c r="AH72" s="56">
        <f t="shared" si="2"/>
        <v>1372.44</v>
      </c>
      <c r="AI72" s="57">
        <f t="shared" si="3"/>
        <v>833.63999999999987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>
        <v>20</v>
      </c>
      <c r="C73" s="92">
        <v>20</v>
      </c>
      <c r="D73" s="92">
        <v>20</v>
      </c>
      <c r="E73" s="92">
        <v>20</v>
      </c>
      <c r="F73" s="92">
        <v>20</v>
      </c>
      <c r="G73" s="92">
        <v>20</v>
      </c>
      <c r="H73" s="92">
        <v>20</v>
      </c>
      <c r="I73" s="92">
        <v>20</v>
      </c>
      <c r="J73" s="92">
        <v>20</v>
      </c>
      <c r="K73" s="92">
        <v>20</v>
      </c>
      <c r="L73" s="92">
        <v>20</v>
      </c>
      <c r="M73" s="92">
        <v>20</v>
      </c>
      <c r="N73" s="92">
        <v>20</v>
      </c>
      <c r="O73" s="92">
        <v>20</v>
      </c>
      <c r="P73" s="92">
        <v>20</v>
      </c>
      <c r="Q73" s="92">
        <v>20</v>
      </c>
      <c r="R73" s="92">
        <v>20</v>
      </c>
      <c r="S73" s="92">
        <v>20</v>
      </c>
      <c r="T73" s="92">
        <v>20</v>
      </c>
      <c r="U73" s="92">
        <v>20</v>
      </c>
      <c r="V73" s="92">
        <v>20</v>
      </c>
      <c r="W73" s="92">
        <v>20</v>
      </c>
      <c r="X73" s="92">
        <v>20</v>
      </c>
      <c r="Y73" s="92">
        <v>20</v>
      </c>
      <c r="Z73" s="92">
        <v>20</v>
      </c>
      <c r="AA73" s="92">
        <v>20</v>
      </c>
      <c r="AB73" s="92">
        <v>20</v>
      </c>
      <c r="AC73" s="92">
        <v>20</v>
      </c>
      <c r="AD73" s="92">
        <v>20</v>
      </c>
      <c r="AE73" s="92">
        <v>20</v>
      </c>
      <c r="AF73" s="92">
        <v>20</v>
      </c>
      <c r="AG73" s="79"/>
      <c r="AH73" s="56">
        <f t="shared" si="2"/>
        <v>20</v>
      </c>
      <c r="AI73" s="57">
        <f t="shared" si="3"/>
        <v>20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868.74</v>
      </c>
      <c r="C74" s="90">
        <f t="shared" ref="C74:AF74" si="11">C71+C67+C55+C51+C37+C73</f>
        <v>860.74</v>
      </c>
      <c r="D74" s="90">
        <f t="shared" si="11"/>
        <v>857.93999999999994</v>
      </c>
      <c r="E74" s="90">
        <f t="shared" si="11"/>
        <v>853.63999999999987</v>
      </c>
      <c r="F74" s="90">
        <f t="shared" si="11"/>
        <v>915.34</v>
      </c>
      <c r="G74" s="90">
        <f t="shared" si="11"/>
        <v>969.24</v>
      </c>
      <c r="H74" s="90">
        <f t="shared" si="11"/>
        <v>1021.44</v>
      </c>
      <c r="I74" s="90">
        <f t="shared" si="11"/>
        <v>1069.94</v>
      </c>
      <c r="J74" s="90">
        <f t="shared" si="11"/>
        <v>1138.44</v>
      </c>
      <c r="K74" s="90">
        <f t="shared" si="11"/>
        <v>1188.74</v>
      </c>
      <c r="L74" s="90">
        <f t="shared" si="11"/>
        <v>1218.24</v>
      </c>
      <c r="M74" s="90">
        <f t="shared" si="11"/>
        <v>1224.74</v>
      </c>
      <c r="N74" s="90">
        <f t="shared" si="11"/>
        <v>1133.8400000000001</v>
      </c>
      <c r="O74" s="90">
        <f t="shared" si="11"/>
        <v>1087.44</v>
      </c>
      <c r="P74" s="90">
        <f t="shared" si="11"/>
        <v>1046.24</v>
      </c>
      <c r="Q74" s="90">
        <f t="shared" si="11"/>
        <v>1059.44</v>
      </c>
      <c r="R74" s="90">
        <f t="shared" si="11"/>
        <v>1027.3400000000001</v>
      </c>
      <c r="S74" s="90">
        <f t="shared" si="11"/>
        <v>1003.3400000000001</v>
      </c>
      <c r="T74" s="90">
        <f t="shared" si="11"/>
        <v>1022.3400000000001</v>
      </c>
      <c r="U74" s="90">
        <f t="shared" si="11"/>
        <v>1081.5400000000002</v>
      </c>
      <c r="V74" s="90">
        <f t="shared" si="11"/>
        <v>1192.44</v>
      </c>
      <c r="W74" s="90">
        <f t="shared" si="11"/>
        <v>1392.44</v>
      </c>
      <c r="X74" s="90">
        <f t="shared" si="11"/>
        <v>1391.0400000000002</v>
      </c>
      <c r="Y74" s="90">
        <f t="shared" si="11"/>
        <v>1306.04</v>
      </c>
      <c r="Z74" s="90">
        <f t="shared" si="11"/>
        <v>1281.24</v>
      </c>
      <c r="AA74" s="90">
        <f t="shared" si="11"/>
        <v>1224.54</v>
      </c>
      <c r="AB74" s="90">
        <f t="shared" si="11"/>
        <v>1168.6400000000001</v>
      </c>
      <c r="AC74" s="90">
        <f t="shared" si="11"/>
        <v>1089.3400000000001</v>
      </c>
      <c r="AD74" s="90">
        <f t="shared" si="11"/>
        <v>967.54000000000008</v>
      </c>
      <c r="AE74" s="90">
        <f t="shared" si="11"/>
        <v>907.34</v>
      </c>
      <c r="AF74" s="90">
        <f t="shared" si="11"/>
        <v>874.04</v>
      </c>
      <c r="AG74" s="79">
        <f>AG71+AG67+AG55+AG51+AG37+AG73</f>
        <v>2133.14</v>
      </c>
      <c r="AH74" s="56">
        <f t="shared" si="2"/>
        <v>1392.44</v>
      </c>
      <c r="AI74" s="57">
        <f t="shared" si="3"/>
        <v>853.63999999999987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61</v>
      </c>
      <c r="C78" s="60">
        <f t="shared" ref="C78:AF78" si="15">IF(C58&lt;0,C58*-1,0)</f>
        <v>57.4</v>
      </c>
      <c r="D78" s="60">
        <f t="shared" si="15"/>
        <v>56.7</v>
      </c>
      <c r="E78" s="60">
        <f t="shared" si="15"/>
        <v>55.2</v>
      </c>
      <c r="F78" s="60">
        <f t="shared" si="15"/>
        <v>59</v>
      </c>
      <c r="G78" s="60">
        <f t="shared" si="15"/>
        <v>59.3</v>
      </c>
      <c r="H78" s="60">
        <f t="shared" si="15"/>
        <v>62.7</v>
      </c>
      <c r="I78" s="60">
        <f t="shared" si="15"/>
        <v>45.9</v>
      </c>
      <c r="J78" s="60">
        <f t="shared" si="15"/>
        <v>56.7</v>
      </c>
      <c r="K78" s="60">
        <f t="shared" si="15"/>
        <v>55</v>
      </c>
      <c r="L78" s="60">
        <f t="shared" si="15"/>
        <v>61.5</v>
      </c>
      <c r="M78" s="60">
        <f t="shared" si="15"/>
        <v>55</v>
      </c>
      <c r="N78" s="60">
        <f t="shared" si="15"/>
        <v>58.5</v>
      </c>
      <c r="O78" s="60">
        <f t="shared" si="15"/>
        <v>53.8</v>
      </c>
      <c r="P78" s="60">
        <f t="shared" si="15"/>
        <v>65</v>
      </c>
      <c r="Q78" s="60">
        <f t="shared" si="15"/>
        <v>60</v>
      </c>
      <c r="R78" s="60">
        <f t="shared" si="15"/>
        <v>78</v>
      </c>
      <c r="S78" s="60">
        <f t="shared" si="15"/>
        <v>50.4</v>
      </c>
      <c r="T78" s="60">
        <f t="shared" si="15"/>
        <v>39.799999999999997</v>
      </c>
      <c r="U78" s="60">
        <f t="shared" si="15"/>
        <v>54.8</v>
      </c>
      <c r="V78" s="60">
        <f t="shared" si="15"/>
        <v>41.2</v>
      </c>
      <c r="W78" s="60">
        <f t="shared" si="15"/>
        <v>40</v>
      </c>
      <c r="X78" s="60">
        <f t="shared" si="15"/>
        <v>48.6</v>
      </c>
      <c r="Y78" s="60">
        <f t="shared" si="15"/>
        <v>74.5</v>
      </c>
      <c r="Z78" s="60">
        <f t="shared" si="15"/>
        <v>63.1</v>
      </c>
      <c r="AA78" s="60">
        <f t="shared" si="15"/>
        <v>43.6</v>
      </c>
      <c r="AB78" s="60">
        <f t="shared" si="15"/>
        <v>60.2</v>
      </c>
      <c r="AC78" s="60">
        <f t="shared" si="15"/>
        <v>66.900000000000006</v>
      </c>
      <c r="AD78" s="60">
        <f t="shared" si="15"/>
        <v>75.599999999999994</v>
      </c>
      <c r="AE78" s="60">
        <f t="shared" si="15"/>
        <v>57.9</v>
      </c>
      <c r="AF78" s="60">
        <f t="shared" si="15"/>
        <v>58.1</v>
      </c>
      <c r="AG78" s="93"/>
      <c r="AH78" s="56">
        <f t="shared" ref="AH78:AH90" si="16">MAX(B78:AF78)</f>
        <v>78</v>
      </c>
      <c r="AI78" s="57">
        <f t="shared" ref="AI78:AI90" si="17">MIN(B78:AF78)</f>
        <v>39.799999999999997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61</v>
      </c>
      <c r="C81" s="74">
        <f t="shared" si="19"/>
        <v>57.4</v>
      </c>
      <c r="D81" s="74">
        <f t="shared" si="19"/>
        <v>56.7</v>
      </c>
      <c r="E81" s="74">
        <f t="shared" si="19"/>
        <v>55.2</v>
      </c>
      <c r="F81" s="74">
        <f t="shared" si="19"/>
        <v>59</v>
      </c>
      <c r="G81" s="74">
        <f t="shared" si="19"/>
        <v>59.3</v>
      </c>
      <c r="H81" s="74">
        <f t="shared" si="19"/>
        <v>62.7</v>
      </c>
      <c r="I81" s="74">
        <f t="shared" si="19"/>
        <v>45.9</v>
      </c>
      <c r="J81" s="74">
        <f t="shared" si="19"/>
        <v>56.7</v>
      </c>
      <c r="K81" s="74">
        <f t="shared" si="19"/>
        <v>55</v>
      </c>
      <c r="L81" s="74">
        <f t="shared" si="19"/>
        <v>61.5</v>
      </c>
      <c r="M81" s="74">
        <f t="shared" si="19"/>
        <v>55</v>
      </c>
      <c r="N81" s="74">
        <f t="shared" si="19"/>
        <v>58.5</v>
      </c>
      <c r="O81" s="74">
        <f t="shared" si="19"/>
        <v>53.8</v>
      </c>
      <c r="P81" s="74">
        <f t="shared" si="19"/>
        <v>65</v>
      </c>
      <c r="Q81" s="74">
        <f t="shared" si="19"/>
        <v>60</v>
      </c>
      <c r="R81" s="74">
        <f t="shared" si="19"/>
        <v>78</v>
      </c>
      <c r="S81" s="74">
        <f t="shared" si="19"/>
        <v>50.4</v>
      </c>
      <c r="T81" s="74">
        <f t="shared" si="19"/>
        <v>39.799999999999997</v>
      </c>
      <c r="U81" s="74">
        <f t="shared" si="19"/>
        <v>54.8</v>
      </c>
      <c r="V81" s="74">
        <f t="shared" si="19"/>
        <v>41.2</v>
      </c>
      <c r="W81" s="74">
        <f t="shared" si="19"/>
        <v>40</v>
      </c>
      <c r="X81" s="74">
        <f t="shared" si="19"/>
        <v>48.6</v>
      </c>
      <c r="Y81" s="74">
        <f t="shared" si="19"/>
        <v>74.5</v>
      </c>
      <c r="Z81" s="74">
        <f t="shared" si="19"/>
        <v>63.1</v>
      </c>
      <c r="AA81" s="74">
        <f t="shared" si="19"/>
        <v>43.6</v>
      </c>
      <c r="AB81" s="74">
        <f t="shared" si="19"/>
        <v>60.2</v>
      </c>
      <c r="AC81" s="74">
        <f t="shared" si="19"/>
        <v>66.900000000000006</v>
      </c>
      <c r="AD81" s="74">
        <f t="shared" si="19"/>
        <v>75.599999999999994</v>
      </c>
      <c r="AE81" s="74">
        <f t="shared" si="19"/>
        <v>57.9</v>
      </c>
      <c r="AF81" s="74">
        <f t="shared" si="19"/>
        <v>58.1</v>
      </c>
      <c r="AG81" s="79">
        <f t="shared" si="19"/>
        <v>0</v>
      </c>
      <c r="AH81" s="56">
        <f t="shared" si="16"/>
        <v>78</v>
      </c>
      <c r="AI81" s="57">
        <f t="shared" si="17"/>
        <v>39.799999999999997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1859.48</v>
      </c>
      <c r="C82" s="74">
        <f t="shared" si="20"/>
        <v>1836.2800000000002</v>
      </c>
      <c r="D82" s="74">
        <f t="shared" si="20"/>
        <v>1829.28</v>
      </c>
      <c r="E82" s="74">
        <f t="shared" si="20"/>
        <v>1817.6799999999998</v>
      </c>
      <c r="F82" s="74">
        <f t="shared" si="20"/>
        <v>1948.68</v>
      </c>
      <c r="G82" s="74">
        <f t="shared" si="20"/>
        <v>2057.08</v>
      </c>
      <c r="H82" s="74">
        <f t="shared" si="20"/>
        <v>2168.2799999999997</v>
      </c>
      <c r="I82" s="74">
        <f t="shared" si="20"/>
        <v>2231.6800000000003</v>
      </c>
      <c r="J82" s="74">
        <f t="shared" si="20"/>
        <v>2390.2799999999997</v>
      </c>
      <c r="K82" s="74">
        <f t="shared" si="20"/>
        <v>2487.48</v>
      </c>
      <c r="L82" s="74">
        <f t="shared" si="20"/>
        <v>2559.48</v>
      </c>
      <c r="M82" s="74">
        <f t="shared" si="20"/>
        <v>2559.48</v>
      </c>
      <c r="N82" s="74">
        <f t="shared" si="20"/>
        <v>2384.6800000000003</v>
      </c>
      <c r="O82" s="74">
        <f t="shared" si="20"/>
        <v>2282.4800000000005</v>
      </c>
      <c r="P82" s="74">
        <f t="shared" si="20"/>
        <v>2222.48</v>
      </c>
      <c r="Q82" s="74">
        <f t="shared" si="20"/>
        <v>2238.88</v>
      </c>
      <c r="R82" s="74">
        <f t="shared" si="20"/>
        <v>2210.6800000000003</v>
      </c>
      <c r="S82" s="74">
        <f t="shared" si="20"/>
        <v>2107.4800000000005</v>
      </c>
      <c r="T82" s="74">
        <f t="shared" si="20"/>
        <v>2124.2800000000007</v>
      </c>
      <c r="U82" s="74">
        <f t="shared" si="20"/>
        <v>2272.6800000000007</v>
      </c>
      <c r="V82" s="74">
        <f t="shared" si="20"/>
        <v>2467.2799999999997</v>
      </c>
      <c r="W82" s="74">
        <f t="shared" si="20"/>
        <v>2864.88</v>
      </c>
      <c r="X82" s="74">
        <f t="shared" si="20"/>
        <v>2879.28</v>
      </c>
      <c r="Y82" s="74">
        <f t="shared" si="20"/>
        <v>2761.08</v>
      </c>
      <c r="Z82" s="74">
        <f t="shared" si="20"/>
        <v>2688.68</v>
      </c>
      <c r="AA82" s="74">
        <f t="shared" si="20"/>
        <v>2536.2799999999997</v>
      </c>
      <c r="AB82" s="74">
        <f t="shared" si="20"/>
        <v>2457.6799999999998</v>
      </c>
      <c r="AC82" s="74">
        <f t="shared" si="20"/>
        <v>2312.4800000000005</v>
      </c>
      <c r="AD82" s="74">
        <f t="shared" si="20"/>
        <v>2086.2800000000002</v>
      </c>
      <c r="AE82" s="74">
        <f t="shared" si="20"/>
        <v>1930.4800000000002</v>
      </c>
      <c r="AF82" s="74">
        <f t="shared" si="20"/>
        <v>1864.2799999999997</v>
      </c>
      <c r="AG82" s="79">
        <f t="shared" si="20"/>
        <v>4338.08</v>
      </c>
      <c r="AH82" s="56">
        <f t="shared" si="16"/>
        <v>2879.28</v>
      </c>
      <c r="AI82" s="57">
        <f t="shared" si="17"/>
        <v>1817.6799999999998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49.970999999999997</v>
      </c>
      <c r="C83" s="96">
        <v>50.008000000000003</v>
      </c>
      <c r="D83" s="96">
        <v>49.991</v>
      </c>
      <c r="E83" s="96">
        <v>49.98</v>
      </c>
      <c r="F83" s="96">
        <v>49.99</v>
      </c>
      <c r="G83" s="96">
        <v>50.042000000000002</v>
      </c>
      <c r="H83" s="96">
        <v>50.021000000000001</v>
      </c>
      <c r="I83" s="96">
        <v>49.962000000000003</v>
      </c>
      <c r="J83" s="96">
        <v>49.999000000000002</v>
      </c>
      <c r="K83" s="96">
        <v>49.941000000000003</v>
      </c>
      <c r="L83" s="96">
        <v>49.965000000000003</v>
      </c>
      <c r="M83" s="96">
        <v>49.965000000000003</v>
      </c>
      <c r="N83" s="96">
        <v>50.064</v>
      </c>
      <c r="O83" s="96">
        <v>50.094999999999999</v>
      </c>
      <c r="P83" s="96">
        <v>49.978000000000002</v>
      </c>
      <c r="Q83" s="96">
        <v>49.97</v>
      </c>
      <c r="R83" s="96">
        <v>49.978999999999999</v>
      </c>
      <c r="S83" s="96">
        <v>50.018000000000001</v>
      </c>
      <c r="T83" s="96">
        <v>49.963999999999999</v>
      </c>
      <c r="U83" s="96">
        <v>49.978999999999999</v>
      </c>
      <c r="V83" s="96">
        <v>49.927999999999997</v>
      </c>
      <c r="W83" s="96">
        <v>50.03</v>
      </c>
      <c r="X83" s="96">
        <v>50.045999999999999</v>
      </c>
      <c r="Y83" s="96">
        <v>50.084000000000003</v>
      </c>
      <c r="Z83" s="96">
        <v>50.058999999999997</v>
      </c>
      <c r="AA83" s="96">
        <v>50.1</v>
      </c>
      <c r="AB83" s="96">
        <v>50.03</v>
      </c>
      <c r="AC83" s="96">
        <v>49.96</v>
      </c>
      <c r="AD83" s="96">
        <v>50.01</v>
      </c>
      <c r="AE83" s="96">
        <v>49.98</v>
      </c>
      <c r="AF83" s="96">
        <v>50</v>
      </c>
      <c r="AG83" s="98"/>
      <c r="AH83" s="56">
        <f t="shared" si="16"/>
        <v>50.1</v>
      </c>
      <c r="AI83" s="57">
        <f t="shared" si="17"/>
        <v>49.927999999999997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126.9</v>
      </c>
      <c r="C84" s="52">
        <v>128</v>
      </c>
      <c r="D84" s="52">
        <v>127.9</v>
      </c>
      <c r="E84" s="52">
        <v>127.5</v>
      </c>
      <c r="F84" s="52">
        <v>127.2</v>
      </c>
      <c r="G84" s="52">
        <v>125.9</v>
      </c>
      <c r="H84" s="52">
        <v>125.7</v>
      </c>
      <c r="I84" s="52">
        <v>124.9</v>
      </c>
      <c r="J84" s="52">
        <v>124.5</v>
      </c>
      <c r="K84" s="52">
        <v>122.9</v>
      </c>
      <c r="L84" s="52">
        <v>123.6</v>
      </c>
      <c r="M84" s="52">
        <v>123.6</v>
      </c>
      <c r="N84" s="52">
        <v>123.7</v>
      </c>
      <c r="O84" s="52">
        <v>126.2</v>
      </c>
      <c r="P84" s="52">
        <v>123.3</v>
      </c>
      <c r="Q84" s="52">
        <v>125.1</v>
      </c>
      <c r="R84" s="52">
        <v>125.9</v>
      </c>
      <c r="S84" s="52">
        <v>125.7</v>
      </c>
      <c r="T84" s="100">
        <v>124.3</v>
      </c>
      <c r="U84" s="100">
        <v>125.1</v>
      </c>
      <c r="V84" s="100">
        <v>124.7</v>
      </c>
      <c r="W84" s="100">
        <v>125.4</v>
      </c>
      <c r="X84" s="100">
        <v>125.4</v>
      </c>
      <c r="Y84" s="100">
        <v>126.1</v>
      </c>
      <c r="Z84" s="100">
        <v>126.2</v>
      </c>
      <c r="AA84" s="52">
        <v>125.3</v>
      </c>
      <c r="AB84" s="52">
        <v>125.3</v>
      </c>
      <c r="AC84" s="52">
        <v>125.6</v>
      </c>
      <c r="AD84" s="52">
        <v>126.2</v>
      </c>
      <c r="AE84" s="52">
        <v>126.4</v>
      </c>
      <c r="AF84" s="52">
        <v>126.8</v>
      </c>
      <c r="AG84" s="102"/>
      <c r="AH84" s="56">
        <f t="shared" si="16"/>
        <v>128</v>
      </c>
      <c r="AI84" s="57">
        <f t="shared" si="17"/>
        <v>122.9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130.9</v>
      </c>
      <c r="C85" s="52">
        <v>132.1</v>
      </c>
      <c r="D85" s="52">
        <v>131.9</v>
      </c>
      <c r="E85" s="52">
        <v>131.6</v>
      </c>
      <c r="F85" s="52">
        <v>130.9</v>
      </c>
      <c r="G85" s="52">
        <v>130.19999999999999</v>
      </c>
      <c r="H85" s="52">
        <v>129.6</v>
      </c>
      <c r="I85" s="52">
        <v>128.4</v>
      </c>
      <c r="J85" s="52">
        <v>127.5</v>
      </c>
      <c r="K85" s="52">
        <v>125.8</v>
      </c>
      <c r="L85" s="52">
        <v>126.5</v>
      </c>
      <c r="M85" s="52">
        <v>126.5</v>
      </c>
      <c r="N85" s="52">
        <v>127.1</v>
      </c>
      <c r="O85" s="52">
        <v>128.80000000000001</v>
      </c>
      <c r="P85" s="52">
        <v>126</v>
      </c>
      <c r="Q85" s="52">
        <v>127.8</v>
      </c>
      <c r="R85" s="52">
        <v>128.4</v>
      </c>
      <c r="S85" s="52">
        <v>128.5</v>
      </c>
      <c r="T85" s="100">
        <v>127.8</v>
      </c>
      <c r="U85" s="100">
        <v>127.9</v>
      </c>
      <c r="V85" s="100">
        <v>127.5</v>
      </c>
      <c r="W85" s="100">
        <v>127.3</v>
      </c>
      <c r="X85" s="100">
        <v>127.3</v>
      </c>
      <c r="Y85" s="100">
        <v>127.7</v>
      </c>
      <c r="Z85" s="100">
        <v>128.30000000000001</v>
      </c>
      <c r="AA85" s="52">
        <v>128</v>
      </c>
      <c r="AB85" s="52">
        <v>128.6</v>
      </c>
      <c r="AC85" s="52">
        <v>128.4</v>
      </c>
      <c r="AD85" s="52">
        <v>129.69999999999999</v>
      </c>
      <c r="AE85" s="52">
        <v>129.9</v>
      </c>
      <c r="AF85" s="52">
        <v>130.4</v>
      </c>
      <c r="AG85" s="102"/>
      <c r="AH85" s="56">
        <f t="shared" si="16"/>
        <v>132.1</v>
      </c>
      <c r="AI85" s="57">
        <f t="shared" si="17"/>
        <v>125.8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130.6</v>
      </c>
      <c r="C86" s="52">
        <v>130.69999999999999</v>
      </c>
      <c r="D86" s="52">
        <v>131.19999999999999</v>
      </c>
      <c r="E86" s="52">
        <v>129.4</v>
      </c>
      <c r="F86" s="52">
        <v>127.7</v>
      </c>
      <c r="G86" s="52">
        <v>127.4</v>
      </c>
      <c r="H86" s="52">
        <v>127.3</v>
      </c>
      <c r="I86" s="52">
        <v>128.69999999999999</v>
      </c>
      <c r="J86" s="52">
        <v>126.6</v>
      </c>
      <c r="K86" s="52">
        <v>127.8</v>
      </c>
      <c r="L86" s="52">
        <v>128</v>
      </c>
      <c r="M86" s="52">
        <v>128</v>
      </c>
      <c r="N86" s="52">
        <v>128.9</v>
      </c>
      <c r="O86" s="52">
        <v>127</v>
      </c>
      <c r="P86" s="52">
        <v>130.1</v>
      </c>
      <c r="Q86" s="52">
        <v>128.1</v>
      </c>
      <c r="R86" s="52">
        <v>127.1</v>
      </c>
      <c r="S86" s="52">
        <v>127.6</v>
      </c>
      <c r="T86" s="52">
        <v>127.2</v>
      </c>
      <c r="U86" s="52">
        <v>129.30000000000001</v>
      </c>
      <c r="V86" s="52">
        <v>124.6</v>
      </c>
      <c r="W86" s="100">
        <v>129.30000000000001</v>
      </c>
      <c r="X86" s="100">
        <v>130.6</v>
      </c>
      <c r="Y86" s="100">
        <v>130.4</v>
      </c>
      <c r="Z86" s="100">
        <v>131.19999999999999</v>
      </c>
      <c r="AA86" s="52">
        <v>130.80000000000001</v>
      </c>
      <c r="AB86" s="52">
        <v>130</v>
      </c>
      <c r="AC86" s="52">
        <v>128.19999999999999</v>
      </c>
      <c r="AD86" s="52">
        <v>129</v>
      </c>
      <c r="AE86" s="52">
        <v>128.1</v>
      </c>
      <c r="AF86" s="52">
        <v>129.69999999999999</v>
      </c>
      <c r="AG86" s="102"/>
      <c r="AH86" s="56">
        <f t="shared" si="16"/>
        <v>131.19999999999999</v>
      </c>
      <c r="AI86" s="57">
        <f t="shared" si="17"/>
        <v>124.6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133.6</v>
      </c>
      <c r="C87" s="52">
        <v>134</v>
      </c>
      <c r="D87" s="52">
        <v>134.4</v>
      </c>
      <c r="E87" s="52">
        <v>133</v>
      </c>
      <c r="F87" s="52">
        <v>132.1</v>
      </c>
      <c r="G87" s="52">
        <v>131.30000000000001</v>
      </c>
      <c r="H87" s="52">
        <v>130.4</v>
      </c>
      <c r="I87" s="52">
        <v>130.9</v>
      </c>
      <c r="J87" s="52">
        <v>131</v>
      </c>
      <c r="K87" s="52">
        <v>130.80000000000001</v>
      </c>
      <c r="L87" s="52">
        <v>130.30000000000001</v>
      </c>
      <c r="M87" s="52">
        <v>130.30000000000001</v>
      </c>
      <c r="N87" s="52">
        <v>131.80000000000001</v>
      </c>
      <c r="O87" s="52">
        <v>130.5</v>
      </c>
      <c r="P87" s="52">
        <v>134.30000000000001</v>
      </c>
      <c r="Q87" s="52">
        <v>132.4</v>
      </c>
      <c r="R87" s="52">
        <v>131.69999999999999</v>
      </c>
      <c r="S87" s="52">
        <v>131.6</v>
      </c>
      <c r="T87" s="52">
        <v>131.19999999999999</v>
      </c>
      <c r="U87" s="52">
        <v>132.80000000000001</v>
      </c>
      <c r="V87" s="52">
        <v>127.8</v>
      </c>
      <c r="W87" s="100">
        <v>131.6</v>
      </c>
      <c r="X87" s="100">
        <v>133.19999999999999</v>
      </c>
      <c r="Y87" s="100">
        <v>133.6</v>
      </c>
      <c r="Z87" s="100">
        <v>134.30000000000001</v>
      </c>
      <c r="AA87" s="52">
        <v>134.80000000000001</v>
      </c>
      <c r="AB87" s="52">
        <v>134.4</v>
      </c>
      <c r="AC87" s="52">
        <v>133.5</v>
      </c>
      <c r="AD87" s="52">
        <v>132.5</v>
      </c>
      <c r="AE87" s="52">
        <v>131.9</v>
      </c>
      <c r="AF87" s="52">
        <v>133.5</v>
      </c>
      <c r="AG87" s="102"/>
      <c r="AH87" s="56">
        <f t="shared" si="16"/>
        <v>134.80000000000001</v>
      </c>
      <c r="AI87" s="57">
        <f t="shared" si="17"/>
        <v>127.8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133.30000000000001</v>
      </c>
      <c r="C88" s="104">
        <v>134.5</v>
      </c>
      <c r="D88" s="104">
        <v>134.1</v>
      </c>
      <c r="E88" s="104">
        <v>135.1</v>
      </c>
      <c r="F88" s="104">
        <v>131.6</v>
      </c>
      <c r="G88" s="104">
        <v>129.9</v>
      </c>
      <c r="H88" s="104">
        <v>131.5</v>
      </c>
      <c r="I88" s="104">
        <v>132.69999999999999</v>
      </c>
      <c r="J88" s="104">
        <v>132.9</v>
      </c>
      <c r="K88" s="104">
        <v>132.80000000000001</v>
      </c>
      <c r="L88" s="104">
        <v>131.69999999999999</v>
      </c>
      <c r="M88" s="104">
        <v>131.69999999999999</v>
      </c>
      <c r="N88" s="104">
        <v>134</v>
      </c>
      <c r="O88" s="104">
        <v>135.9</v>
      </c>
      <c r="P88" s="104">
        <v>131.69999999999999</v>
      </c>
      <c r="Q88" s="104">
        <v>135.19999999999999</v>
      </c>
      <c r="R88" s="104">
        <v>134.5</v>
      </c>
      <c r="S88" s="104">
        <v>134.30000000000001</v>
      </c>
      <c r="T88" s="104">
        <v>135</v>
      </c>
      <c r="U88" s="104">
        <v>132.80000000000001</v>
      </c>
      <c r="V88" s="104">
        <v>134.80000000000001</v>
      </c>
      <c r="W88" s="100">
        <v>133.80000000000001</v>
      </c>
      <c r="X88" s="100">
        <v>135.30000000000001</v>
      </c>
      <c r="Y88" s="100">
        <v>132.5</v>
      </c>
      <c r="Z88" s="100">
        <v>133.80000000000001</v>
      </c>
      <c r="AA88" s="104">
        <v>132.80000000000001</v>
      </c>
      <c r="AB88" s="104">
        <v>132.6</v>
      </c>
      <c r="AC88" s="104">
        <v>134.19999999999999</v>
      </c>
      <c r="AD88" s="104">
        <v>132.9</v>
      </c>
      <c r="AE88" s="104">
        <v>133.80000000000001</v>
      </c>
      <c r="AF88" s="104">
        <v>133.4</v>
      </c>
      <c r="AG88" s="106"/>
      <c r="AH88" s="56">
        <f t="shared" si="16"/>
        <v>135.9</v>
      </c>
      <c r="AI88" s="57">
        <f t="shared" si="17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132.9</v>
      </c>
      <c r="C89" s="52">
        <v>134.6</v>
      </c>
      <c r="D89" s="52">
        <v>134.80000000000001</v>
      </c>
      <c r="E89" s="52">
        <v>135</v>
      </c>
      <c r="F89" s="52">
        <v>131.6</v>
      </c>
      <c r="G89" s="52">
        <v>128.80000000000001</v>
      </c>
      <c r="H89" s="52">
        <v>130.30000000000001</v>
      </c>
      <c r="I89" s="52">
        <v>129.5</v>
      </c>
      <c r="J89" s="52">
        <v>128.69999999999999</v>
      </c>
      <c r="K89" s="52">
        <v>127.5</v>
      </c>
      <c r="L89" s="52">
        <v>127.5</v>
      </c>
      <c r="M89" s="52">
        <v>127.5</v>
      </c>
      <c r="N89" s="52">
        <v>131.80000000000001</v>
      </c>
      <c r="O89" s="52">
        <v>133.9</v>
      </c>
      <c r="P89" s="52">
        <v>133.9</v>
      </c>
      <c r="Q89" s="52">
        <v>136.30000000000001</v>
      </c>
      <c r="R89" s="52">
        <v>134.19999999999999</v>
      </c>
      <c r="S89" s="52">
        <v>133.9</v>
      </c>
      <c r="T89" s="52">
        <v>135</v>
      </c>
      <c r="U89" s="52">
        <v>129.5</v>
      </c>
      <c r="V89" s="52">
        <v>130.6</v>
      </c>
      <c r="W89" s="100">
        <v>130.30000000000001</v>
      </c>
      <c r="X89" s="100">
        <v>132.6</v>
      </c>
      <c r="Y89" s="100">
        <v>132.80000000000001</v>
      </c>
      <c r="Z89" s="100">
        <v>134.5</v>
      </c>
      <c r="AA89" s="52">
        <v>132.1</v>
      </c>
      <c r="AB89" s="52">
        <v>133.1</v>
      </c>
      <c r="AC89" s="52">
        <v>135.5</v>
      </c>
      <c r="AD89" s="52">
        <v>134.5</v>
      </c>
      <c r="AE89" s="52">
        <v>136.19999999999999</v>
      </c>
      <c r="AF89" s="52">
        <v>136.30000000000001</v>
      </c>
      <c r="AG89" s="102"/>
      <c r="AH89" s="56">
        <f t="shared" si="16"/>
        <v>136.30000000000001</v>
      </c>
      <c r="AI89" s="57">
        <f t="shared" si="17"/>
        <v>127.5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66.900000000000006</v>
      </c>
      <c r="C90" s="107">
        <v>67.400000000000006</v>
      </c>
      <c r="D90" s="107">
        <v>67.3</v>
      </c>
      <c r="E90" s="107">
        <v>67.3</v>
      </c>
      <c r="F90" s="107">
        <v>66.900000000000006</v>
      </c>
      <c r="G90" s="107">
        <v>66.400000000000006</v>
      </c>
      <c r="H90" s="107">
        <v>66</v>
      </c>
      <c r="I90" s="107">
        <v>65.2</v>
      </c>
      <c r="J90" s="107">
        <v>65.099999999999994</v>
      </c>
      <c r="K90" s="107">
        <v>64</v>
      </c>
      <c r="L90" s="107">
        <v>64.5</v>
      </c>
      <c r="M90" s="107">
        <v>64.5</v>
      </c>
      <c r="N90" s="107">
        <v>64.8</v>
      </c>
      <c r="O90" s="107">
        <v>65.5</v>
      </c>
      <c r="P90" s="107">
        <v>64.3</v>
      </c>
      <c r="Q90" s="107">
        <v>65.2</v>
      </c>
      <c r="R90" s="107">
        <v>65.599999999999994</v>
      </c>
      <c r="S90" s="107">
        <v>65.599999999999994</v>
      </c>
      <c r="T90" s="107">
        <v>65.2</v>
      </c>
      <c r="U90" s="107">
        <v>65.400000000000006</v>
      </c>
      <c r="V90" s="107">
        <v>64.900000000000006</v>
      </c>
      <c r="W90" s="107">
        <v>64.900000000000006</v>
      </c>
      <c r="X90" s="107">
        <v>64.900000000000006</v>
      </c>
      <c r="Y90" s="107">
        <v>65.099999999999994</v>
      </c>
      <c r="Z90" s="107">
        <v>65.599999999999994</v>
      </c>
      <c r="AA90" s="107">
        <v>65.400000000000006</v>
      </c>
      <c r="AB90" s="107">
        <v>65.7</v>
      </c>
      <c r="AC90" s="107">
        <v>65.5</v>
      </c>
      <c r="AD90" s="107">
        <v>66</v>
      </c>
      <c r="AE90" s="107">
        <v>66.3</v>
      </c>
      <c r="AF90" s="107">
        <v>66.5</v>
      </c>
      <c r="AG90" s="109"/>
      <c r="AH90" s="56">
        <f t="shared" si="16"/>
        <v>67.400000000000006</v>
      </c>
      <c r="AI90" s="57">
        <f t="shared" si="17"/>
        <v>64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133.33999999999997</v>
      </c>
      <c r="C92" s="114">
        <f t="shared" ref="C92:AF92" si="21">SUM(C15,C18,C21:C22,C41,C43:C44,C46,C48,C93:C96,C101,C107,C113,C122,C124,C136,C143,C146:C147,C154,C156,C158,C162:C164,C166:C168,C173,C179:C180,C182:C184,C192,C197)</f>
        <v>129.03999999999996</v>
      </c>
      <c r="D92" s="114">
        <f t="shared" si="21"/>
        <v>128.04</v>
      </c>
      <c r="E92" s="114">
        <f t="shared" si="21"/>
        <v>140.83999999999997</v>
      </c>
      <c r="F92" s="115">
        <f t="shared" si="21"/>
        <v>157.93999999999994</v>
      </c>
      <c r="G92" s="115">
        <f t="shared" si="21"/>
        <v>175.83999999999995</v>
      </c>
      <c r="H92" s="115">
        <f t="shared" si="21"/>
        <v>199.83999999999997</v>
      </c>
      <c r="I92" s="115">
        <f t="shared" si="21"/>
        <v>232.43999999999994</v>
      </c>
      <c r="J92" s="115">
        <f t="shared" si="21"/>
        <v>253.93999999999997</v>
      </c>
      <c r="K92" s="115">
        <f t="shared" si="21"/>
        <v>271.73999999999995</v>
      </c>
      <c r="L92" s="115">
        <f t="shared" si="21"/>
        <v>300.14000000000004</v>
      </c>
      <c r="M92" s="115">
        <f t="shared" si="21"/>
        <v>300.14000000000004</v>
      </c>
      <c r="N92" s="115">
        <f t="shared" si="21"/>
        <v>271.94</v>
      </c>
      <c r="O92" s="115">
        <f t="shared" si="21"/>
        <v>252.03999999999996</v>
      </c>
      <c r="P92" s="115">
        <f t="shared" si="21"/>
        <v>260.74000000000007</v>
      </c>
      <c r="Q92" s="115">
        <f t="shared" si="21"/>
        <v>248.94</v>
      </c>
      <c r="R92" s="115">
        <f t="shared" si="21"/>
        <v>250.03999999999996</v>
      </c>
      <c r="S92" s="115">
        <f t="shared" si="21"/>
        <v>230.83999999999997</v>
      </c>
      <c r="T92" s="115">
        <f t="shared" si="21"/>
        <v>238.93999999999994</v>
      </c>
      <c r="U92" s="115">
        <f t="shared" si="21"/>
        <v>259.24000000000007</v>
      </c>
      <c r="V92" s="115">
        <f t="shared" si="21"/>
        <v>306.04000000000002</v>
      </c>
      <c r="W92" s="115">
        <f t="shared" si="21"/>
        <v>350.53999999999996</v>
      </c>
      <c r="X92" s="115">
        <f t="shared" si="21"/>
        <v>347.74</v>
      </c>
      <c r="Y92" s="115">
        <f t="shared" si="21"/>
        <v>328.24</v>
      </c>
      <c r="Z92" s="115">
        <f t="shared" si="21"/>
        <v>320.94000000000005</v>
      </c>
      <c r="AA92" s="115">
        <f t="shared" si="21"/>
        <v>302.64000000000004</v>
      </c>
      <c r="AB92" s="115">
        <f t="shared" si="21"/>
        <v>277.94</v>
      </c>
      <c r="AC92" s="115">
        <f t="shared" si="21"/>
        <v>246.14</v>
      </c>
      <c r="AD92" s="115">
        <f t="shared" si="21"/>
        <v>329.54</v>
      </c>
      <c r="AE92" s="115">
        <f t="shared" si="21"/>
        <v>300.74</v>
      </c>
      <c r="AF92" s="115">
        <f t="shared" si="21"/>
        <v>290.64</v>
      </c>
      <c r="AG92" s="116"/>
      <c r="AH92" s="56">
        <f>MAX(B92:AF92)</f>
        <v>350.53999999999996</v>
      </c>
      <c r="AI92" s="57">
        <f>MIN(B92:AF92)</f>
        <v>128.04</v>
      </c>
    </row>
    <row r="93" spans="1:88" x14ac:dyDescent="0.25">
      <c r="A93" s="117" t="s">
        <v>96</v>
      </c>
      <c r="B93" s="60">
        <v>44.5</v>
      </c>
      <c r="C93" s="60">
        <v>44</v>
      </c>
      <c r="D93" s="60">
        <v>42.9</v>
      </c>
      <c r="E93" s="60">
        <v>48.7</v>
      </c>
      <c r="F93" s="118">
        <v>46.8</v>
      </c>
      <c r="G93" s="118">
        <v>40.799999999999997</v>
      </c>
      <c r="H93" s="118">
        <v>42.1</v>
      </c>
      <c r="I93" s="118">
        <v>45.3</v>
      </c>
      <c r="J93" s="118">
        <v>52.2</v>
      </c>
      <c r="K93" s="118">
        <v>59</v>
      </c>
      <c r="L93" s="54">
        <v>54.4</v>
      </c>
      <c r="M93" s="54">
        <v>54.4</v>
      </c>
      <c r="N93" s="118">
        <v>71.3</v>
      </c>
      <c r="O93" s="118">
        <v>48.8</v>
      </c>
      <c r="P93" s="118">
        <v>0</v>
      </c>
      <c r="Q93" s="118">
        <v>48.5</v>
      </c>
      <c r="R93" s="118">
        <v>55.5</v>
      </c>
      <c r="S93" s="118">
        <v>52</v>
      </c>
      <c r="T93" s="54">
        <v>61.7</v>
      </c>
      <c r="U93" s="54">
        <v>61</v>
      </c>
      <c r="V93" s="54">
        <v>64.099999999999994</v>
      </c>
      <c r="W93" s="118">
        <v>47.1</v>
      </c>
      <c r="X93" s="118">
        <v>44.1</v>
      </c>
      <c r="Y93" s="118">
        <v>53.1</v>
      </c>
      <c r="Z93" s="118">
        <v>63.1</v>
      </c>
      <c r="AA93" s="54">
        <v>64.3</v>
      </c>
      <c r="AB93" s="54">
        <v>65.5</v>
      </c>
      <c r="AC93" s="54">
        <v>70.900000000000006</v>
      </c>
      <c r="AD93" s="54">
        <v>67.400000000000006</v>
      </c>
      <c r="AE93" s="54">
        <v>59.1</v>
      </c>
      <c r="AF93" s="54">
        <v>55.8</v>
      </c>
      <c r="AG93" s="120">
        <v>75</v>
      </c>
      <c r="AH93" s="56">
        <f t="shared" ref="AH93:AH98" si="22">IF(ABS(MAX(B93:AF93))&gt;ABS(MIN(B93:AF93)),MAX(B93:AF93),MIN(B93:AF93))</f>
        <v>71.3</v>
      </c>
      <c r="AI93" s="121">
        <f t="shared" ref="AI93:AI98" si="23">INDEX($B$9:$AF$9,1,MATCH(AH93,B93:AF93,0))</f>
        <v>0.41666666666666702</v>
      </c>
    </row>
    <row r="94" spans="1:88" x14ac:dyDescent="0.25">
      <c r="A94" s="122" t="s">
        <v>97</v>
      </c>
      <c r="B94" s="62">
        <v>-73.8</v>
      </c>
      <c r="C94" s="62">
        <v>-76.3</v>
      </c>
      <c r="D94" s="62">
        <v>-80</v>
      </c>
      <c r="E94" s="62">
        <v>-73</v>
      </c>
      <c r="F94" s="62">
        <v>-73</v>
      </c>
      <c r="G94" s="62">
        <v>-70</v>
      </c>
      <c r="H94" s="62">
        <v>-67</v>
      </c>
      <c r="I94" s="62">
        <v>-55</v>
      </c>
      <c r="J94" s="62">
        <v>-53</v>
      </c>
      <c r="K94" s="62">
        <v>-58</v>
      </c>
      <c r="L94" s="62">
        <v>-40</v>
      </c>
      <c r="M94" s="62">
        <v>-40</v>
      </c>
      <c r="N94" s="62">
        <v>-49</v>
      </c>
      <c r="O94" s="62">
        <v>-54</v>
      </c>
      <c r="P94" s="62">
        <v>-24</v>
      </c>
      <c r="Q94" s="62">
        <v>-49</v>
      </c>
      <c r="R94" s="62">
        <v>-47</v>
      </c>
      <c r="S94" s="62">
        <v>-50</v>
      </c>
      <c r="T94" s="62">
        <v>-50</v>
      </c>
      <c r="U94" s="62">
        <v>-53</v>
      </c>
      <c r="V94" s="62">
        <v>-48</v>
      </c>
      <c r="W94" s="62">
        <v>-28.9</v>
      </c>
      <c r="X94" s="62">
        <v>-29</v>
      </c>
      <c r="Y94" s="62">
        <v>-33.5</v>
      </c>
      <c r="Z94" s="62">
        <v>-40.1</v>
      </c>
      <c r="AA94" s="52">
        <v>-46</v>
      </c>
      <c r="AB94" s="52">
        <f>-22.6-27.5</f>
        <v>-50.1</v>
      </c>
      <c r="AC94" s="52">
        <f>-26-31.3</f>
        <v>-57.3</v>
      </c>
      <c r="AD94" s="52">
        <f>30.5+36.7</f>
        <v>67.2</v>
      </c>
      <c r="AE94" s="52">
        <f>31.7+37.7</f>
        <v>69.400000000000006</v>
      </c>
      <c r="AF94" s="52">
        <f>32.9+38.9</f>
        <v>71.8</v>
      </c>
      <c r="AG94" s="120">
        <v>240</v>
      </c>
      <c r="AH94" s="56">
        <f t="shared" si="22"/>
        <v>-80</v>
      </c>
      <c r="AI94" s="121">
        <f t="shared" si="23"/>
        <v>0.125</v>
      </c>
    </row>
    <row r="95" spans="1:88" x14ac:dyDescent="0.25">
      <c r="A95" s="122" t="s">
        <v>98</v>
      </c>
      <c r="B95" s="62">
        <v>-8.1999999999999993</v>
      </c>
      <c r="C95" s="62">
        <v>-4.3</v>
      </c>
      <c r="D95" s="62">
        <v>-7.3</v>
      </c>
      <c r="E95" s="62">
        <v>-5.4</v>
      </c>
      <c r="F95" s="62">
        <v>-2.9</v>
      </c>
      <c r="G95" s="62">
        <v>-4.3</v>
      </c>
      <c r="H95" s="62">
        <v>-2</v>
      </c>
      <c r="I95" s="62">
        <v>0</v>
      </c>
      <c r="J95" s="62">
        <v>0.2</v>
      </c>
      <c r="K95" s="62">
        <v>1.1000000000000001</v>
      </c>
      <c r="L95" s="62">
        <v>7.4</v>
      </c>
      <c r="M95" s="62">
        <v>7.4</v>
      </c>
      <c r="N95" s="62">
        <v>0</v>
      </c>
      <c r="O95" s="62">
        <v>5.9</v>
      </c>
      <c r="P95" s="62">
        <v>10</v>
      </c>
      <c r="Q95" s="62">
        <v>1.8</v>
      </c>
      <c r="R95" s="62">
        <v>7.1</v>
      </c>
      <c r="S95" s="62">
        <v>6</v>
      </c>
      <c r="T95" s="62">
        <v>2.2000000000000002</v>
      </c>
      <c r="U95" s="62">
        <v>9.5</v>
      </c>
      <c r="V95" s="62">
        <v>23.2</v>
      </c>
      <c r="W95" s="62">
        <v>30.1</v>
      </c>
      <c r="X95" s="62">
        <v>22.2</v>
      </c>
      <c r="Y95" s="62">
        <v>13.5</v>
      </c>
      <c r="Z95" s="62">
        <v>12.5</v>
      </c>
      <c r="AA95" s="52">
        <v>11.2</v>
      </c>
      <c r="AB95" s="52">
        <v>8.4</v>
      </c>
      <c r="AC95" s="52">
        <v>4.3</v>
      </c>
      <c r="AD95" s="52">
        <v>0.8</v>
      </c>
      <c r="AE95" s="52">
        <v>-5.2</v>
      </c>
      <c r="AF95" s="52">
        <v>-8.3000000000000007</v>
      </c>
      <c r="AG95" s="120">
        <v>60</v>
      </c>
      <c r="AH95" s="56">
        <f t="shared" si="22"/>
        <v>30.1</v>
      </c>
      <c r="AI95" s="121">
        <f t="shared" si="23"/>
        <v>0.75</v>
      </c>
    </row>
    <row r="96" spans="1:88" x14ac:dyDescent="0.25">
      <c r="A96" s="124" t="s">
        <v>99</v>
      </c>
      <c r="B96" s="65">
        <v>-6.7</v>
      </c>
      <c r="C96" s="65">
        <v>-11.9</v>
      </c>
      <c r="D96" s="65">
        <v>-14.4</v>
      </c>
      <c r="E96" s="65">
        <v>-14.3</v>
      </c>
      <c r="F96" s="65">
        <v>-5.0999999999999996</v>
      </c>
      <c r="G96" s="65">
        <v>7.1</v>
      </c>
      <c r="H96" s="65">
        <v>16</v>
      </c>
      <c r="I96" s="65">
        <v>26.7</v>
      </c>
      <c r="J96" s="65">
        <v>37.6</v>
      </c>
      <c r="K96" s="65">
        <v>33.6</v>
      </c>
      <c r="L96" s="65">
        <v>48.9</v>
      </c>
      <c r="M96" s="65">
        <v>48.9</v>
      </c>
      <c r="N96" s="65">
        <v>30.9</v>
      </c>
      <c r="O96" s="65">
        <v>32.6</v>
      </c>
      <c r="P96" s="65">
        <v>43.9</v>
      </c>
      <c r="Q96" s="65">
        <v>37.700000000000003</v>
      </c>
      <c r="R96" s="65">
        <v>13.1</v>
      </c>
      <c r="S96" s="65">
        <v>11.3</v>
      </c>
      <c r="T96" s="65">
        <v>16</v>
      </c>
      <c r="U96" s="65">
        <v>20.399999999999999</v>
      </c>
      <c r="V96" s="65">
        <v>35.4</v>
      </c>
      <c r="W96" s="65">
        <v>71.099999999999994</v>
      </c>
      <c r="X96" s="65">
        <v>79.3</v>
      </c>
      <c r="Y96" s="65">
        <v>64</v>
      </c>
      <c r="Z96" s="65">
        <v>54.1</v>
      </c>
      <c r="AA96" s="125">
        <v>41.8</v>
      </c>
      <c r="AB96" s="125">
        <v>33.1</v>
      </c>
      <c r="AC96" s="125">
        <v>17</v>
      </c>
      <c r="AD96" s="125">
        <v>-17.100000000000001</v>
      </c>
      <c r="AE96" s="125">
        <v>-14.7</v>
      </c>
      <c r="AF96" s="125">
        <v>-20.8</v>
      </c>
      <c r="AG96" s="127">
        <v>120</v>
      </c>
      <c r="AH96" s="56">
        <f t="shared" si="22"/>
        <v>79.3</v>
      </c>
      <c r="AI96" s="121">
        <f t="shared" si="23"/>
        <v>0.77083333333333337</v>
      </c>
    </row>
    <row r="97" spans="1:37" x14ac:dyDescent="0.25">
      <c r="A97" s="124" t="s">
        <v>100</v>
      </c>
      <c r="B97" s="65">
        <v>20.100000000000001</v>
      </c>
      <c r="C97" s="65">
        <v>16.100000000000001</v>
      </c>
      <c r="D97" s="65">
        <v>15</v>
      </c>
      <c r="E97" s="65">
        <v>16.7</v>
      </c>
      <c r="F97" s="65">
        <v>20.399999999999999</v>
      </c>
      <c r="G97" s="65">
        <v>28.8</v>
      </c>
      <c r="H97" s="65">
        <v>34.799999999999997</v>
      </c>
      <c r="I97" s="65">
        <v>40.5</v>
      </c>
      <c r="J97" s="65">
        <v>45.3</v>
      </c>
      <c r="K97" s="65">
        <v>42.8</v>
      </c>
      <c r="L97" s="65">
        <v>52.2</v>
      </c>
      <c r="M97" s="65">
        <v>52.2</v>
      </c>
      <c r="N97" s="65">
        <v>41.3</v>
      </c>
      <c r="O97" s="65">
        <v>43.3</v>
      </c>
      <c r="P97" s="65">
        <v>48.6</v>
      </c>
      <c r="Q97" s="65">
        <v>45.6</v>
      </c>
      <c r="R97" s="65">
        <v>31.2</v>
      </c>
      <c r="S97" s="65">
        <v>30.5</v>
      </c>
      <c r="T97" s="65">
        <v>37.200000000000003</v>
      </c>
      <c r="U97" s="65">
        <v>29.2</v>
      </c>
      <c r="V97" s="65">
        <v>37.4</v>
      </c>
      <c r="W97" s="65">
        <v>60</v>
      </c>
      <c r="X97" s="65">
        <v>70.900000000000006</v>
      </c>
      <c r="Y97" s="65">
        <v>58.2</v>
      </c>
      <c r="Z97" s="65">
        <v>50.3</v>
      </c>
      <c r="AA97" s="125">
        <v>44.4</v>
      </c>
      <c r="AB97" s="125">
        <v>38</v>
      </c>
      <c r="AC97" s="125">
        <v>38</v>
      </c>
      <c r="AD97" s="125">
        <v>9.9</v>
      </c>
      <c r="AE97" s="125">
        <v>16.8</v>
      </c>
      <c r="AF97" s="125">
        <v>12</v>
      </c>
      <c r="AG97" s="127"/>
      <c r="AH97" s="56">
        <f t="shared" si="22"/>
        <v>70.900000000000006</v>
      </c>
      <c r="AI97" s="121">
        <f t="shared" si="23"/>
        <v>0.77083333333333337</v>
      </c>
    </row>
    <row r="98" spans="1:37" ht="15.75" thickBot="1" x14ac:dyDescent="0.3">
      <c r="A98" s="124" t="s">
        <v>101</v>
      </c>
      <c r="B98" s="65">
        <v>30.8</v>
      </c>
      <c r="C98" s="65">
        <v>31.9</v>
      </c>
      <c r="D98" s="65">
        <v>35.6</v>
      </c>
      <c r="E98" s="65">
        <v>24</v>
      </c>
      <c r="F98" s="65">
        <v>39.9</v>
      </c>
      <c r="G98" s="65">
        <v>45.1</v>
      </c>
      <c r="H98" s="65">
        <v>43.1</v>
      </c>
      <c r="I98" s="65">
        <v>49.1</v>
      </c>
      <c r="J98" s="65">
        <v>47.3</v>
      </c>
      <c r="K98" s="65">
        <v>44.4</v>
      </c>
      <c r="L98" s="65">
        <v>48.3</v>
      </c>
      <c r="M98" s="65">
        <v>48.3</v>
      </c>
      <c r="N98" s="65">
        <v>36.200000000000003</v>
      </c>
      <c r="O98" s="65">
        <v>25.7</v>
      </c>
      <c r="P98" s="65">
        <v>-3.5</v>
      </c>
      <c r="Q98" s="65">
        <v>31.4</v>
      </c>
      <c r="R98" s="65">
        <v>29.9</v>
      </c>
      <c r="S98" s="65">
        <v>33.1</v>
      </c>
      <c r="T98" s="65">
        <v>30.2</v>
      </c>
      <c r="U98" s="65">
        <v>41.8</v>
      </c>
      <c r="V98" s="65">
        <v>35.5</v>
      </c>
      <c r="W98" s="65">
        <v>64.099999999999994</v>
      </c>
      <c r="X98" s="65">
        <v>66.3</v>
      </c>
      <c r="Y98" s="65">
        <v>52.5</v>
      </c>
      <c r="Z98" s="65">
        <v>45.1</v>
      </c>
      <c r="AA98" s="125">
        <v>33.200000000000003</v>
      </c>
      <c r="AB98" s="125">
        <v>31.7</v>
      </c>
      <c r="AC98" s="125">
        <v>31.7</v>
      </c>
      <c r="AD98" s="125">
        <v>17.600000000000001</v>
      </c>
      <c r="AE98" s="125">
        <v>13</v>
      </c>
      <c r="AF98" s="125">
        <v>20.3</v>
      </c>
      <c r="AG98" s="128"/>
      <c r="AH98" s="56">
        <f t="shared" si="22"/>
        <v>66.3</v>
      </c>
      <c r="AI98" s="121">
        <f t="shared" si="23"/>
        <v>0.77083333333333337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1224.74</v>
      </c>
      <c r="C207" s="164">
        <f>INDEX(F9:M9,1,MATCH(MAX(F74:M74),F74:M74,0))</f>
        <v>0.375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17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2078/07/17)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2078/07/17)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868.74</v>
      </c>
      <c r="U212" s="173">
        <f t="shared" si="52"/>
        <v>860.74</v>
      </c>
      <c r="V212" s="173">
        <f t="shared" si="52"/>
        <v>857.93999999999994</v>
      </c>
      <c r="W212" s="173">
        <f t="shared" si="52"/>
        <v>853.63999999999987</v>
      </c>
      <c r="X212" s="173">
        <f t="shared" si="52"/>
        <v>915.34</v>
      </c>
      <c r="Y212" s="173">
        <f t="shared" si="52"/>
        <v>969.24</v>
      </c>
      <c r="Z212" s="173">
        <f t="shared" si="52"/>
        <v>1021.44</v>
      </c>
      <c r="AA212" s="173">
        <f t="shared" si="52"/>
        <v>1069.94</v>
      </c>
      <c r="AB212" s="173">
        <f t="shared" si="52"/>
        <v>1138.44</v>
      </c>
      <c r="AC212" s="173">
        <f t="shared" si="52"/>
        <v>1188.74</v>
      </c>
      <c r="AD212" s="173">
        <f t="shared" si="52"/>
        <v>1218.24</v>
      </c>
      <c r="AE212" s="173">
        <f t="shared" si="52"/>
        <v>1224.74</v>
      </c>
      <c r="AF212" s="173">
        <f t="shared" si="52"/>
        <v>1133.8400000000001</v>
      </c>
      <c r="AG212" s="173">
        <f t="shared" si="52"/>
        <v>1087.44</v>
      </c>
      <c r="AH212" s="173">
        <f t="shared" si="52"/>
        <v>1046.24</v>
      </c>
      <c r="AI212" s="173">
        <f t="shared" si="52"/>
        <v>1059.44</v>
      </c>
      <c r="AJ212" s="173">
        <f t="shared" si="52"/>
        <v>1027.3400000000001</v>
      </c>
      <c r="AK212" s="173">
        <f t="shared" si="52"/>
        <v>1003.3400000000001</v>
      </c>
      <c r="AL212" s="173">
        <f t="shared" si="52"/>
        <v>1022.3400000000001</v>
      </c>
      <c r="AM212" s="173">
        <f t="shared" si="52"/>
        <v>1081.5400000000002</v>
      </c>
      <c r="AN212" s="173">
        <f t="shared" si="52"/>
        <v>1192.44</v>
      </c>
      <c r="AO212" s="173">
        <f t="shared" si="52"/>
        <v>1392.44</v>
      </c>
      <c r="AP212" s="173">
        <f t="shared" si="52"/>
        <v>1391.0400000000002</v>
      </c>
      <c r="AQ212" s="173">
        <f t="shared" si="52"/>
        <v>1306.04</v>
      </c>
      <c r="AR212" s="173">
        <f t="shared" si="52"/>
        <v>1281.24</v>
      </c>
      <c r="AS212" s="173">
        <f t="shared" si="52"/>
        <v>1224.54</v>
      </c>
      <c r="AT212" s="173">
        <f t="shared" si="52"/>
        <v>1168.6400000000001</v>
      </c>
      <c r="AU212" s="173">
        <f t="shared" si="52"/>
        <v>1089.3400000000001</v>
      </c>
      <c r="AV212" s="173">
        <f t="shared" si="52"/>
        <v>967.54000000000008</v>
      </c>
      <c r="AW212" s="173">
        <f t="shared" si="52"/>
        <v>907.34</v>
      </c>
      <c r="AX212" s="173">
        <f t="shared" si="52"/>
        <v>874.04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4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362" priority="439">
      <formula>S$9&gt;=20/24</formula>
    </cfRule>
    <cfRule type="expression" dxfId="5361" priority="440">
      <formula>AND(S$9&gt;=14/24,S$9&lt;20/24)</formula>
    </cfRule>
    <cfRule type="expression" dxfId="5360" priority="441">
      <formula>AND(S$9&gt;=8/24,S$9&lt;14/24)</formula>
    </cfRule>
    <cfRule type="expression" dxfId="5359" priority="442">
      <formula>S$9&lt;8/24</formula>
    </cfRule>
  </conditionalFormatting>
  <conditionalFormatting sqref="B8:AF10 AA80:AF80 B80:Q80 B55:AF55 B81:AF81 C192:AF198 B67:AF71 T211:AX211 O38:Q38 L11:V11 B79:AF79 L38:N41 O41:Q41 L12:Q14 B56:P60 R13:R14 L52:V54 S57:V58 Q57:R60 B62:R66 S14:T14 O39:T40 P44:U47 Q16:V26 S47:V47 U39:Z41 W84:Z90 Y12:Z13 Y11:AF11 X52:AF54 AA83:AF90 B73:AF77">
    <cfRule type="expression" dxfId="5358" priority="435">
      <formula>B$9&gt;=20/24</formula>
    </cfRule>
    <cfRule type="expression" dxfId="5357" priority="436">
      <formula>AND(B$9&gt;=14/24,B$9&lt;20/24)</formula>
    </cfRule>
    <cfRule type="expression" dxfId="5356" priority="437">
      <formula>AND(B$9&gt;=8/24,B$9&lt;14/24)</formula>
    </cfRule>
    <cfRule type="expression" dxfId="5355" priority="438">
      <formula>B$9&lt;8/24</formula>
    </cfRule>
  </conditionalFormatting>
  <conditionalFormatting sqref="B190:AF190">
    <cfRule type="expression" dxfId="5354" priority="431">
      <formula>B$9&gt;=20/24</formula>
    </cfRule>
    <cfRule type="expression" dxfId="5353" priority="432">
      <formula>AND(B$9&gt;=14/24,B$9&lt;20/24)</formula>
    </cfRule>
    <cfRule type="expression" dxfId="5352" priority="433">
      <formula>AND(B$9&gt;=8/24,B$9&lt;14/24)</formula>
    </cfRule>
    <cfRule type="expression" dxfId="5351" priority="434">
      <formula>B$9&lt;8/24</formula>
    </cfRule>
  </conditionalFormatting>
  <conditionalFormatting sqref="AL4:AL6">
    <cfRule type="iconSet" priority="430">
      <iconSet iconSet="3TrafficLights2" reverse="1">
        <cfvo type="percent" val="0"/>
        <cfvo type="num" val="1"/>
        <cfvo type="num" val="1"/>
      </iconSet>
    </cfRule>
  </conditionalFormatting>
  <conditionalFormatting sqref="Q56:R56">
    <cfRule type="expression" dxfId="5350" priority="426">
      <formula>Q$9&gt;=20/24</formula>
    </cfRule>
    <cfRule type="expression" dxfId="5349" priority="427">
      <formula>AND(Q$9&gt;=14/24,Q$9&lt;20/24)</formula>
    </cfRule>
    <cfRule type="expression" dxfId="5348" priority="428">
      <formula>AND(Q$9&gt;=8/24,Q$9&lt;14/24)</formula>
    </cfRule>
    <cfRule type="expression" dxfId="5347" priority="429">
      <formula>Q$9&lt;8/24</formula>
    </cfRule>
  </conditionalFormatting>
  <conditionalFormatting sqref="P42:U42">
    <cfRule type="expression" dxfId="5346" priority="422">
      <formula>P$9&gt;=20/24</formula>
    </cfRule>
    <cfRule type="expression" dxfId="5345" priority="423">
      <formula>AND(P$9&gt;=14/24,P$9&lt;20/24)</formula>
    </cfRule>
    <cfRule type="expression" dxfId="5344" priority="424">
      <formula>AND(P$9&gt;=8/24,P$9&lt;14/24)</formula>
    </cfRule>
    <cfRule type="expression" dxfId="5343" priority="425">
      <formula>P$9&lt;8/24</formula>
    </cfRule>
  </conditionalFormatting>
  <conditionalFormatting sqref="R38:Z38">
    <cfRule type="expression" dxfId="5342" priority="414">
      <formula>R$9&gt;=20/24</formula>
    </cfRule>
    <cfRule type="expression" dxfId="5341" priority="415">
      <formula>AND(R$9&gt;=14/24,R$9&lt;20/24)</formula>
    </cfRule>
    <cfRule type="expression" dxfId="5340" priority="416">
      <formula>AND(R$9&gt;=8/24,R$9&lt;14/24)</formula>
    </cfRule>
    <cfRule type="expression" dxfId="5339" priority="417">
      <formula>R$9&lt;8/24</formula>
    </cfRule>
  </conditionalFormatting>
  <conditionalFormatting sqref="S56:V56 X56:AF56">
    <cfRule type="expression" dxfId="5338" priority="410">
      <formula>S$9&gt;=20/24</formula>
    </cfRule>
    <cfRule type="expression" dxfId="5337" priority="411">
      <formula>AND(S$9&gt;=14/24,S$9&lt;20/24)</formula>
    </cfRule>
    <cfRule type="expression" dxfId="5336" priority="412">
      <formula>AND(S$9&gt;=8/24,S$9&lt;14/24)</formula>
    </cfRule>
    <cfRule type="expression" dxfId="5335" priority="413">
      <formula>S$9&lt;8/24</formula>
    </cfRule>
  </conditionalFormatting>
  <conditionalFormatting sqref="R80:Z80">
    <cfRule type="expression" dxfId="5334" priority="406">
      <formula>R$9&gt;=20/24</formula>
    </cfRule>
    <cfRule type="expression" dxfId="5333" priority="407">
      <formula>AND(R$9&gt;=14/24,R$9&lt;20/24)</formula>
    </cfRule>
    <cfRule type="expression" dxfId="5332" priority="408">
      <formula>AND(R$9&gt;=8/24,R$9&lt;14/24)</formula>
    </cfRule>
    <cfRule type="expression" dxfId="5331" priority="409">
      <formula>R$9&lt;8/24</formula>
    </cfRule>
  </conditionalFormatting>
  <conditionalFormatting sqref="T83:Z83">
    <cfRule type="expression" dxfId="5330" priority="402">
      <formula>T$9&gt;=20/24</formula>
    </cfRule>
    <cfRule type="expression" dxfId="5329" priority="403">
      <formula>AND(T$9&gt;=14/24,T$9&lt;20/24)</formula>
    </cfRule>
    <cfRule type="expression" dxfId="5328" priority="404">
      <formula>AND(T$9&gt;=8/24,T$9&lt;14/24)</formula>
    </cfRule>
    <cfRule type="expression" dxfId="5327" priority="405">
      <formula>T$9&lt;8/24</formula>
    </cfRule>
  </conditionalFormatting>
  <conditionalFormatting sqref="P48:U48">
    <cfRule type="expression" dxfId="5326" priority="394">
      <formula>P$9&gt;=20/24</formula>
    </cfRule>
    <cfRule type="expression" dxfId="5325" priority="395">
      <formula>AND(P$9&gt;=14/24,P$9&lt;20/24)</formula>
    </cfRule>
    <cfRule type="expression" dxfId="5324" priority="396">
      <formula>AND(P$9&gt;=8/24,P$9&lt;14/24)</formula>
    </cfRule>
    <cfRule type="expression" dxfId="5323" priority="397">
      <formula>P$9&lt;8/24</formula>
    </cfRule>
  </conditionalFormatting>
  <conditionalFormatting sqref="P49:U49">
    <cfRule type="expression" dxfId="5322" priority="390">
      <formula>P$9&gt;=20/24</formula>
    </cfRule>
    <cfRule type="expression" dxfId="5321" priority="391">
      <formula>AND(P$9&gt;=14/24,P$9&lt;20/24)</formula>
    </cfRule>
    <cfRule type="expression" dxfId="5320" priority="392">
      <formula>AND(P$9&gt;=8/24,P$9&lt;14/24)</formula>
    </cfRule>
    <cfRule type="expression" dxfId="5319" priority="393">
      <formula>P$9&lt;8/24</formula>
    </cfRule>
  </conditionalFormatting>
  <conditionalFormatting sqref="P44:U47 S47:V47">
    <cfRule type="expression" dxfId="5318" priority="386">
      <formula>P$9&gt;=20/24</formula>
    </cfRule>
    <cfRule type="expression" dxfId="5317" priority="387">
      <formula>AND(P$9&gt;=14/24,P$9&lt;20/24)</formula>
    </cfRule>
    <cfRule type="expression" dxfId="5316" priority="388">
      <formula>AND(P$9&gt;=8/24,P$9&lt;14/24)</formula>
    </cfRule>
    <cfRule type="expression" dxfId="5315" priority="389">
      <formula>P$9&lt;8/24</formula>
    </cfRule>
  </conditionalFormatting>
  <conditionalFormatting sqref="S36:V36">
    <cfRule type="expression" dxfId="5314" priority="382">
      <formula>S$9&gt;=20/24</formula>
    </cfRule>
    <cfRule type="expression" dxfId="5313" priority="383">
      <formula>AND(S$9&gt;=14/24,S$9&lt;20/24)</formula>
    </cfRule>
    <cfRule type="expression" dxfId="5312" priority="384">
      <formula>AND(S$9&gt;=8/24,S$9&lt;14/24)</formula>
    </cfRule>
    <cfRule type="expression" dxfId="5311" priority="385">
      <formula>S$9&lt;8/24</formula>
    </cfRule>
  </conditionalFormatting>
  <conditionalFormatting sqref="R41:T41 V44:Z47 V42:Z42">
    <cfRule type="expression" dxfId="5310" priority="374">
      <formula>R$9&gt;=20/24</formula>
    </cfRule>
    <cfRule type="expression" dxfId="5309" priority="375">
      <formula>AND(R$9&gt;=14/24,R$9&lt;20/24)</formula>
    </cfRule>
    <cfRule type="expression" dxfId="5308" priority="376">
      <formula>AND(R$9&gt;=8/24,R$9&lt;14/24)</formula>
    </cfRule>
    <cfRule type="expression" dxfId="5307" priority="377">
      <formula>R$9&lt;8/24</formula>
    </cfRule>
  </conditionalFormatting>
  <conditionalFormatting sqref="V48:Z48">
    <cfRule type="expression" dxfId="5306" priority="370">
      <formula>V$9&gt;=20/24</formula>
    </cfRule>
    <cfRule type="expression" dxfId="5305" priority="371">
      <formula>AND(V$9&gt;=14/24,V$9&lt;20/24)</formula>
    </cfRule>
    <cfRule type="expression" dxfId="5304" priority="372">
      <formula>AND(V$9&gt;=8/24,V$9&lt;14/24)</formula>
    </cfRule>
    <cfRule type="expression" dxfId="5303" priority="373">
      <formula>V$9&lt;8/24</formula>
    </cfRule>
  </conditionalFormatting>
  <conditionalFormatting sqref="V49:Z49">
    <cfRule type="expression" dxfId="5302" priority="366">
      <formula>V$9&gt;=20/24</formula>
    </cfRule>
    <cfRule type="expression" dxfId="5301" priority="367">
      <formula>AND(V$9&gt;=14/24,V$9&lt;20/24)</formula>
    </cfRule>
    <cfRule type="expression" dxfId="5300" priority="368">
      <formula>AND(V$9&gt;=8/24,V$9&lt;14/24)</formula>
    </cfRule>
    <cfRule type="expression" dxfId="5299" priority="369">
      <formula>V$9&lt;8/24</formula>
    </cfRule>
  </conditionalFormatting>
  <conditionalFormatting sqref="S59:S66 X59:AF66">
    <cfRule type="expression" dxfId="5298" priority="362">
      <formula>S$9&gt;=20/24</formula>
    </cfRule>
    <cfRule type="expression" dxfId="5297" priority="363">
      <formula>AND(S$9&gt;=14/24,S$9&lt;20/24)</formula>
    </cfRule>
    <cfRule type="expression" dxfId="5296" priority="364">
      <formula>AND(S$9&gt;=8/24,S$9&lt;14/24)</formula>
    </cfRule>
    <cfRule type="expression" dxfId="5295" priority="365">
      <formula>S$9&lt;8/24</formula>
    </cfRule>
  </conditionalFormatting>
  <conditionalFormatting sqref="AA93:AF96">
    <cfRule type="expression" dxfId="5294" priority="358">
      <formula>AA$9&gt;=20/24</formula>
    </cfRule>
    <cfRule type="expression" dxfId="5293" priority="359">
      <formula>AND(AA$9&gt;=14/24,AA$9&lt;20/24)</formula>
    </cfRule>
    <cfRule type="expression" dxfId="5292" priority="360">
      <formula>AND(AA$9&gt;=8/24,AA$9&lt;14/24)</formula>
    </cfRule>
    <cfRule type="expression" dxfId="5291" priority="361">
      <formula>AA$9&lt;8/24</formula>
    </cfRule>
  </conditionalFormatting>
  <conditionalFormatting sqref="B61:R61">
    <cfRule type="expression" dxfId="5290" priority="354">
      <formula>B$9&gt;=20/24</formula>
    </cfRule>
    <cfRule type="expression" dxfId="5289" priority="355">
      <formula>AND(B$9&gt;=14/24,B$9&lt;20/24)</formula>
    </cfRule>
    <cfRule type="expression" dxfId="5288" priority="356">
      <formula>AND(B$9&gt;=8/24,B$9&lt;14/24)</formula>
    </cfRule>
    <cfRule type="expression" dxfId="5287" priority="357">
      <formula>B$9&lt;8/24</formula>
    </cfRule>
  </conditionalFormatting>
  <conditionalFormatting sqref="T93:V96 X93:Z96">
    <cfRule type="expression" dxfId="5286" priority="350">
      <formula>T$9&gt;=20/24</formula>
    </cfRule>
    <cfRule type="expression" dxfId="5285" priority="351">
      <formula>AND(T$9&gt;=14/24,T$9&lt;20/24)</formula>
    </cfRule>
    <cfRule type="expression" dxfId="5284" priority="352">
      <formula>AND(T$9&gt;=8/24,T$9&lt;14/24)</formula>
    </cfRule>
    <cfRule type="expression" dxfId="5283" priority="353">
      <formula>T$9&lt;8/24</formula>
    </cfRule>
  </conditionalFormatting>
  <conditionalFormatting sqref="AG50 L11:V11 B11:K14 L12:Q14 R13:R14 B34:Q34 B27:Q32 S14:T14 B16:V26 B35:V36 B55:AF55 B52:V54 B50:AF51 B37:AF37 Y12:Z13 B38:Z42 B44:Z49 Y11:AF11 X52:AF54">
    <cfRule type="expression" dxfId="5282" priority="349">
      <formula>B11&gt;$AG11</formula>
    </cfRule>
  </conditionalFormatting>
  <conditionalFormatting sqref="A99:A155 A83:A96 A11:A14 A16:A32 A44:A71 A79:A81 A73:A77 A34:A42 A168:A199">
    <cfRule type="expression" dxfId="5281" priority="348">
      <formula>$AH11=0</formula>
    </cfRule>
  </conditionalFormatting>
  <conditionalFormatting sqref="AA97:AF97">
    <cfRule type="expression" dxfId="5280" priority="344">
      <formula>AA$9&gt;=20/24</formula>
    </cfRule>
    <cfRule type="expression" dxfId="5279" priority="345">
      <formula>AND(AA$9&gt;=14/24,AA$9&lt;20/24)</formula>
    </cfRule>
    <cfRule type="expression" dxfId="5278" priority="346">
      <formula>AND(AA$9&gt;=8/24,AA$9&lt;14/24)</formula>
    </cfRule>
    <cfRule type="expression" dxfId="5277" priority="347">
      <formula>AA$9&lt;8/24</formula>
    </cfRule>
  </conditionalFormatting>
  <conditionalFormatting sqref="T97:V97 X97:Z97">
    <cfRule type="expression" dxfId="5276" priority="340">
      <formula>T$9&gt;=20/24</formula>
    </cfRule>
    <cfRule type="expression" dxfId="5275" priority="341">
      <formula>AND(T$9&gt;=14/24,T$9&lt;20/24)</formula>
    </cfRule>
    <cfRule type="expression" dxfId="5274" priority="342">
      <formula>AND(T$9&gt;=8/24,T$9&lt;14/24)</formula>
    </cfRule>
    <cfRule type="expression" dxfId="5273" priority="343">
      <formula>T$9&lt;8/24</formula>
    </cfRule>
  </conditionalFormatting>
  <conditionalFormatting sqref="A97">
    <cfRule type="expression" dxfId="5272" priority="339">
      <formula>$AH97=0</formula>
    </cfRule>
  </conditionalFormatting>
  <conditionalFormatting sqref="I35:V35">
    <cfRule type="expression" dxfId="5271" priority="335">
      <formula>I$9&gt;=20/24</formula>
    </cfRule>
    <cfRule type="expression" dxfId="5270" priority="336">
      <formula>AND(I$9&gt;=14/24,I$9&lt;20/24)</formula>
    </cfRule>
    <cfRule type="expression" dxfId="5269" priority="337">
      <formula>AND(I$9&gt;=8/24,I$9&lt;14/24)</formula>
    </cfRule>
    <cfRule type="expression" dxfId="5268" priority="338">
      <formula>I$9&lt;8/24</formula>
    </cfRule>
  </conditionalFormatting>
  <conditionalFormatting sqref="B35:V35">
    <cfRule type="expression" dxfId="5267" priority="327">
      <formula>B$9&gt;=20/24</formula>
    </cfRule>
    <cfRule type="expression" dxfId="5266" priority="328">
      <formula>AND(B$9&gt;=14/24,B$9&lt;20/24)</formula>
    </cfRule>
    <cfRule type="expression" dxfId="5265" priority="329">
      <formula>AND(B$9&gt;=8/24,B$9&lt;14/24)</formula>
    </cfRule>
    <cfRule type="expression" dxfId="5264" priority="330">
      <formula>B$9&lt;8/24</formula>
    </cfRule>
  </conditionalFormatting>
  <conditionalFormatting sqref="AL32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B33:Q33">
    <cfRule type="expression" dxfId="5263" priority="305">
      <formula>B33&gt;$AG33</formula>
    </cfRule>
  </conditionalFormatting>
  <conditionalFormatting sqref="A33">
    <cfRule type="expression" dxfId="5262" priority="304">
      <formula>$AH33=0</formula>
    </cfRule>
  </conditionalFormatting>
  <conditionalFormatting sqref="B82:AF82">
    <cfRule type="expression" dxfId="5261" priority="300">
      <formula>B$9&gt;=20/24</formula>
    </cfRule>
    <cfRule type="expression" dxfId="5260" priority="301">
      <formula>AND(B$9&gt;=14/24,B$9&lt;20/24)</formula>
    </cfRule>
    <cfRule type="expression" dxfId="5259" priority="302">
      <formula>AND(B$9&gt;=8/24,B$9&lt;14/24)</formula>
    </cfRule>
    <cfRule type="expression" dxfId="5258" priority="303">
      <formula>B$9&lt;8/24</formula>
    </cfRule>
  </conditionalFormatting>
  <conditionalFormatting sqref="A82">
    <cfRule type="expression" dxfId="5257" priority="299">
      <formula>$AH82=0</formula>
    </cfRule>
  </conditionalFormatting>
  <conditionalFormatting sqref="L15:V15">
    <cfRule type="expression" dxfId="5256" priority="291">
      <formula>L$9&gt;=20/24</formula>
    </cfRule>
    <cfRule type="expression" dxfId="5255" priority="292">
      <formula>AND(L$9&gt;=14/24,L$9&lt;20/24)</formula>
    </cfRule>
    <cfRule type="expression" dxfId="5254" priority="293">
      <formula>AND(L$9&gt;=8/24,L$9&lt;14/24)</formula>
    </cfRule>
    <cfRule type="expression" dxfId="5253" priority="294">
      <formula>L$9&lt;8/24</formula>
    </cfRule>
  </conditionalFormatting>
  <conditionalFormatting sqref="B15:V15">
    <cfRule type="expression" dxfId="5252" priority="290">
      <formula>B15&gt;$AG15</formula>
    </cfRule>
  </conditionalFormatting>
  <conditionalFormatting sqref="A15">
    <cfRule type="expression" dxfId="5251" priority="289">
      <formula>$AH15=0</formula>
    </cfRule>
  </conditionalFormatting>
  <conditionalFormatting sqref="A162:A167">
    <cfRule type="expression" dxfId="5250" priority="288">
      <formula>$AH162=0</formula>
    </cfRule>
  </conditionalFormatting>
  <conditionalFormatting sqref="A156:A161">
    <cfRule type="expression" dxfId="5249" priority="287">
      <formula>$AH156=0</formula>
    </cfRule>
  </conditionalFormatting>
  <conditionalFormatting sqref="P43:U43">
    <cfRule type="expression" dxfId="5248" priority="279">
      <formula>P$9&gt;=20/24</formula>
    </cfRule>
    <cfRule type="expression" dxfId="5247" priority="280">
      <formula>AND(P$9&gt;=14/24,P$9&lt;20/24)</formula>
    </cfRule>
    <cfRule type="expression" dxfId="5246" priority="281">
      <formula>AND(P$9&gt;=8/24,P$9&lt;14/24)</formula>
    </cfRule>
    <cfRule type="expression" dxfId="5245" priority="282">
      <formula>P$9&lt;8/24</formula>
    </cfRule>
  </conditionalFormatting>
  <conditionalFormatting sqref="V43:Z43">
    <cfRule type="expression" dxfId="5244" priority="275">
      <formula>V$9&gt;=20/24</formula>
    </cfRule>
    <cfRule type="expression" dxfId="5243" priority="276">
      <formula>AND(V$9&gt;=14/24,V$9&lt;20/24)</formula>
    </cfRule>
    <cfRule type="expression" dxfId="5242" priority="277">
      <formula>AND(V$9&gt;=8/24,V$9&lt;14/24)</formula>
    </cfRule>
    <cfRule type="expression" dxfId="5241" priority="278">
      <formula>V$9&lt;8/24</formula>
    </cfRule>
  </conditionalFormatting>
  <conditionalFormatting sqref="B43:Z43">
    <cfRule type="expression" dxfId="5240" priority="274">
      <formula>B43&gt;$AG43</formula>
    </cfRule>
  </conditionalFormatting>
  <conditionalFormatting sqref="A43">
    <cfRule type="expression" dxfId="5239" priority="273">
      <formula>$AH43=0</formula>
    </cfRule>
  </conditionalFormatting>
  <conditionalFormatting sqref="B78:AF78">
    <cfRule type="expression" dxfId="5238" priority="269">
      <formula>B$9&gt;=20/24</formula>
    </cfRule>
    <cfRule type="expression" dxfId="5237" priority="270">
      <formula>AND(B$9&gt;=14/24,B$9&lt;20/24)</formula>
    </cfRule>
    <cfRule type="expression" dxfId="5236" priority="271">
      <formula>AND(B$9&gt;=8/24,B$9&lt;14/24)</formula>
    </cfRule>
    <cfRule type="expression" dxfId="5235" priority="272">
      <formula>B$9&lt;8/24</formula>
    </cfRule>
  </conditionalFormatting>
  <conditionalFormatting sqref="A78">
    <cfRule type="expression" dxfId="5234" priority="268">
      <formula>$AH78=0</formula>
    </cfRule>
  </conditionalFormatting>
  <conditionalFormatting sqref="B72:AG72">
    <cfRule type="expression" dxfId="5233" priority="264">
      <formula>B$9&gt;=20/24</formula>
    </cfRule>
    <cfRule type="expression" dxfId="5232" priority="265">
      <formula>AND(B$9&gt;=14/24,B$9&lt;20/24)</formula>
    </cfRule>
    <cfRule type="expression" dxfId="5231" priority="266">
      <formula>AND(B$9&gt;=8/24,B$9&lt;14/24)</formula>
    </cfRule>
    <cfRule type="expression" dxfId="5230" priority="267">
      <formula>B$9&lt;8/24</formula>
    </cfRule>
  </conditionalFormatting>
  <conditionalFormatting sqref="A72">
    <cfRule type="expression" dxfId="5229" priority="263">
      <formula>$AH72=0</formula>
    </cfRule>
  </conditionalFormatting>
  <conditionalFormatting sqref="AL33:AL34 AL7:AL31">
    <cfRule type="iconSet" priority="445">
      <iconSet iconSet="3TrafficLights2" reverse="1">
        <cfvo type="percent" val="0"/>
        <cfvo type="num" val="1"/>
        <cfvo type="num" val="1"/>
      </iconSet>
    </cfRule>
  </conditionalFormatting>
  <conditionalFormatting sqref="T59:V66">
    <cfRule type="expression" dxfId="5228" priority="259">
      <formula>T$9&gt;=20/24</formula>
    </cfRule>
    <cfRule type="expression" dxfId="5227" priority="260">
      <formula>AND(T$9&gt;=14/24,T$9&lt;20/24)</formula>
    </cfRule>
    <cfRule type="expression" dxfId="5226" priority="261">
      <formula>AND(T$9&gt;=8/24,T$9&lt;14/24)</formula>
    </cfRule>
    <cfRule type="expression" dxfId="5225" priority="262">
      <formula>T$9&lt;8/24</formula>
    </cfRule>
  </conditionalFormatting>
  <conditionalFormatting sqref="T84:V90">
    <cfRule type="expression" dxfId="5224" priority="255">
      <formula>T$9&gt;=20/24</formula>
    </cfRule>
    <cfRule type="expression" dxfId="5223" priority="256">
      <formula>AND(T$9&gt;=14/24,T$9&lt;20/24)</formula>
    </cfRule>
    <cfRule type="expression" dxfId="5222" priority="257">
      <formula>AND(T$9&gt;=8/24,T$9&lt;14/24)</formula>
    </cfRule>
    <cfRule type="expression" dxfId="5221" priority="258">
      <formula>T$9&lt;8/24</formula>
    </cfRule>
  </conditionalFormatting>
  <conditionalFormatting sqref="R84:S90 B83:Q90">
    <cfRule type="expression" dxfId="5220" priority="251">
      <formula>B$9&gt;=20/24</formula>
    </cfRule>
    <cfRule type="expression" dxfId="5219" priority="252">
      <formula>AND(B$9&gt;=14/24,B$9&lt;20/24)</formula>
    </cfRule>
    <cfRule type="expression" dxfId="5218" priority="253">
      <formula>AND(B$9&gt;=8/24,B$9&lt;14/24)</formula>
    </cfRule>
    <cfRule type="expression" dxfId="5217" priority="254">
      <formula>B$9&lt;8/24</formula>
    </cfRule>
  </conditionalFormatting>
  <conditionalFormatting sqref="R83:S83">
    <cfRule type="expression" dxfId="5216" priority="247">
      <formula>R$9&gt;=20/24</formula>
    </cfRule>
    <cfRule type="expression" dxfId="5215" priority="248">
      <formula>AND(R$9&gt;=14/24,R$9&lt;20/24)</formula>
    </cfRule>
    <cfRule type="expression" dxfId="5214" priority="249">
      <formula>AND(R$9&gt;=8/24,R$9&lt;14/24)</formula>
    </cfRule>
    <cfRule type="expression" dxfId="5213" priority="250">
      <formula>R$9&lt;8/24</formula>
    </cfRule>
  </conditionalFormatting>
  <conditionalFormatting sqref="B93:E93 B94:M96">
    <cfRule type="expression" dxfId="5212" priority="243">
      <formula>B$9&gt;=20/24</formula>
    </cfRule>
    <cfRule type="expression" dxfId="5211" priority="244">
      <formula>AND(B$9&gt;=14/24,B$9&lt;20/24)</formula>
    </cfRule>
    <cfRule type="expression" dxfId="5210" priority="245">
      <formula>AND(B$9&gt;=8/24,B$9&lt;14/24)</formula>
    </cfRule>
    <cfRule type="expression" dxfId="5209" priority="246">
      <formula>B$9&lt;8/24</formula>
    </cfRule>
  </conditionalFormatting>
  <conditionalFormatting sqref="N93:Q96">
    <cfRule type="expression" dxfId="5208" priority="239">
      <formula>N$9&gt;=20/24</formula>
    </cfRule>
    <cfRule type="expression" dxfId="5207" priority="240">
      <formula>AND(N$9&gt;=14/24,N$9&lt;20/24)</formula>
    </cfRule>
    <cfRule type="expression" dxfId="5206" priority="241">
      <formula>AND(N$9&gt;=8/24,N$9&lt;14/24)</formula>
    </cfRule>
    <cfRule type="expression" dxfId="5205" priority="242">
      <formula>N$9&lt;8/24</formula>
    </cfRule>
  </conditionalFormatting>
  <conditionalFormatting sqref="R93:S96">
    <cfRule type="expression" dxfId="5204" priority="235">
      <formula>R$9&gt;=20/24</formula>
    </cfRule>
    <cfRule type="expression" dxfId="5203" priority="236">
      <formula>AND(R$9&gt;=14/24,R$9&lt;20/24)</formula>
    </cfRule>
    <cfRule type="expression" dxfId="5202" priority="237">
      <formula>AND(R$9&gt;=8/24,R$9&lt;14/24)</formula>
    </cfRule>
    <cfRule type="expression" dxfId="5201" priority="238">
      <formula>R$9&lt;8/24</formula>
    </cfRule>
  </conditionalFormatting>
  <conditionalFormatting sqref="B97:M97">
    <cfRule type="expression" dxfId="5200" priority="231">
      <formula>B$9&gt;=20/24</formula>
    </cfRule>
    <cfRule type="expression" dxfId="5199" priority="232">
      <formula>AND(B$9&gt;=14/24,B$9&lt;20/24)</formula>
    </cfRule>
    <cfRule type="expression" dxfId="5198" priority="233">
      <formula>AND(B$9&gt;=8/24,B$9&lt;14/24)</formula>
    </cfRule>
    <cfRule type="expression" dxfId="5197" priority="234">
      <formula>B$9&lt;8/24</formula>
    </cfRule>
  </conditionalFormatting>
  <conditionalFormatting sqref="N97:Q97">
    <cfRule type="expression" dxfId="5196" priority="227">
      <formula>N$9&gt;=20/24</formula>
    </cfRule>
    <cfRule type="expression" dxfId="5195" priority="228">
      <formula>AND(N$9&gt;=14/24,N$9&lt;20/24)</formula>
    </cfRule>
    <cfRule type="expression" dxfId="5194" priority="229">
      <formula>AND(N$9&gt;=8/24,N$9&lt;14/24)</formula>
    </cfRule>
    <cfRule type="expression" dxfId="5193" priority="230">
      <formula>N$9&lt;8/24</formula>
    </cfRule>
  </conditionalFormatting>
  <conditionalFormatting sqref="R97:S97">
    <cfRule type="expression" dxfId="5192" priority="223">
      <formula>R$9&gt;=20/24</formula>
    </cfRule>
    <cfRule type="expression" dxfId="5191" priority="224">
      <formula>AND(R$9&gt;=14/24,R$9&lt;20/24)</formula>
    </cfRule>
    <cfRule type="expression" dxfId="5190" priority="225">
      <formula>AND(R$9&gt;=8/24,R$9&lt;14/24)</formula>
    </cfRule>
    <cfRule type="expression" dxfId="5189" priority="226">
      <formula>R$9&lt;8/24</formula>
    </cfRule>
  </conditionalFormatting>
  <conditionalFormatting sqref="L93:M93">
    <cfRule type="expression" dxfId="5188" priority="219">
      <formula>L$9&gt;=20/24</formula>
    </cfRule>
    <cfRule type="expression" dxfId="5187" priority="220">
      <formula>AND(L$9&gt;=14/24,L$9&lt;20/24)</formula>
    </cfRule>
    <cfRule type="expression" dxfId="5186" priority="221">
      <formula>AND(L$9&gt;=8/24,L$9&lt;14/24)</formula>
    </cfRule>
    <cfRule type="expression" dxfId="5185" priority="222">
      <formula>L$9&lt;8/24</formula>
    </cfRule>
  </conditionalFormatting>
  <conditionalFormatting sqref="F93:K93">
    <cfRule type="expression" dxfId="5184" priority="215">
      <formula>F$9&gt;=20/24</formula>
    </cfRule>
    <cfRule type="expression" dxfId="5183" priority="216">
      <formula>AND(F$9&gt;=14/24,F$9&lt;20/24)</formula>
    </cfRule>
    <cfRule type="expression" dxfId="5182" priority="217">
      <formula>AND(F$9&gt;=8/24,F$9&lt;14/24)</formula>
    </cfRule>
    <cfRule type="expression" dxfId="5181" priority="218">
      <formula>F$9&lt;8/24</formula>
    </cfRule>
  </conditionalFormatting>
  <conditionalFormatting sqref="T93:V93">
    <cfRule type="expression" dxfId="5180" priority="211">
      <formula>T$9&gt;=20/24</formula>
    </cfRule>
    <cfRule type="expression" dxfId="5179" priority="212">
      <formula>AND(T$9&gt;=14/24,T$9&lt;20/24)</formula>
    </cfRule>
    <cfRule type="expression" dxfId="5178" priority="213">
      <formula>AND(T$9&gt;=8/24,T$9&lt;14/24)</formula>
    </cfRule>
    <cfRule type="expression" dxfId="5177" priority="214">
      <formula>T$9&lt;8/24</formula>
    </cfRule>
  </conditionalFormatting>
  <conditionalFormatting sqref="N93:S93">
    <cfRule type="expression" dxfId="5176" priority="207">
      <formula>N$9&gt;=20/24</formula>
    </cfRule>
    <cfRule type="expression" dxfId="5175" priority="208">
      <formula>AND(N$9&gt;=14/24,N$9&lt;20/24)</formula>
    </cfRule>
    <cfRule type="expression" dxfId="5174" priority="209">
      <formula>AND(N$9&gt;=8/24,N$9&lt;14/24)</formula>
    </cfRule>
    <cfRule type="expression" dxfId="5173" priority="210">
      <formula>N$9&lt;8/24</formula>
    </cfRule>
  </conditionalFormatting>
  <conditionalFormatting sqref="AA98:AF98">
    <cfRule type="expression" dxfId="5172" priority="203">
      <formula>AA$9&gt;=20/24</formula>
    </cfRule>
    <cfRule type="expression" dxfId="5171" priority="204">
      <formula>AND(AA$9&gt;=14/24,AA$9&lt;20/24)</formula>
    </cfRule>
    <cfRule type="expression" dxfId="5170" priority="205">
      <formula>AND(AA$9&gt;=8/24,AA$9&lt;14/24)</formula>
    </cfRule>
    <cfRule type="expression" dxfId="5169" priority="206">
      <formula>AA$9&lt;8/24</formula>
    </cfRule>
  </conditionalFormatting>
  <conditionalFormatting sqref="T98:V98 X98:Z98">
    <cfRule type="expression" dxfId="5168" priority="199">
      <formula>T$9&gt;=20/24</formula>
    </cfRule>
    <cfRule type="expression" dxfId="5167" priority="200">
      <formula>AND(T$9&gt;=14/24,T$9&lt;20/24)</formula>
    </cfRule>
    <cfRule type="expression" dxfId="5166" priority="201">
      <formula>AND(T$9&gt;=8/24,T$9&lt;14/24)</formula>
    </cfRule>
    <cfRule type="expression" dxfId="5165" priority="202">
      <formula>T$9&lt;8/24</formula>
    </cfRule>
  </conditionalFormatting>
  <conditionalFormatting sqref="A98">
    <cfRule type="expression" dxfId="5164" priority="198">
      <formula>$AH98=0</formula>
    </cfRule>
  </conditionalFormatting>
  <conditionalFormatting sqref="B98:M98">
    <cfRule type="expression" dxfId="5163" priority="194">
      <formula>B$9&gt;=20/24</formula>
    </cfRule>
    <cfRule type="expression" dxfId="5162" priority="195">
      <formula>AND(B$9&gt;=14/24,B$9&lt;20/24)</formula>
    </cfRule>
    <cfRule type="expression" dxfId="5161" priority="196">
      <formula>AND(B$9&gt;=8/24,B$9&lt;14/24)</formula>
    </cfRule>
    <cfRule type="expression" dxfId="5160" priority="197">
      <formula>B$9&lt;8/24</formula>
    </cfRule>
  </conditionalFormatting>
  <conditionalFormatting sqref="N98:Q98">
    <cfRule type="expression" dxfId="5159" priority="190">
      <formula>N$9&gt;=20/24</formula>
    </cfRule>
    <cfRule type="expression" dxfId="5158" priority="191">
      <formula>AND(N$9&gt;=14/24,N$9&lt;20/24)</formula>
    </cfRule>
    <cfRule type="expression" dxfId="5157" priority="192">
      <formula>AND(N$9&gt;=8/24,N$9&lt;14/24)</formula>
    </cfRule>
    <cfRule type="expression" dxfId="5156" priority="193">
      <formula>N$9&lt;8/24</formula>
    </cfRule>
  </conditionalFormatting>
  <conditionalFormatting sqref="R98:S98">
    <cfRule type="expression" dxfId="5155" priority="186">
      <formula>R$9&gt;=20/24</formula>
    </cfRule>
    <cfRule type="expression" dxfId="5154" priority="187">
      <formula>AND(R$9&gt;=14/24,R$9&lt;20/24)</formula>
    </cfRule>
    <cfRule type="expression" dxfId="5153" priority="188">
      <formula>AND(R$9&gt;=8/24,R$9&lt;14/24)</formula>
    </cfRule>
    <cfRule type="expression" dxfId="5152" priority="189">
      <formula>R$9&lt;8/24</formula>
    </cfRule>
  </conditionalFormatting>
  <conditionalFormatting sqref="R12:V12 S13:V13 U14:V14">
    <cfRule type="expression" dxfId="5151" priority="182">
      <formula>R$9&gt;=20/24</formula>
    </cfRule>
    <cfRule type="expression" dxfId="5150" priority="183">
      <formula>AND(R$9&gt;=14/24,R$9&lt;20/24)</formula>
    </cfRule>
    <cfRule type="expression" dxfId="5149" priority="184">
      <formula>AND(R$9&gt;=8/24,R$9&lt;14/24)</formula>
    </cfRule>
    <cfRule type="expression" dxfId="5148" priority="185">
      <formula>R$9&lt;8/24</formula>
    </cfRule>
  </conditionalFormatting>
  <conditionalFormatting sqref="R12:V12 S13:V13">
    <cfRule type="expression" dxfId="5147" priority="174">
      <formula>R$9&gt;=20/24</formula>
    </cfRule>
    <cfRule type="expression" dxfId="5146" priority="175">
      <formula>AND(R$9&gt;=14/24,R$9&lt;20/24)</formula>
    </cfRule>
    <cfRule type="expression" dxfId="5145" priority="176">
      <formula>AND(R$9&gt;=8/24,R$9&lt;14/24)</formula>
    </cfRule>
    <cfRule type="expression" dxfId="5144" priority="177">
      <formula>R$9&lt;8/24</formula>
    </cfRule>
  </conditionalFormatting>
  <conditionalFormatting sqref="AA57:AF58">
    <cfRule type="expression" dxfId="5143" priority="170">
      <formula>AA$9&gt;=20/24</formula>
    </cfRule>
    <cfRule type="expression" dxfId="5142" priority="171">
      <formula>AND(AA$9&gt;=14/24,AA$9&lt;20/24)</formula>
    </cfRule>
    <cfRule type="expression" dxfId="5141" priority="172">
      <formula>AND(AA$9&gt;=8/24,AA$9&lt;14/24)</formula>
    </cfRule>
    <cfRule type="expression" dxfId="5140" priority="173">
      <formula>AA$9&lt;8/24</formula>
    </cfRule>
  </conditionalFormatting>
  <conditionalFormatting sqref="R27:R30">
    <cfRule type="expression" dxfId="5139" priority="166">
      <formula>R$9&gt;=20/24</formula>
    </cfRule>
    <cfRule type="expression" dxfId="5138" priority="167">
      <formula>AND(R$9&gt;=14/24,R$9&lt;20/24)</formula>
    </cfRule>
    <cfRule type="expression" dxfId="5137" priority="168">
      <formula>AND(R$9&gt;=8/24,R$9&lt;14/24)</formula>
    </cfRule>
    <cfRule type="expression" dxfId="5136" priority="169">
      <formula>R$9&lt;8/24</formula>
    </cfRule>
  </conditionalFormatting>
  <conditionalFormatting sqref="R31:R32 R34">
    <cfRule type="expression" dxfId="5135" priority="162">
      <formula>R$9&gt;=20/24</formula>
    </cfRule>
    <cfRule type="expression" dxfId="5134" priority="163">
      <formula>AND(R$9&gt;=14/24,R$9&lt;20/24)</formula>
    </cfRule>
    <cfRule type="expression" dxfId="5133" priority="164">
      <formula>AND(R$9&gt;=8/24,R$9&lt;14/24)</formula>
    </cfRule>
    <cfRule type="expression" dxfId="5132" priority="165">
      <formula>R$9&lt;8/24</formula>
    </cfRule>
  </conditionalFormatting>
  <conditionalFormatting sqref="R27:R32 R34">
    <cfRule type="expression" dxfId="5131" priority="161">
      <formula>R27&gt;$AG27</formula>
    </cfRule>
  </conditionalFormatting>
  <conditionalFormatting sqref="R33">
    <cfRule type="expression" dxfId="5130" priority="157">
      <formula>R$9&gt;=20/24</formula>
    </cfRule>
    <cfRule type="expression" dxfId="5129" priority="158">
      <formula>AND(R$9&gt;=14/24,R$9&lt;20/24)</formula>
    </cfRule>
    <cfRule type="expression" dxfId="5128" priority="159">
      <formula>AND(R$9&gt;=8/24,R$9&lt;14/24)</formula>
    </cfRule>
    <cfRule type="expression" dxfId="5127" priority="160">
      <formula>R$9&lt;8/24</formula>
    </cfRule>
  </conditionalFormatting>
  <conditionalFormatting sqref="R33">
    <cfRule type="expression" dxfId="5126" priority="156">
      <formula>R33&gt;$AG33</formula>
    </cfRule>
  </conditionalFormatting>
  <conditionalFormatting sqref="S27:V30">
    <cfRule type="expression" dxfId="5125" priority="152">
      <formula>S$9&gt;=20/24</formula>
    </cfRule>
    <cfRule type="expression" dxfId="5124" priority="153">
      <formula>AND(S$9&gt;=14/24,S$9&lt;20/24)</formula>
    </cfRule>
    <cfRule type="expression" dxfId="5123" priority="154">
      <formula>AND(S$9&gt;=8/24,S$9&lt;14/24)</formula>
    </cfRule>
    <cfRule type="expression" dxfId="5122" priority="155">
      <formula>S$9&lt;8/24</formula>
    </cfRule>
  </conditionalFormatting>
  <conditionalFormatting sqref="S31:V32 S34:V34">
    <cfRule type="expression" dxfId="5121" priority="148">
      <formula>S$9&gt;=20/24</formula>
    </cfRule>
    <cfRule type="expression" dxfId="5120" priority="149">
      <formula>AND(S$9&gt;=14/24,S$9&lt;20/24)</formula>
    </cfRule>
    <cfRule type="expression" dxfId="5119" priority="150">
      <formula>AND(S$9&gt;=8/24,S$9&lt;14/24)</formula>
    </cfRule>
    <cfRule type="expression" dxfId="5118" priority="151">
      <formula>S$9&lt;8/24</formula>
    </cfRule>
  </conditionalFormatting>
  <conditionalFormatting sqref="S27:V32 S34:V34">
    <cfRule type="expression" dxfId="5117" priority="147">
      <formula>S27&gt;$AG27</formula>
    </cfRule>
  </conditionalFormatting>
  <conditionalFormatting sqref="S33:V33">
    <cfRule type="expression" dxfId="5116" priority="143">
      <formula>S$9&gt;=20/24</formula>
    </cfRule>
    <cfRule type="expression" dxfId="5115" priority="144">
      <formula>AND(S$9&gt;=14/24,S$9&lt;20/24)</formula>
    </cfRule>
    <cfRule type="expression" dxfId="5114" priority="145">
      <formula>AND(S$9&gt;=8/24,S$9&lt;14/24)</formula>
    </cfRule>
    <cfRule type="expression" dxfId="5113" priority="146">
      <formula>S$9&lt;8/24</formula>
    </cfRule>
  </conditionalFormatting>
  <conditionalFormatting sqref="S33:V33">
    <cfRule type="expression" dxfId="5112" priority="142">
      <formula>S33&gt;$AG33</formula>
    </cfRule>
  </conditionalFormatting>
  <conditionalFormatting sqref="W93:W96">
    <cfRule type="expression" dxfId="5111" priority="125">
      <formula>W$9&gt;=20/24</formula>
    </cfRule>
    <cfRule type="expression" dxfId="5110" priority="126">
      <formula>AND(W$9&gt;=14/24,W$9&lt;20/24)</formula>
    </cfRule>
    <cfRule type="expression" dxfId="5109" priority="127">
      <formula>AND(W$9&gt;=8/24,W$9&lt;14/24)</formula>
    </cfRule>
    <cfRule type="expression" dxfId="5108" priority="128">
      <formula>W$9&lt;8/24</formula>
    </cfRule>
  </conditionalFormatting>
  <conditionalFormatting sqref="W97">
    <cfRule type="expression" dxfId="5107" priority="121">
      <formula>W$9&gt;=20/24</formula>
    </cfRule>
    <cfRule type="expression" dxfId="5106" priority="122">
      <formula>AND(W$9&gt;=14/24,W$9&lt;20/24)</formula>
    </cfRule>
    <cfRule type="expression" dxfId="5105" priority="123">
      <formula>AND(W$9&gt;=8/24,W$9&lt;14/24)</formula>
    </cfRule>
    <cfRule type="expression" dxfId="5104" priority="124">
      <formula>W$9&lt;8/24</formula>
    </cfRule>
  </conditionalFormatting>
  <conditionalFormatting sqref="W98">
    <cfRule type="expression" dxfId="5103" priority="117">
      <formula>W$9&gt;=20/24</formula>
    </cfRule>
    <cfRule type="expression" dxfId="5102" priority="118">
      <formula>AND(W$9&gt;=14/24,W$9&lt;20/24)</formula>
    </cfRule>
    <cfRule type="expression" dxfId="5101" priority="119">
      <formula>AND(W$9&gt;=8/24,W$9&lt;14/24)</formula>
    </cfRule>
    <cfRule type="expression" dxfId="5100" priority="120">
      <formula>W$9&lt;8/24</formula>
    </cfRule>
  </conditionalFormatting>
  <conditionalFormatting sqref="W56">
    <cfRule type="expression" dxfId="5099" priority="113">
      <formula>W$9&gt;=20/24</formula>
    </cfRule>
    <cfRule type="expression" dxfId="5098" priority="114">
      <formula>AND(W$9&gt;=14/24,W$9&lt;20/24)</formula>
    </cfRule>
    <cfRule type="expression" dxfId="5097" priority="115">
      <formula>AND(W$9&gt;=8/24,W$9&lt;14/24)</formula>
    </cfRule>
    <cfRule type="expression" dxfId="5096" priority="116">
      <formula>W$9&lt;8/24</formula>
    </cfRule>
  </conditionalFormatting>
  <conditionalFormatting sqref="W59:W66">
    <cfRule type="expression" dxfId="5095" priority="109">
      <formula>W$9&gt;=20/24</formula>
    </cfRule>
    <cfRule type="expression" dxfId="5094" priority="110">
      <formula>AND(W$9&gt;=14/24,W$9&lt;20/24)</formula>
    </cfRule>
    <cfRule type="expression" dxfId="5093" priority="111">
      <formula>AND(W$9&gt;=8/24,W$9&lt;14/24)</formula>
    </cfRule>
    <cfRule type="expression" dxfId="5092" priority="112">
      <formula>W$9&lt;8/24</formula>
    </cfRule>
  </conditionalFormatting>
  <conditionalFormatting sqref="W52:W54">
    <cfRule type="expression" dxfId="5091" priority="105">
      <formula>W$9&gt;=20/24</formula>
    </cfRule>
    <cfRule type="expression" dxfId="5090" priority="106">
      <formula>AND(W$9&gt;=14/24,W$9&lt;20/24)</formula>
    </cfRule>
    <cfRule type="expression" dxfId="5089" priority="107">
      <formula>AND(W$9&gt;=8/24,W$9&lt;14/24)</formula>
    </cfRule>
    <cfRule type="expression" dxfId="5088" priority="108">
      <formula>W$9&lt;8/24</formula>
    </cfRule>
  </conditionalFormatting>
  <conditionalFormatting sqref="W52:W54">
    <cfRule type="expression" dxfId="5087" priority="104">
      <formula>W52&gt;$AG52</formula>
    </cfRule>
  </conditionalFormatting>
  <conditionalFormatting sqref="W11:X11 W18:Z30">
    <cfRule type="expression" dxfId="5086" priority="100">
      <formula>W$9&gt;=20/24</formula>
    </cfRule>
    <cfRule type="expression" dxfId="5085" priority="101">
      <formula>AND(W$9&gt;=14/24,W$9&lt;20/24)</formula>
    </cfRule>
    <cfRule type="expression" dxfId="5084" priority="102">
      <formula>AND(W$9&gt;=8/24,W$9&lt;14/24)</formula>
    </cfRule>
    <cfRule type="expression" dxfId="5083" priority="103">
      <formula>W$9&lt;8/24</formula>
    </cfRule>
  </conditionalFormatting>
  <conditionalFormatting sqref="W36:Z36">
    <cfRule type="expression" dxfId="5082" priority="96">
      <formula>W$9&gt;=20/24</formula>
    </cfRule>
    <cfRule type="expression" dxfId="5081" priority="97">
      <formula>AND(W$9&gt;=14/24,W$9&lt;20/24)</formula>
    </cfRule>
    <cfRule type="expression" dxfId="5080" priority="98">
      <formula>AND(W$9&gt;=8/24,W$9&lt;14/24)</formula>
    </cfRule>
    <cfRule type="expression" dxfId="5079" priority="99">
      <formula>W$9&lt;8/24</formula>
    </cfRule>
  </conditionalFormatting>
  <conditionalFormatting sqref="W31:Z32 W34:Z34">
    <cfRule type="expression" dxfId="5078" priority="92">
      <formula>W$9&gt;=20/24</formula>
    </cfRule>
    <cfRule type="expression" dxfId="5077" priority="93">
      <formula>AND(W$9&gt;=14/24,W$9&lt;20/24)</formula>
    </cfRule>
    <cfRule type="expression" dxfId="5076" priority="94">
      <formula>AND(W$9&gt;=8/24,W$9&lt;14/24)</formula>
    </cfRule>
    <cfRule type="expression" dxfId="5075" priority="95">
      <formula>W$9&lt;8/24</formula>
    </cfRule>
  </conditionalFormatting>
  <conditionalFormatting sqref="W11:X11 W18:Z32 W34:Z36">
    <cfRule type="expression" dxfId="5074" priority="91">
      <formula>W11&gt;$AG11</formula>
    </cfRule>
  </conditionalFormatting>
  <conditionalFormatting sqref="W35:Z35">
    <cfRule type="expression" dxfId="5073" priority="87">
      <formula>W$9&gt;=20/24</formula>
    </cfRule>
    <cfRule type="expression" dxfId="5072" priority="88">
      <formula>AND(W$9&gt;=14/24,W$9&lt;20/24)</formula>
    </cfRule>
    <cfRule type="expression" dxfId="5071" priority="89">
      <formula>AND(W$9&gt;=8/24,W$9&lt;14/24)</formula>
    </cfRule>
    <cfRule type="expression" dxfId="5070" priority="90">
      <formula>W$9&lt;8/24</formula>
    </cfRule>
  </conditionalFormatting>
  <conditionalFormatting sqref="W35:Z35">
    <cfRule type="expression" dxfId="5069" priority="83">
      <formula>W$9&gt;=20/24</formula>
    </cfRule>
    <cfRule type="expression" dxfId="5068" priority="84">
      <formula>AND(W$9&gt;=14/24,W$9&lt;20/24)</formula>
    </cfRule>
    <cfRule type="expression" dxfId="5067" priority="85">
      <formula>AND(W$9&gt;=8/24,W$9&lt;14/24)</formula>
    </cfRule>
    <cfRule type="expression" dxfId="5066" priority="86">
      <formula>W$9&lt;8/24</formula>
    </cfRule>
  </conditionalFormatting>
  <conditionalFormatting sqref="W33:Z33">
    <cfRule type="expression" dxfId="5065" priority="79">
      <formula>W$9&gt;=20/24</formula>
    </cfRule>
    <cfRule type="expression" dxfId="5064" priority="80">
      <formula>AND(W$9&gt;=14/24,W$9&lt;20/24)</formula>
    </cfRule>
    <cfRule type="expression" dxfId="5063" priority="81">
      <formula>AND(W$9&gt;=8/24,W$9&lt;14/24)</formula>
    </cfRule>
    <cfRule type="expression" dxfId="5062" priority="82">
      <formula>W$9&lt;8/24</formula>
    </cfRule>
  </conditionalFormatting>
  <conditionalFormatting sqref="W33:Z33">
    <cfRule type="expression" dxfId="5061" priority="78">
      <formula>W33&gt;$AG33</formula>
    </cfRule>
  </conditionalFormatting>
  <conditionalFormatting sqref="W12:X16 Y14:Z16">
    <cfRule type="expression" dxfId="5060" priority="74">
      <formula>W$9&gt;=20/24</formula>
    </cfRule>
    <cfRule type="expression" dxfId="5059" priority="75">
      <formula>AND(W$9&gt;=14/24,W$9&lt;20/24)</formula>
    </cfRule>
    <cfRule type="expression" dxfId="5058" priority="76">
      <formula>AND(W$9&gt;=8/24,W$9&lt;14/24)</formula>
    </cfRule>
    <cfRule type="expression" dxfId="5057" priority="77">
      <formula>W$9&lt;8/24</formula>
    </cfRule>
  </conditionalFormatting>
  <conditionalFormatting sqref="W17:Z17">
    <cfRule type="expression" dxfId="5056" priority="70">
      <formula>W$9&gt;=20/24</formula>
    </cfRule>
    <cfRule type="expression" dxfId="5055" priority="71">
      <formula>AND(W$9&gt;=14/24,W$9&lt;20/24)</formula>
    </cfRule>
    <cfRule type="expression" dxfId="5054" priority="72">
      <formula>AND(W$9&gt;=8/24,W$9&lt;14/24)</formula>
    </cfRule>
    <cfRule type="expression" dxfId="5053" priority="73">
      <formula>W$9&lt;8/24</formula>
    </cfRule>
  </conditionalFormatting>
  <conditionalFormatting sqref="W12:X13">
    <cfRule type="expression" dxfId="5052" priority="66">
      <formula>W$9&gt;=20/24</formula>
    </cfRule>
    <cfRule type="expression" dxfId="5051" priority="67">
      <formula>AND(W$9&gt;=14/24,W$9&lt;20/24)</formula>
    </cfRule>
    <cfRule type="expression" dxfId="5050" priority="68">
      <formula>AND(W$9&gt;=8/24,W$9&lt;14/24)</formula>
    </cfRule>
    <cfRule type="expression" dxfId="5049" priority="69">
      <formula>W$9&lt;8/24</formula>
    </cfRule>
  </conditionalFormatting>
  <conditionalFormatting sqref="AA12:AF13">
    <cfRule type="expression" dxfId="5048" priority="62">
      <formula>AA$9&gt;=20/24</formula>
    </cfRule>
    <cfRule type="expression" dxfId="5047" priority="63">
      <formula>AND(AA$9&gt;=14/24,AA$9&lt;20/24)</formula>
    </cfRule>
    <cfRule type="expression" dxfId="5046" priority="64">
      <formula>AND(AA$9&gt;=8/24,AA$9&lt;14/24)</formula>
    </cfRule>
    <cfRule type="expression" dxfId="5045" priority="65">
      <formula>AA$9&lt;8/24</formula>
    </cfRule>
  </conditionalFormatting>
  <conditionalFormatting sqref="AA12:AF13">
    <cfRule type="expression" dxfId="5044" priority="61">
      <formula>AA12&gt;$AG12</formula>
    </cfRule>
  </conditionalFormatting>
  <conditionalFormatting sqref="AA18:AF30">
    <cfRule type="expression" dxfId="5043" priority="57">
      <formula>AA$9&gt;=20/24</formula>
    </cfRule>
    <cfRule type="expression" dxfId="5042" priority="58">
      <formula>AND(AA$9&gt;=14/24,AA$9&lt;20/24)</formula>
    </cfRule>
    <cfRule type="expression" dxfId="5041" priority="59">
      <formula>AND(AA$9&gt;=8/24,AA$9&lt;14/24)</formula>
    </cfRule>
    <cfRule type="expression" dxfId="5040" priority="60">
      <formula>AA$9&lt;8/24</formula>
    </cfRule>
  </conditionalFormatting>
  <conditionalFormatting sqref="AA36:AF36">
    <cfRule type="expression" dxfId="5039" priority="53">
      <formula>AA$9&gt;=20/24</formula>
    </cfRule>
    <cfRule type="expression" dxfId="5038" priority="54">
      <formula>AND(AA$9&gt;=14/24,AA$9&lt;20/24)</formula>
    </cfRule>
    <cfRule type="expression" dxfId="5037" priority="55">
      <formula>AND(AA$9&gt;=8/24,AA$9&lt;14/24)</formula>
    </cfRule>
    <cfRule type="expression" dxfId="5036" priority="56">
      <formula>AA$9&lt;8/24</formula>
    </cfRule>
  </conditionalFormatting>
  <conditionalFormatting sqref="AA31:AF32 AA34:AF34">
    <cfRule type="expression" dxfId="5035" priority="49">
      <formula>AA$9&gt;=20/24</formula>
    </cfRule>
    <cfRule type="expression" dxfId="5034" priority="50">
      <formula>AND(AA$9&gt;=14/24,AA$9&lt;20/24)</formula>
    </cfRule>
    <cfRule type="expression" dxfId="5033" priority="51">
      <formula>AND(AA$9&gt;=8/24,AA$9&lt;14/24)</formula>
    </cfRule>
    <cfRule type="expression" dxfId="5032" priority="52">
      <formula>AA$9&lt;8/24</formula>
    </cfRule>
  </conditionalFormatting>
  <conditionalFormatting sqref="AA18:AF32 AA34:AF36">
    <cfRule type="expression" dxfId="5031" priority="48">
      <formula>AA18&gt;$AG18</formula>
    </cfRule>
  </conditionalFormatting>
  <conditionalFormatting sqref="AA35:AF35">
    <cfRule type="expression" dxfId="5030" priority="44">
      <formula>AA$9&gt;=20/24</formula>
    </cfRule>
    <cfRule type="expression" dxfId="5029" priority="45">
      <formula>AND(AA$9&gt;=14/24,AA$9&lt;20/24)</formula>
    </cfRule>
    <cfRule type="expression" dxfId="5028" priority="46">
      <formula>AND(AA$9&gt;=8/24,AA$9&lt;14/24)</formula>
    </cfRule>
    <cfRule type="expression" dxfId="5027" priority="47">
      <formula>AA$9&lt;8/24</formula>
    </cfRule>
  </conditionalFormatting>
  <conditionalFormatting sqref="AA35:AF35">
    <cfRule type="expression" dxfId="5026" priority="40">
      <formula>AA$9&gt;=20/24</formula>
    </cfRule>
    <cfRule type="expression" dxfId="5025" priority="41">
      <formula>AND(AA$9&gt;=14/24,AA$9&lt;20/24)</formula>
    </cfRule>
    <cfRule type="expression" dxfId="5024" priority="42">
      <formula>AND(AA$9&gt;=8/24,AA$9&lt;14/24)</formula>
    </cfRule>
    <cfRule type="expression" dxfId="5023" priority="43">
      <formula>AA$9&lt;8/24</formula>
    </cfRule>
  </conditionalFormatting>
  <conditionalFormatting sqref="AA33:AF33">
    <cfRule type="expression" dxfId="5022" priority="36">
      <formula>AA$9&gt;=20/24</formula>
    </cfRule>
    <cfRule type="expression" dxfId="5021" priority="37">
      <formula>AND(AA$9&gt;=14/24,AA$9&lt;20/24)</formula>
    </cfRule>
    <cfRule type="expression" dxfId="5020" priority="38">
      <formula>AND(AA$9&gt;=8/24,AA$9&lt;14/24)</formula>
    </cfRule>
    <cfRule type="expression" dxfId="5019" priority="39">
      <formula>AA$9&lt;8/24</formula>
    </cfRule>
  </conditionalFormatting>
  <conditionalFormatting sqref="AA33:AF33">
    <cfRule type="expression" dxfId="5018" priority="35">
      <formula>AA33&gt;$AG33</formula>
    </cfRule>
  </conditionalFormatting>
  <conditionalFormatting sqref="AA14:AF16">
    <cfRule type="expression" dxfId="5017" priority="31">
      <formula>AA$9&gt;=20/24</formula>
    </cfRule>
    <cfRule type="expression" dxfId="5016" priority="32">
      <formula>AND(AA$9&gt;=14/24,AA$9&lt;20/24)</formula>
    </cfRule>
    <cfRule type="expression" dxfId="5015" priority="33">
      <formula>AND(AA$9&gt;=8/24,AA$9&lt;14/24)</formula>
    </cfRule>
    <cfRule type="expression" dxfId="5014" priority="34">
      <formula>AA$9&lt;8/24</formula>
    </cfRule>
  </conditionalFormatting>
  <conditionalFormatting sqref="AA17:AF17">
    <cfRule type="expression" dxfId="5013" priority="27">
      <formula>AA$9&gt;=20/24</formula>
    </cfRule>
    <cfRule type="expression" dxfId="5012" priority="28">
      <formula>AND(AA$9&gt;=14/24,AA$9&lt;20/24)</formula>
    </cfRule>
    <cfRule type="expression" dxfId="5011" priority="29">
      <formula>AND(AA$9&gt;=8/24,AA$9&lt;14/24)</formula>
    </cfRule>
    <cfRule type="expression" dxfId="5010" priority="30">
      <formula>AA$9&lt;8/24</formula>
    </cfRule>
  </conditionalFormatting>
  <conditionalFormatting sqref="AA39:AF41">
    <cfRule type="expression" dxfId="5009" priority="23">
      <formula>AA$9&gt;=20/24</formula>
    </cfRule>
    <cfRule type="expression" dxfId="5008" priority="24">
      <formula>AND(AA$9&gt;=14/24,AA$9&lt;20/24)</formula>
    </cfRule>
    <cfRule type="expression" dxfId="5007" priority="25">
      <formula>AND(AA$9&gt;=8/24,AA$9&lt;14/24)</formula>
    </cfRule>
    <cfRule type="expression" dxfId="5006" priority="26">
      <formula>AA$9&lt;8/24</formula>
    </cfRule>
  </conditionalFormatting>
  <conditionalFormatting sqref="AA38:AF38">
    <cfRule type="expression" dxfId="5005" priority="19">
      <formula>AA$9&gt;=20/24</formula>
    </cfRule>
    <cfRule type="expression" dxfId="5004" priority="20">
      <formula>AND(AA$9&gt;=14/24,AA$9&lt;20/24)</formula>
    </cfRule>
    <cfRule type="expression" dxfId="5003" priority="21">
      <formula>AND(AA$9&gt;=8/24,AA$9&lt;14/24)</formula>
    </cfRule>
    <cfRule type="expression" dxfId="5002" priority="22">
      <formula>AA$9&lt;8/24</formula>
    </cfRule>
  </conditionalFormatting>
  <conditionalFormatting sqref="AA44:AF47 AA42:AF42">
    <cfRule type="expression" dxfId="5001" priority="15">
      <formula>AA$9&gt;=20/24</formula>
    </cfRule>
    <cfRule type="expression" dxfId="5000" priority="16">
      <formula>AND(AA$9&gt;=14/24,AA$9&lt;20/24)</formula>
    </cfRule>
    <cfRule type="expression" dxfId="4999" priority="17">
      <formula>AND(AA$9&gt;=8/24,AA$9&lt;14/24)</formula>
    </cfRule>
    <cfRule type="expression" dxfId="4998" priority="18">
      <formula>AA$9&lt;8/24</formula>
    </cfRule>
  </conditionalFormatting>
  <conditionalFormatting sqref="AA48:AF48">
    <cfRule type="expression" dxfId="4997" priority="11">
      <formula>AA$9&gt;=20/24</formula>
    </cfRule>
    <cfRule type="expression" dxfId="4996" priority="12">
      <formula>AND(AA$9&gt;=14/24,AA$9&lt;20/24)</formula>
    </cfRule>
    <cfRule type="expression" dxfId="4995" priority="13">
      <formula>AND(AA$9&gt;=8/24,AA$9&lt;14/24)</formula>
    </cfRule>
    <cfRule type="expression" dxfId="4994" priority="14">
      <formula>AA$9&lt;8/24</formula>
    </cfRule>
  </conditionalFormatting>
  <conditionalFormatting sqref="AA49:AF49">
    <cfRule type="expression" dxfId="4993" priority="7">
      <formula>AA$9&gt;=20/24</formula>
    </cfRule>
    <cfRule type="expression" dxfId="4992" priority="8">
      <formula>AND(AA$9&gt;=14/24,AA$9&lt;20/24)</formula>
    </cfRule>
    <cfRule type="expression" dxfId="4991" priority="9">
      <formula>AND(AA$9&gt;=8/24,AA$9&lt;14/24)</formula>
    </cfRule>
    <cfRule type="expression" dxfId="4990" priority="10">
      <formula>AA$9&lt;8/24</formula>
    </cfRule>
  </conditionalFormatting>
  <conditionalFormatting sqref="AA44:AF49 AA38:AF42">
    <cfRule type="expression" dxfId="4989" priority="6">
      <formula>AA38&gt;$AG38</formula>
    </cfRule>
  </conditionalFormatting>
  <conditionalFormatting sqref="AA43:AF43">
    <cfRule type="expression" dxfId="4988" priority="2">
      <formula>AA$9&gt;=20/24</formula>
    </cfRule>
    <cfRule type="expression" dxfId="4987" priority="3">
      <formula>AND(AA$9&gt;=14/24,AA$9&lt;20/24)</formula>
    </cfRule>
    <cfRule type="expression" dxfId="4986" priority="4">
      <formula>AND(AA$9&gt;=8/24,AA$9&lt;14/24)</formula>
    </cfRule>
    <cfRule type="expression" dxfId="4985" priority="5">
      <formula>AA$9&lt;8/24</formula>
    </cfRule>
  </conditionalFormatting>
  <conditionalFormatting sqref="AA43:AF43">
    <cfRule type="expression" dxfId="4984" priority="1">
      <formula>AA43&gt;$AG43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Y87" sqref="Y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2078/07/18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-63</v>
      </c>
      <c r="C5" s="32">
        <f t="shared" ref="C5:AF5" si="0">C67</f>
        <v>-55</v>
      </c>
      <c r="D5" s="32">
        <f t="shared" si="0"/>
        <v>-51</v>
      </c>
      <c r="E5" s="32">
        <f t="shared" si="0"/>
        <v>-46</v>
      </c>
      <c r="F5" s="32">
        <f t="shared" si="0"/>
        <v>-49</v>
      </c>
      <c r="G5" s="32">
        <f t="shared" si="0"/>
        <v>-47</v>
      </c>
      <c r="H5" s="32">
        <f t="shared" si="0"/>
        <v>-51</v>
      </c>
      <c r="I5" s="32">
        <f t="shared" si="0"/>
        <v>-46</v>
      </c>
      <c r="J5" s="32">
        <f t="shared" si="0"/>
        <v>-47</v>
      </c>
      <c r="K5" s="32">
        <f t="shared" si="0"/>
        <v>-26.6</v>
      </c>
      <c r="L5" s="32">
        <f t="shared" si="0"/>
        <v>-46</v>
      </c>
      <c r="M5" s="32">
        <f t="shared" si="0"/>
        <v>-65</v>
      </c>
      <c r="N5" s="32">
        <f t="shared" si="0"/>
        <v>-70</v>
      </c>
      <c r="O5" s="32">
        <f t="shared" si="0"/>
        <v>-50.3</v>
      </c>
      <c r="P5" s="32">
        <f t="shared" si="0"/>
        <v>-76</v>
      </c>
      <c r="Q5" s="32">
        <f t="shared" si="0"/>
        <v>-61.1</v>
      </c>
      <c r="R5" s="32">
        <f t="shared" si="0"/>
        <v>-72.900000000000006</v>
      </c>
      <c r="S5" s="32">
        <f t="shared" si="0"/>
        <v>-75</v>
      </c>
      <c r="T5" s="32">
        <f t="shared" si="0"/>
        <v>-54.2</v>
      </c>
      <c r="U5" s="32">
        <f t="shared" si="0"/>
        <v>-70</v>
      </c>
      <c r="V5" s="32">
        <f t="shared" si="0"/>
        <v>-48.1</v>
      </c>
      <c r="W5" s="32">
        <f t="shared" si="0"/>
        <v>-52.8</v>
      </c>
      <c r="X5" s="32">
        <f t="shared" si="0"/>
        <v>-59.4</v>
      </c>
      <c r="Y5" s="32">
        <f t="shared" si="0"/>
        <v>-60</v>
      </c>
      <c r="Z5" s="32">
        <f t="shared" si="0"/>
        <v>-58.8</v>
      </c>
      <c r="AA5" s="32">
        <f t="shared" si="0"/>
        <v>-50.7</v>
      </c>
      <c r="AB5" s="32">
        <f t="shared" si="0"/>
        <v>-59.8</v>
      </c>
      <c r="AC5" s="32">
        <f t="shared" si="0"/>
        <v>-58.8</v>
      </c>
      <c r="AD5" s="32">
        <f t="shared" si="0"/>
        <v>-65</v>
      </c>
      <c r="AE5" s="32">
        <f t="shared" si="0"/>
        <v>-68.5</v>
      </c>
      <c r="AF5" s="32">
        <f t="shared" si="0"/>
        <v>-42.9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978MW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Load=730</v>
      </c>
      <c r="B7" s="37">
        <f t="shared" ref="B7:AF7" si="1">B74</f>
        <v>791.43999999999994</v>
      </c>
      <c r="C7" s="37">
        <f t="shared" si="1"/>
        <v>799.64</v>
      </c>
      <c r="D7" s="37">
        <f t="shared" si="1"/>
        <v>791.93999999999994</v>
      </c>
      <c r="E7" s="37">
        <f t="shared" si="1"/>
        <v>795.43999999999994</v>
      </c>
      <c r="F7" s="37">
        <f t="shared" si="1"/>
        <v>838.44</v>
      </c>
      <c r="G7" s="37">
        <f t="shared" si="1"/>
        <v>870.6400000000001</v>
      </c>
      <c r="H7" s="37">
        <f t="shared" si="1"/>
        <v>911.6400000000001</v>
      </c>
      <c r="I7" s="37">
        <f t="shared" si="1"/>
        <v>922.6400000000001</v>
      </c>
      <c r="J7" s="37">
        <f t="shared" si="1"/>
        <v>941.54000000000008</v>
      </c>
      <c r="K7" s="37">
        <f t="shared" si="1"/>
        <v>959.94</v>
      </c>
      <c r="L7" s="37">
        <f>L74</f>
        <v>977.94</v>
      </c>
      <c r="M7" s="37">
        <f t="shared" si="1"/>
        <v>945.1400000000001</v>
      </c>
      <c r="N7" s="37">
        <f t="shared" si="1"/>
        <v>866.24</v>
      </c>
      <c r="O7" s="37">
        <f t="shared" si="1"/>
        <v>811.83999999999992</v>
      </c>
      <c r="P7" s="37">
        <f t="shared" si="1"/>
        <v>747.84</v>
      </c>
      <c r="Q7" s="37">
        <f t="shared" si="1"/>
        <v>742.44</v>
      </c>
      <c r="R7" s="37">
        <f t="shared" si="1"/>
        <v>730.33999999999992</v>
      </c>
      <c r="S7" s="37">
        <f t="shared" si="1"/>
        <v>731.43999999999994</v>
      </c>
      <c r="T7" s="37">
        <f t="shared" si="1"/>
        <v>768.64</v>
      </c>
      <c r="U7" s="37">
        <f t="shared" si="1"/>
        <v>866.24</v>
      </c>
      <c r="V7" s="37">
        <f t="shared" si="1"/>
        <v>1070.1399999999999</v>
      </c>
      <c r="W7" s="37">
        <f t="shared" si="1"/>
        <v>1244.7399999999998</v>
      </c>
      <c r="X7" s="37">
        <f t="shared" si="1"/>
        <v>1266.04</v>
      </c>
      <c r="Y7" s="37">
        <f t="shared" si="1"/>
        <v>1200.44</v>
      </c>
      <c r="Z7" s="37">
        <f t="shared" si="1"/>
        <v>1201.6400000000001</v>
      </c>
      <c r="AA7" s="37">
        <f t="shared" si="1"/>
        <v>1133.3400000000001</v>
      </c>
      <c r="AB7" s="37">
        <f t="shared" si="1"/>
        <v>1092.7400000000002</v>
      </c>
      <c r="AC7" s="37">
        <f t="shared" si="1"/>
        <v>1055.6400000000001</v>
      </c>
      <c r="AD7" s="37">
        <f t="shared" si="1"/>
        <v>905.54</v>
      </c>
      <c r="AE7" s="37">
        <f t="shared" si="1"/>
        <v>795.04</v>
      </c>
      <c r="AF7" s="37">
        <f t="shared" si="1"/>
        <v>779.33999999999992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60</v>
      </c>
      <c r="C11" s="54">
        <v>60</v>
      </c>
      <c r="D11" s="54">
        <v>60</v>
      </c>
      <c r="E11" s="49">
        <v>50</v>
      </c>
      <c r="F11" s="49">
        <v>60</v>
      </c>
      <c r="G11" s="49">
        <v>60</v>
      </c>
      <c r="H11" s="49">
        <v>70</v>
      </c>
      <c r="I11" s="49">
        <v>60</v>
      </c>
      <c r="J11" s="49">
        <v>70</v>
      </c>
      <c r="K11" s="49">
        <v>70</v>
      </c>
      <c r="L11" s="50">
        <v>98</v>
      </c>
      <c r="M11" s="50">
        <v>98</v>
      </c>
      <c r="N11" s="50">
        <v>98</v>
      </c>
      <c r="O11" s="50">
        <v>60</v>
      </c>
      <c r="P11" s="50">
        <v>60</v>
      </c>
      <c r="Q11" s="50">
        <v>60</v>
      </c>
      <c r="R11" s="50">
        <v>60</v>
      </c>
      <c r="S11" s="50">
        <v>60</v>
      </c>
      <c r="T11" s="50">
        <v>50</v>
      </c>
      <c r="U11" s="50">
        <v>80</v>
      </c>
      <c r="V11" s="50">
        <v>120</v>
      </c>
      <c r="W11" s="50">
        <v>210</v>
      </c>
      <c r="X11" s="50">
        <v>210</v>
      </c>
      <c r="Y11" s="53">
        <v>210</v>
      </c>
      <c r="Z11" s="53">
        <v>210</v>
      </c>
      <c r="AA11" s="54">
        <v>190</v>
      </c>
      <c r="AB11" s="54">
        <v>190</v>
      </c>
      <c r="AC11" s="54">
        <v>180</v>
      </c>
      <c r="AD11" s="54">
        <v>140</v>
      </c>
      <c r="AE11" s="49">
        <v>80</v>
      </c>
      <c r="AF11" s="49">
        <v>70</v>
      </c>
      <c r="AG11" s="55">
        <v>456</v>
      </c>
      <c r="AH11" s="56">
        <f>MAX(B11:AF11)</f>
        <v>210</v>
      </c>
      <c r="AI11" s="57">
        <f>MIN(B11:AF11)</f>
        <v>50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50">
        <v>40</v>
      </c>
      <c r="H12" s="50">
        <v>40</v>
      </c>
      <c r="I12" s="50">
        <v>40</v>
      </c>
      <c r="J12" s="50">
        <v>40</v>
      </c>
      <c r="K12" s="50">
        <v>40</v>
      </c>
      <c r="L12" s="49">
        <v>55</v>
      </c>
      <c r="M12" s="49">
        <v>55</v>
      </c>
      <c r="N12" s="49">
        <v>55</v>
      </c>
      <c r="O12" s="49">
        <v>55</v>
      </c>
      <c r="P12" s="49">
        <v>55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50">
        <v>40</v>
      </c>
      <c r="W12" s="50">
        <v>50</v>
      </c>
      <c r="X12" s="50">
        <v>60</v>
      </c>
      <c r="Y12" s="50">
        <v>60</v>
      </c>
      <c r="Z12" s="50">
        <v>60</v>
      </c>
      <c r="AA12" s="50">
        <v>60</v>
      </c>
      <c r="AB12" s="50">
        <v>40</v>
      </c>
      <c r="AC12" s="50">
        <v>40</v>
      </c>
      <c r="AD12" s="50">
        <v>40</v>
      </c>
      <c r="AE12" s="49">
        <v>40</v>
      </c>
      <c r="AF12" s="49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50">
        <v>13</v>
      </c>
      <c r="C13" s="50">
        <v>13</v>
      </c>
      <c r="D13" s="50">
        <v>13</v>
      </c>
      <c r="E13" s="50">
        <v>13</v>
      </c>
      <c r="F13" s="50">
        <v>13</v>
      </c>
      <c r="G13" s="50">
        <v>13</v>
      </c>
      <c r="H13" s="50">
        <v>13</v>
      </c>
      <c r="I13" s="50">
        <v>13</v>
      </c>
      <c r="J13" s="50">
        <v>13</v>
      </c>
      <c r="K13" s="50">
        <v>13</v>
      </c>
      <c r="L13" s="50">
        <v>13</v>
      </c>
      <c r="M13" s="50">
        <v>13</v>
      </c>
      <c r="N13" s="50">
        <v>13</v>
      </c>
      <c r="O13" s="49">
        <v>13</v>
      </c>
      <c r="P13" s="49">
        <v>13</v>
      </c>
      <c r="Q13" s="49">
        <v>13</v>
      </c>
      <c r="R13" s="49">
        <v>13</v>
      </c>
      <c r="S13" s="49">
        <v>13</v>
      </c>
      <c r="T13" s="49">
        <v>0</v>
      </c>
      <c r="U13" s="49">
        <v>0</v>
      </c>
      <c r="V13" s="50">
        <v>13</v>
      </c>
      <c r="W13" s="50">
        <v>13</v>
      </c>
      <c r="X13" s="50">
        <v>13</v>
      </c>
      <c r="Y13" s="50">
        <v>13</v>
      </c>
      <c r="Z13" s="50">
        <v>13</v>
      </c>
      <c r="AA13" s="50">
        <v>0</v>
      </c>
      <c r="AB13" s="50">
        <v>0</v>
      </c>
      <c r="AC13" s="50">
        <v>0</v>
      </c>
      <c r="AD13" s="50">
        <v>0</v>
      </c>
      <c r="AE13" s="49">
        <v>0</v>
      </c>
      <c r="AF13" s="49">
        <v>0</v>
      </c>
      <c r="AG13" s="61">
        <v>52.4</v>
      </c>
      <c r="AH13" s="56"/>
      <c r="AI13" s="57"/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62">
        <v>25</v>
      </c>
      <c r="C14" s="62">
        <v>25</v>
      </c>
      <c r="D14" s="62">
        <v>25</v>
      </c>
      <c r="E14" s="62">
        <v>25</v>
      </c>
      <c r="F14" s="62">
        <v>25</v>
      </c>
      <c r="G14" s="62">
        <v>25</v>
      </c>
      <c r="H14" s="62">
        <v>25</v>
      </c>
      <c r="I14" s="62">
        <v>25</v>
      </c>
      <c r="J14" s="62">
        <v>25</v>
      </c>
      <c r="K14" s="62">
        <v>25</v>
      </c>
      <c r="L14" s="62">
        <v>25</v>
      </c>
      <c r="M14" s="62">
        <v>25</v>
      </c>
      <c r="N14" s="62">
        <v>25</v>
      </c>
      <c r="O14" s="50">
        <v>25</v>
      </c>
      <c r="P14" s="50">
        <v>25</v>
      </c>
      <c r="Q14" s="50">
        <v>25</v>
      </c>
      <c r="R14" s="50">
        <v>25</v>
      </c>
      <c r="S14" s="50">
        <v>25</v>
      </c>
      <c r="T14" s="50">
        <v>25</v>
      </c>
      <c r="U14" s="50">
        <v>25</v>
      </c>
      <c r="V14" s="50">
        <v>0</v>
      </c>
      <c r="W14" s="50">
        <v>0</v>
      </c>
      <c r="X14" s="50">
        <v>0</v>
      </c>
      <c r="Y14" s="50">
        <v>25</v>
      </c>
      <c r="Z14" s="50">
        <v>25</v>
      </c>
      <c r="AA14" s="50">
        <v>25.3</v>
      </c>
      <c r="AB14" s="50">
        <v>25.3</v>
      </c>
      <c r="AC14" s="50">
        <v>25.3</v>
      </c>
      <c r="AD14" s="50">
        <v>25.3</v>
      </c>
      <c r="AE14" s="49">
        <v>25.3</v>
      </c>
      <c r="AF14" s="49">
        <v>25.3</v>
      </c>
      <c r="AG14" s="61">
        <v>50</v>
      </c>
      <c r="AH14" s="56">
        <f t="shared" si="2"/>
        <v>25.3</v>
      </c>
      <c r="AI14" s="57">
        <f t="shared" si="3"/>
        <v>0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2">
        <v>37</v>
      </c>
      <c r="C15" s="62">
        <v>37</v>
      </c>
      <c r="D15" s="62">
        <v>37</v>
      </c>
      <c r="E15" s="62">
        <v>37</v>
      </c>
      <c r="F15" s="62">
        <v>37</v>
      </c>
      <c r="G15" s="62">
        <v>37</v>
      </c>
      <c r="H15" s="62">
        <v>37</v>
      </c>
      <c r="I15" s="62">
        <v>37</v>
      </c>
      <c r="J15" s="62">
        <v>37</v>
      </c>
      <c r="K15" s="62">
        <v>37</v>
      </c>
      <c r="L15" s="62">
        <v>37</v>
      </c>
      <c r="M15" s="62">
        <v>37</v>
      </c>
      <c r="N15" s="62">
        <v>37</v>
      </c>
      <c r="O15" s="50">
        <v>37</v>
      </c>
      <c r="P15" s="50">
        <v>37</v>
      </c>
      <c r="Q15" s="50">
        <v>37</v>
      </c>
      <c r="R15" s="50">
        <v>37</v>
      </c>
      <c r="S15" s="50">
        <v>37</v>
      </c>
      <c r="T15" s="50">
        <v>37</v>
      </c>
      <c r="U15" s="50">
        <v>37</v>
      </c>
      <c r="V15" s="50">
        <v>37.1</v>
      </c>
      <c r="W15" s="50">
        <v>37.1</v>
      </c>
      <c r="X15" s="50">
        <v>37.1</v>
      </c>
      <c r="Y15" s="50">
        <v>37</v>
      </c>
      <c r="Z15" s="50">
        <v>37</v>
      </c>
      <c r="AA15" s="50">
        <v>37.1</v>
      </c>
      <c r="AB15" s="50">
        <v>37.1</v>
      </c>
      <c r="AC15" s="50">
        <v>37.1</v>
      </c>
      <c r="AD15" s="50">
        <v>37.1</v>
      </c>
      <c r="AE15" s="63">
        <v>37.1</v>
      </c>
      <c r="AF15" s="63">
        <v>37.1</v>
      </c>
      <c r="AG15" s="64">
        <v>45</v>
      </c>
      <c r="AH15" s="56">
        <f t="shared" si="2"/>
        <v>37.1</v>
      </c>
      <c r="AI15" s="57">
        <f t="shared" si="3"/>
        <v>37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20</v>
      </c>
      <c r="C16" s="65">
        <v>20</v>
      </c>
      <c r="D16" s="65">
        <v>20</v>
      </c>
      <c r="E16" s="65">
        <v>20</v>
      </c>
      <c r="F16" s="65">
        <v>20</v>
      </c>
      <c r="G16" s="65">
        <v>20</v>
      </c>
      <c r="H16" s="65">
        <v>20</v>
      </c>
      <c r="I16" s="65">
        <v>20</v>
      </c>
      <c r="J16" s="65">
        <v>20</v>
      </c>
      <c r="K16" s="65">
        <v>20</v>
      </c>
      <c r="L16" s="50">
        <v>22</v>
      </c>
      <c r="M16" s="50">
        <v>22</v>
      </c>
      <c r="N16" s="50">
        <v>22</v>
      </c>
      <c r="O16" s="50">
        <v>22</v>
      </c>
      <c r="P16" s="50">
        <v>22</v>
      </c>
      <c r="Q16" s="50">
        <v>22</v>
      </c>
      <c r="R16" s="50">
        <v>22</v>
      </c>
      <c r="S16" s="50">
        <v>22</v>
      </c>
      <c r="T16" s="50">
        <v>22</v>
      </c>
      <c r="U16" s="50">
        <v>22</v>
      </c>
      <c r="V16" s="50">
        <v>22</v>
      </c>
      <c r="W16" s="50">
        <v>22</v>
      </c>
      <c r="X16" s="50">
        <v>22</v>
      </c>
      <c r="Y16" s="50">
        <v>22</v>
      </c>
      <c r="Z16" s="50">
        <v>22</v>
      </c>
      <c r="AA16" s="50">
        <v>22</v>
      </c>
      <c r="AB16" s="50">
        <v>22</v>
      </c>
      <c r="AC16" s="50">
        <v>22</v>
      </c>
      <c r="AD16" s="50">
        <v>22</v>
      </c>
      <c r="AE16" s="49">
        <v>22</v>
      </c>
      <c r="AF16" s="49">
        <v>22</v>
      </c>
      <c r="AG16" s="61">
        <v>45</v>
      </c>
      <c r="AH16" s="56">
        <f t="shared" si="2"/>
        <v>22</v>
      </c>
      <c r="AI16" s="57">
        <f t="shared" si="3"/>
        <v>20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62">
        <v>25</v>
      </c>
      <c r="C17" s="62">
        <v>25</v>
      </c>
      <c r="D17" s="62">
        <v>25</v>
      </c>
      <c r="E17" s="62">
        <v>25</v>
      </c>
      <c r="F17" s="62">
        <v>25</v>
      </c>
      <c r="G17" s="62">
        <v>25</v>
      </c>
      <c r="H17" s="62">
        <v>25</v>
      </c>
      <c r="I17" s="62">
        <v>25</v>
      </c>
      <c r="J17" s="62">
        <v>25</v>
      </c>
      <c r="K17" s="62">
        <v>25</v>
      </c>
      <c r="L17" s="62">
        <v>25</v>
      </c>
      <c r="M17" s="62">
        <v>25</v>
      </c>
      <c r="N17" s="62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20</v>
      </c>
      <c r="AE17" s="49">
        <v>20</v>
      </c>
      <c r="AF17" s="49">
        <v>20</v>
      </c>
      <c r="AG17" s="61">
        <v>42</v>
      </c>
      <c r="AH17" s="56">
        <f t="shared" si="2"/>
        <v>25</v>
      </c>
      <c r="AI17" s="57">
        <f t="shared" si="3"/>
        <v>20</v>
      </c>
      <c r="AK17" s="58" t="s">
        <v>263</v>
      </c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25</v>
      </c>
      <c r="P18" s="50">
        <v>25</v>
      </c>
      <c r="Q18" s="50">
        <v>25</v>
      </c>
      <c r="R18" s="50">
        <v>25</v>
      </c>
      <c r="S18" s="50">
        <v>25</v>
      </c>
      <c r="T18" s="50">
        <v>25</v>
      </c>
      <c r="U18" s="50">
        <v>25</v>
      </c>
      <c r="V18" s="50">
        <v>25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20</v>
      </c>
      <c r="AE18" s="49">
        <v>20</v>
      </c>
      <c r="AF18" s="49">
        <v>20</v>
      </c>
      <c r="AG18" s="61">
        <v>36</v>
      </c>
      <c r="AH18" s="56">
        <f t="shared" si="2"/>
        <v>25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23.3</v>
      </c>
      <c r="C19" s="50">
        <v>23.3</v>
      </c>
      <c r="D19" s="50">
        <v>23.3</v>
      </c>
      <c r="E19" s="50">
        <v>23.3</v>
      </c>
      <c r="F19" s="50">
        <v>23.3</v>
      </c>
      <c r="G19" s="50">
        <v>23.3</v>
      </c>
      <c r="H19" s="50">
        <v>23.3</v>
      </c>
      <c r="I19" s="50">
        <v>23.3</v>
      </c>
      <c r="J19" s="50">
        <v>23.3</v>
      </c>
      <c r="K19" s="50">
        <v>23.3</v>
      </c>
      <c r="L19" s="50">
        <v>23.3</v>
      </c>
      <c r="M19" s="50">
        <v>23.3</v>
      </c>
      <c r="N19" s="50">
        <v>23.3</v>
      </c>
      <c r="O19" s="50">
        <v>23.2</v>
      </c>
      <c r="P19" s="50">
        <v>23.3</v>
      </c>
      <c r="Q19" s="50">
        <v>23.3</v>
      </c>
      <c r="R19" s="50">
        <v>23.3</v>
      </c>
      <c r="S19" s="50">
        <v>23.3</v>
      </c>
      <c r="T19" s="50">
        <v>23.3</v>
      </c>
      <c r="U19" s="50">
        <v>23.3</v>
      </c>
      <c r="V19" s="50">
        <v>25.2</v>
      </c>
      <c r="W19" s="50">
        <v>25.2</v>
      </c>
      <c r="X19" s="50">
        <v>25.2</v>
      </c>
      <c r="Y19" s="50">
        <v>23.3</v>
      </c>
      <c r="Z19" s="50">
        <v>23.3</v>
      </c>
      <c r="AA19" s="50">
        <v>22.8</v>
      </c>
      <c r="AB19" s="50">
        <v>22.8</v>
      </c>
      <c r="AC19" s="50">
        <v>22.8</v>
      </c>
      <c r="AD19" s="50">
        <v>22.8</v>
      </c>
      <c r="AE19" s="49">
        <v>22.9</v>
      </c>
      <c r="AF19" s="49">
        <v>22.9</v>
      </c>
      <c r="AG19" s="61">
        <v>30</v>
      </c>
      <c r="AH19" s="56">
        <f t="shared" si="2"/>
        <v>25.2</v>
      </c>
      <c r="AI19" s="57">
        <f t="shared" si="3"/>
        <v>22.8</v>
      </c>
      <c r="AK19" s="183">
        <f>450-SUM(T38:T49)+(400-T11)</f>
        <v>642.70000000000005</v>
      </c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49">
        <v>6.2</v>
      </c>
      <c r="AF20" s="49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49">
        <v>11</v>
      </c>
      <c r="AF21" s="49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18</v>
      </c>
      <c r="AE22" s="49">
        <v>18</v>
      </c>
      <c r="AF22" s="49">
        <v>18</v>
      </c>
      <c r="AG22" s="61">
        <v>25</v>
      </c>
      <c r="AH22" s="56">
        <f t="shared" si="2"/>
        <v>22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22</v>
      </c>
      <c r="C23" s="50">
        <v>22</v>
      </c>
      <c r="D23" s="50">
        <v>22</v>
      </c>
      <c r="E23" s="50">
        <v>22</v>
      </c>
      <c r="F23" s="50">
        <v>22</v>
      </c>
      <c r="G23" s="50">
        <v>22</v>
      </c>
      <c r="H23" s="50">
        <v>22</v>
      </c>
      <c r="I23" s="50">
        <v>22</v>
      </c>
      <c r="J23" s="50">
        <v>22</v>
      </c>
      <c r="K23" s="50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22</v>
      </c>
      <c r="R23" s="50">
        <v>22</v>
      </c>
      <c r="S23" s="50">
        <v>22</v>
      </c>
      <c r="T23" s="50">
        <v>22</v>
      </c>
      <c r="U23" s="50">
        <v>22</v>
      </c>
      <c r="V23" s="50">
        <v>22.1</v>
      </c>
      <c r="W23" s="50">
        <v>22.1</v>
      </c>
      <c r="X23" s="50">
        <v>22.1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49">
        <v>22</v>
      </c>
      <c r="AF23" s="49">
        <v>22</v>
      </c>
      <c r="AG23" s="61">
        <v>25</v>
      </c>
      <c r="AH23" s="56">
        <f t="shared" si="2"/>
        <v>22.1</v>
      </c>
      <c r="AI23" s="57">
        <f t="shared" si="3"/>
        <v>22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20</v>
      </c>
      <c r="C24" s="50">
        <v>20</v>
      </c>
      <c r="D24" s="50">
        <v>20</v>
      </c>
      <c r="E24" s="50">
        <v>20</v>
      </c>
      <c r="F24" s="50">
        <v>20</v>
      </c>
      <c r="G24" s="50">
        <v>20</v>
      </c>
      <c r="H24" s="50">
        <v>20</v>
      </c>
      <c r="I24" s="50">
        <v>20</v>
      </c>
      <c r="J24" s="50">
        <v>20</v>
      </c>
      <c r="K24" s="50">
        <v>20</v>
      </c>
      <c r="L24" s="50">
        <v>20</v>
      </c>
      <c r="M24" s="50">
        <v>20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22</v>
      </c>
      <c r="W24" s="50">
        <v>22</v>
      </c>
      <c r="X24" s="50">
        <v>22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18</v>
      </c>
      <c r="AE24" s="49">
        <v>18</v>
      </c>
      <c r="AF24" s="49">
        <v>18</v>
      </c>
      <c r="AG24" s="61">
        <v>25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22</v>
      </c>
      <c r="C25" s="50">
        <v>22</v>
      </c>
      <c r="D25" s="50">
        <v>22</v>
      </c>
      <c r="E25" s="50">
        <v>22</v>
      </c>
      <c r="F25" s="50">
        <v>22</v>
      </c>
      <c r="G25" s="50">
        <v>22</v>
      </c>
      <c r="H25" s="50">
        <v>22</v>
      </c>
      <c r="I25" s="50">
        <v>22</v>
      </c>
      <c r="J25" s="50">
        <v>22</v>
      </c>
      <c r="K25" s="50">
        <v>22</v>
      </c>
      <c r="L25" s="50">
        <v>22</v>
      </c>
      <c r="M25" s="50">
        <v>22</v>
      </c>
      <c r="N25" s="50">
        <v>22</v>
      </c>
      <c r="O25" s="50">
        <v>22</v>
      </c>
      <c r="P25" s="50">
        <v>22</v>
      </c>
      <c r="Q25" s="50">
        <v>22</v>
      </c>
      <c r="R25" s="50">
        <v>22</v>
      </c>
      <c r="S25" s="50">
        <v>22</v>
      </c>
      <c r="T25" s="50">
        <v>22</v>
      </c>
      <c r="U25" s="50">
        <v>22</v>
      </c>
      <c r="V25" s="50">
        <v>22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20</v>
      </c>
      <c r="AE25" s="49">
        <v>18</v>
      </c>
      <c r="AF25" s="49">
        <v>18</v>
      </c>
      <c r="AG25" s="61">
        <v>24.2</v>
      </c>
      <c r="AH25" s="56">
        <f t="shared" si="2"/>
        <v>22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49">
        <v>4</v>
      </c>
      <c r="AF26" s="49">
        <v>4</v>
      </c>
      <c r="AG26" s="61">
        <v>20</v>
      </c>
      <c r="AH26" s="56">
        <f>MAX(B26:AF26)</f>
        <v>4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12</v>
      </c>
      <c r="C27" s="50">
        <v>12</v>
      </c>
      <c r="D27" s="50">
        <v>12</v>
      </c>
      <c r="E27" s="50">
        <v>12</v>
      </c>
      <c r="F27" s="50">
        <v>12</v>
      </c>
      <c r="G27" s="50">
        <v>12</v>
      </c>
      <c r="H27" s="50">
        <v>12</v>
      </c>
      <c r="I27" s="50">
        <v>12</v>
      </c>
      <c r="J27" s="50">
        <v>12</v>
      </c>
      <c r="K27" s="50">
        <v>12</v>
      </c>
      <c r="L27" s="50">
        <v>12</v>
      </c>
      <c r="M27" s="50">
        <v>12</v>
      </c>
      <c r="N27" s="50">
        <v>12</v>
      </c>
      <c r="O27" s="50">
        <v>12</v>
      </c>
      <c r="P27" s="50">
        <v>12</v>
      </c>
      <c r="Q27" s="50">
        <v>12</v>
      </c>
      <c r="R27" s="50">
        <v>12</v>
      </c>
      <c r="S27" s="50">
        <v>12</v>
      </c>
      <c r="T27" s="50">
        <v>12</v>
      </c>
      <c r="U27" s="50">
        <v>12</v>
      </c>
      <c r="V27" s="50">
        <v>14.9</v>
      </c>
      <c r="W27" s="50">
        <v>14.9</v>
      </c>
      <c r="X27" s="50">
        <v>14.9</v>
      </c>
      <c r="Y27" s="50">
        <v>12</v>
      </c>
      <c r="Z27" s="50">
        <v>12</v>
      </c>
      <c r="AA27" s="49">
        <v>12</v>
      </c>
      <c r="AB27" s="49">
        <v>12</v>
      </c>
      <c r="AC27" s="49">
        <v>12</v>
      </c>
      <c r="AD27" s="49">
        <v>12</v>
      </c>
      <c r="AE27" s="49">
        <v>10</v>
      </c>
      <c r="AF27" s="49">
        <v>10</v>
      </c>
      <c r="AG27" s="61">
        <v>23.5</v>
      </c>
      <c r="AH27" s="56">
        <f t="shared" si="2"/>
        <v>14.9</v>
      </c>
      <c r="AI27" s="57">
        <f t="shared" si="3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4.5</v>
      </c>
      <c r="C28" s="50">
        <v>4.5</v>
      </c>
      <c r="D28" s="50">
        <v>4.5</v>
      </c>
      <c r="E28" s="50">
        <v>4.5</v>
      </c>
      <c r="F28" s="50">
        <v>4.5</v>
      </c>
      <c r="G28" s="50">
        <v>4.5</v>
      </c>
      <c r="H28" s="50">
        <v>4.5</v>
      </c>
      <c r="I28" s="50">
        <v>4.5</v>
      </c>
      <c r="J28" s="50">
        <v>4.5</v>
      </c>
      <c r="K28" s="50">
        <v>4.5</v>
      </c>
      <c r="L28" s="50">
        <v>4.5</v>
      </c>
      <c r="M28" s="50">
        <v>4.5</v>
      </c>
      <c r="N28" s="50">
        <v>4.5</v>
      </c>
      <c r="O28" s="50">
        <v>4.5</v>
      </c>
      <c r="P28" s="50">
        <v>4.5</v>
      </c>
      <c r="Q28" s="50">
        <v>4.5</v>
      </c>
      <c r="R28" s="50">
        <v>4.5</v>
      </c>
      <c r="S28" s="50">
        <v>4.5</v>
      </c>
      <c r="T28" s="50">
        <v>4.5</v>
      </c>
      <c r="U28" s="50">
        <v>4.5</v>
      </c>
      <c r="V28" s="50">
        <v>10</v>
      </c>
      <c r="W28" s="50">
        <v>10</v>
      </c>
      <c r="X28" s="50">
        <v>10</v>
      </c>
      <c r="Y28" s="50">
        <v>4.5</v>
      </c>
      <c r="Z28" s="50">
        <v>4.5</v>
      </c>
      <c r="AA28" s="50">
        <v>4.5</v>
      </c>
      <c r="AB28" s="50">
        <v>4.5</v>
      </c>
      <c r="AC28" s="50">
        <v>4.5</v>
      </c>
      <c r="AD28" s="50">
        <v>4.5</v>
      </c>
      <c r="AE28" s="49">
        <v>4.5</v>
      </c>
      <c r="AF28" s="49">
        <v>4.5</v>
      </c>
      <c r="AG28" s="61">
        <v>22.2</v>
      </c>
      <c r="AH28" s="56">
        <f t="shared" si="2"/>
        <v>10</v>
      </c>
      <c r="AI28" s="57">
        <f t="shared" si="3"/>
        <v>4.5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12.3</v>
      </c>
      <c r="W29" s="50">
        <v>12.3</v>
      </c>
      <c r="X29" s="50">
        <v>12.3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49">
        <v>0</v>
      </c>
      <c r="AF29" s="49">
        <v>0</v>
      </c>
      <c r="AG29" s="61">
        <v>22.1</v>
      </c>
      <c r="AH29" s="56">
        <f t="shared" si="2"/>
        <v>12.3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49">
        <v>12</v>
      </c>
      <c r="AF30" s="49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12</v>
      </c>
      <c r="W31" s="50">
        <v>12</v>
      </c>
      <c r="X31" s="50">
        <v>12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63">
        <v>0</v>
      </c>
      <c r="AF31" s="63">
        <v>0</v>
      </c>
      <c r="AG31" s="64">
        <v>22</v>
      </c>
      <c r="AH31" s="56">
        <f t="shared" si="2"/>
        <v>12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63">
        <v>0</v>
      </c>
      <c r="AF32" s="63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</v>
      </c>
      <c r="C33" s="50">
        <v>9</v>
      </c>
      <c r="D33" s="50">
        <v>9</v>
      </c>
      <c r="E33" s="50">
        <v>9</v>
      </c>
      <c r="F33" s="50">
        <v>9</v>
      </c>
      <c r="G33" s="50">
        <v>9</v>
      </c>
      <c r="H33" s="50">
        <v>9</v>
      </c>
      <c r="I33" s="50">
        <v>9</v>
      </c>
      <c r="J33" s="50">
        <v>9</v>
      </c>
      <c r="K33" s="50">
        <v>9</v>
      </c>
      <c r="L33" s="50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63">
        <v>9</v>
      </c>
      <c r="AF33" s="63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63">
        <v>0</v>
      </c>
      <c r="AF34" s="63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230</v>
      </c>
      <c r="C35" s="63">
        <v>230</v>
      </c>
      <c r="D35" s="63">
        <v>230</v>
      </c>
      <c r="E35" s="63">
        <v>230</v>
      </c>
      <c r="F35" s="63">
        <v>230</v>
      </c>
      <c r="G35" s="63">
        <v>230</v>
      </c>
      <c r="H35" s="63">
        <v>230</v>
      </c>
      <c r="I35" s="63">
        <v>230</v>
      </c>
      <c r="J35" s="63">
        <v>230</v>
      </c>
      <c r="K35" s="63">
        <v>230</v>
      </c>
      <c r="L35" s="63">
        <v>230</v>
      </c>
      <c r="M35" s="63">
        <v>230</v>
      </c>
      <c r="N35" s="63">
        <v>230</v>
      </c>
      <c r="O35" s="63">
        <v>230</v>
      </c>
      <c r="P35" s="63">
        <v>230</v>
      </c>
      <c r="Q35" s="63">
        <v>230</v>
      </c>
      <c r="R35" s="63">
        <v>230</v>
      </c>
      <c r="S35" s="63">
        <v>230</v>
      </c>
      <c r="T35" s="63">
        <v>270</v>
      </c>
      <c r="U35" s="63">
        <v>270</v>
      </c>
      <c r="V35" s="50">
        <v>270</v>
      </c>
      <c r="W35" s="50">
        <v>270</v>
      </c>
      <c r="X35" s="50">
        <v>270</v>
      </c>
      <c r="Y35" s="63">
        <v>270</v>
      </c>
      <c r="Z35" s="63">
        <v>270</v>
      </c>
      <c r="AA35" s="63">
        <v>250</v>
      </c>
      <c r="AB35" s="63">
        <v>250</v>
      </c>
      <c r="AC35" s="63">
        <v>250</v>
      </c>
      <c r="AD35" s="63">
        <v>250</v>
      </c>
      <c r="AE35" s="63">
        <v>250</v>
      </c>
      <c r="AF35" s="63">
        <v>250</v>
      </c>
      <c r="AG35" s="69">
        <v>85</v>
      </c>
      <c r="AH35" s="56">
        <f t="shared" si="2"/>
        <v>270</v>
      </c>
      <c r="AI35" s="57">
        <f t="shared" si="3"/>
        <v>230</v>
      </c>
      <c r="AK35" s="58"/>
    </row>
    <row r="36" spans="1:88" ht="15.75" thickBot="1" x14ac:dyDescent="0.3">
      <c r="A36" s="71" t="s">
        <v>43</v>
      </c>
      <c r="B36" s="72">
        <f>71+66.1</f>
        <v>137.1</v>
      </c>
      <c r="C36" s="72">
        <f>71+66.1</f>
        <v>137.1</v>
      </c>
      <c r="D36" s="72">
        <f>71+66.1</f>
        <v>137.1</v>
      </c>
      <c r="E36" s="72">
        <f>71+66.1</f>
        <v>137.1</v>
      </c>
      <c r="F36" s="72">
        <v>135</v>
      </c>
      <c r="G36" s="72">
        <v>135.80000000000001</v>
      </c>
      <c r="H36" s="72">
        <v>134</v>
      </c>
      <c r="I36" s="72">
        <v>134</v>
      </c>
      <c r="J36" s="72">
        <f>64.9+64.8</f>
        <v>129.69999999999999</v>
      </c>
      <c r="K36" s="72">
        <f>64.8+64.9</f>
        <v>129.69999999999999</v>
      </c>
      <c r="L36" s="72">
        <v>129</v>
      </c>
      <c r="M36" s="72">
        <v>129</v>
      </c>
      <c r="N36" s="72">
        <v>129</v>
      </c>
      <c r="O36" s="72">
        <v>130.69999999999999</v>
      </c>
      <c r="P36" s="72">
        <v>131.19999999999999</v>
      </c>
      <c r="Q36" s="72">
        <f>64.9+65.7</f>
        <v>130.60000000000002</v>
      </c>
      <c r="R36" s="72">
        <v>129.69999999999999</v>
      </c>
      <c r="S36" s="72">
        <v>129.69999999999999</v>
      </c>
      <c r="T36" s="72">
        <f>64+65.4</f>
        <v>129.4</v>
      </c>
      <c r="U36" s="72">
        <f>64.4+64.3</f>
        <v>128.69999999999999</v>
      </c>
      <c r="V36" s="50">
        <f>63.8+62</f>
        <v>125.8</v>
      </c>
      <c r="W36" s="50">
        <f>61+62.9</f>
        <v>123.9</v>
      </c>
      <c r="X36" s="50">
        <f>61+62.3</f>
        <v>123.3</v>
      </c>
      <c r="Y36" s="72">
        <f>63.8+61.5</f>
        <v>125.3</v>
      </c>
      <c r="Z36" s="72">
        <f>63.8+61.5</f>
        <v>125.3</v>
      </c>
      <c r="AA36" s="72">
        <f>64.3+61.9</f>
        <v>126.19999999999999</v>
      </c>
      <c r="AB36" s="72">
        <f>64.3+61.9</f>
        <v>126.19999999999999</v>
      </c>
      <c r="AC36" s="72">
        <f>59.2+62.4</f>
        <v>121.6</v>
      </c>
      <c r="AD36" s="72">
        <f>59.5+63.3</f>
        <v>122.8</v>
      </c>
      <c r="AE36" s="63">
        <f>57.1+62.3</f>
        <v>119.4</v>
      </c>
      <c r="AF36" s="63">
        <f>57.1+62.3</f>
        <v>119.4</v>
      </c>
      <c r="AG36" s="69">
        <v>240</v>
      </c>
      <c r="AH36" s="56">
        <f t="shared" si="2"/>
        <v>137.1</v>
      </c>
      <c r="AI36" s="57">
        <f t="shared" si="3"/>
        <v>119.4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643</v>
      </c>
      <c r="C37" s="74">
        <f t="shared" si="4"/>
        <v>643</v>
      </c>
      <c r="D37" s="74">
        <f t="shared" si="4"/>
        <v>643</v>
      </c>
      <c r="E37" s="74">
        <f t="shared" si="4"/>
        <v>633</v>
      </c>
      <c r="F37" s="74">
        <f t="shared" si="4"/>
        <v>643</v>
      </c>
      <c r="G37" s="74">
        <f t="shared" si="4"/>
        <v>643</v>
      </c>
      <c r="H37" s="74">
        <f t="shared" si="4"/>
        <v>653</v>
      </c>
      <c r="I37" s="74">
        <f t="shared" si="4"/>
        <v>643</v>
      </c>
      <c r="J37" s="74">
        <f t="shared" si="4"/>
        <v>653</v>
      </c>
      <c r="K37" s="74">
        <f t="shared" si="4"/>
        <v>653</v>
      </c>
      <c r="L37" s="74">
        <f t="shared" si="4"/>
        <v>698</v>
      </c>
      <c r="M37" s="74">
        <f t="shared" si="4"/>
        <v>698</v>
      </c>
      <c r="N37" s="74">
        <f t="shared" si="4"/>
        <v>698</v>
      </c>
      <c r="O37" s="74">
        <f t="shared" si="4"/>
        <v>659.9</v>
      </c>
      <c r="P37" s="74">
        <f t="shared" si="4"/>
        <v>660</v>
      </c>
      <c r="Q37" s="74">
        <f t="shared" si="4"/>
        <v>645</v>
      </c>
      <c r="R37" s="74">
        <f t="shared" si="4"/>
        <v>645</v>
      </c>
      <c r="S37" s="74">
        <f t="shared" si="4"/>
        <v>645</v>
      </c>
      <c r="T37" s="74">
        <f t="shared" si="4"/>
        <v>662</v>
      </c>
      <c r="U37" s="74">
        <f t="shared" si="4"/>
        <v>692</v>
      </c>
      <c r="V37" s="74">
        <f t="shared" si="4"/>
        <v>756.8</v>
      </c>
      <c r="W37" s="74">
        <f t="shared" si="4"/>
        <v>856.8</v>
      </c>
      <c r="X37" s="74">
        <f t="shared" si="4"/>
        <v>866.8</v>
      </c>
      <c r="Y37" s="74">
        <f t="shared" si="4"/>
        <v>855</v>
      </c>
      <c r="Z37" s="74">
        <f t="shared" si="4"/>
        <v>855</v>
      </c>
      <c r="AA37" s="74">
        <f t="shared" si="4"/>
        <v>801.90000000000009</v>
      </c>
      <c r="AB37" s="74">
        <f t="shared" si="4"/>
        <v>781.90000000000009</v>
      </c>
      <c r="AC37" s="74">
        <f t="shared" si="4"/>
        <v>771.90000000000009</v>
      </c>
      <c r="AD37" s="74">
        <f t="shared" si="4"/>
        <v>713.9</v>
      </c>
      <c r="AE37" s="74">
        <f t="shared" si="4"/>
        <v>650</v>
      </c>
      <c r="AF37" s="74">
        <f t="shared" si="4"/>
        <v>640</v>
      </c>
      <c r="AG37" s="69">
        <f>SUM(AG11:AG36)</f>
        <v>1481.8299999999997</v>
      </c>
      <c r="AH37" s="56">
        <f t="shared" si="2"/>
        <v>866.8</v>
      </c>
      <c r="AI37" s="57">
        <f t="shared" si="3"/>
        <v>633</v>
      </c>
      <c r="AK37" s="58"/>
    </row>
    <row r="38" spans="1:88" x14ac:dyDescent="0.25">
      <c r="A38" s="59" t="s">
        <v>45</v>
      </c>
      <c r="B38" s="50">
        <v>71.400000000000006</v>
      </c>
      <c r="C38" s="50">
        <v>71.400000000000006</v>
      </c>
      <c r="D38" s="63">
        <v>71.2</v>
      </c>
      <c r="E38" s="63">
        <v>71.2</v>
      </c>
      <c r="F38" s="63">
        <v>80.900000000000006</v>
      </c>
      <c r="G38" s="63">
        <v>81</v>
      </c>
      <c r="H38" s="63">
        <v>106</v>
      </c>
      <c r="I38" s="63">
        <v>113</v>
      </c>
      <c r="J38" s="63">
        <v>110</v>
      </c>
      <c r="K38" s="63">
        <v>111.7</v>
      </c>
      <c r="L38" s="50">
        <v>116.3</v>
      </c>
      <c r="M38" s="50">
        <v>111</v>
      </c>
      <c r="N38" s="50">
        <v>60</v>
      </c>
      <c r="O38" s="50">
        <v>61.1</v>
      </c>
      <c r="P38" s="50">
        <v>31</v>
      </c>
      <c r="Q38" s="50">
        <v>30.3</v>
      </c>
      <c r="R38" s="50">
        <v>30.3</v>
      </c>
      <c r="S38" s="50">
        <v>31</v>
      </c>
      <c r="T38" s="50">
        <v>30.5</v>
      </c>
      <c r="U38" s="50">
        <v>76</v>
      </c>
      <c r="V38" s="52">
        <v>91.5</v>
      </c>
      <c r="W38" s="52">
        <v>137.19999999999999</v>
      </c>
      <c r="X38" s="52">
        <v>145</v>
      </c>
      <c r="Y38" s="50">
        <v>136.5</v>
      </c>
      <c r="Z38" s="50">
        <v>136.5</v>
      </c>
      <c r="AA38" s="50">
        <v>121.2</v>
      </c>
      <c r="AB38" s="50">
        <v>121.2</v>
      </c>
      <c r="AC38" s="50">
        <v>111.5</v>
      </c>
      <c r="AD38" s="50">
        <v>85.8</v>
      </c>
      <c r="AE38" s="49">
        <v>70.900000000000006</v>
      </c>
      <c r="AF38" s="49">
        <v>60.9</v>
      </c>
      <c r="AG38" s="64">
        <v>144</v>
      </c>
      <c r="AH38" s="56">
        <f t="shared" si="2"/>
        <v>145</v>
      </c>
      <c r="AI38" s="57">
        <f t="shared" si="3"/>
        <v>30.3</v>
      </c>
      <c r="AK38" s="58"/>
    </row>
    <row r="39" spans="1:88" x14ac:dyDescent="0.25">
      <c r="A39" s="68" t="s">
        <v>46</v>
      </c>
      <c r="B39" s="52">
        <v>25.8</v>
      </c>
      <c r="C39" s="52">
        <v>26</v>
      </c>
      <c r="D39" s="63">
        <v>24</v>
      </c>
      <c r="E39" s="63">
        <v>24</v>
      </c>
      <c r="F39" s="63">
        <v>30</v>
      </c>
      <c r="G39" s="63">
        <v>30</v>
      </c>
      <c r="H39" s="63">
        <v>35</v>
      </c>
      <c r="I39" s="63">
        <v>30</v>
      </c>
      <c r="J39" s="63">
        <v>34.299999999999997</v>
      </c>
      <c r="K39" s="63">
        <v>34.700000000000003</v>
      </c>
      <c r="L39" s="52">
        <v>30.5</v>
      </c>
      <c r="M39" s="52">
        <v>31</v>
      </c>
      <c r="N39" s="52">
        <v>25</v>
      </c>
      <c r="O39" s="52">
        <v>21.9</v>
      </c>
      <c r="P39" s="52">
        <v>23.7</v>
      </c>
      <c r="Q39" s="52">
        <v>24.2</v>
      </c>
      <c r="R39" s="52">
        <v>23</v>
      </c>
      <c r="S39" s="52">
        <v>25.5</v>
      </c>
      <c r="T39" s="52">
        <v>25.2</v>
      </c>
      <c r="U39" s="52">
        <v>23.4</v>
      </c>
      <c r="V39" s="52">
        <v>54.3</v>
      </c>
      <c r="W39" s="52">
        <v>66.2</v>
      </c>
      <c r="X39" s="52">
        <v>65.599999999999994</v>
      </c>
      <c r="Y39" s="52">
        <v>65</v>
      </c>
      <c r="Z39" s="52">
        <v>65</v>
      </c>
      <c r="AA39" s="52">
        <v>50</v>
      </c>
      <c r="AB39" s="52">
        <v>50</v>
      </c>
      <c r="AC39" s="52">
        <v>50</v>
      </c>
      <c r="AD39" s="52">
        <v>24.4</v>
      </c>
      <c r="AE39" s="63">
        <v>24.8</v>
      </c>
      <c r="AF39" s="63">
        <v>24.7</v>
      </c>
      <c r="AG39" s="69">
        <v>70</v>
      </c>
      <c r="AH39" s="56">
        <f t="shared" si="2"/>
        <v>66.2</v>
      </c>
      <c r="AI39" s="57">
        <f t="shared" si="3"/>
        <v>21.9</v>
      </c>
      <c r="AK39" s="58"/>
    </row>
    <row r="40" spans="1:88" x14ac:dyDescent="0.25">
      <c r="A40" s="68" t="s">
        <v>47</v>
      </c>
      <c r="B40" s="52">
        <v>34.5</v>
      </c>
      <c r="C40" s="52">
        <v>34.5</v>
      </c>
      <c r="D40" s="52">
        <v>34.5</v>
      </c>
      <c r="E40" s="52">
        <v>46</v>
      </c>
      <c r="F40" s="63">
        <v>45.9</v>
      </c>
      <c r="G40" s="63">
        <v>57</v>
      </c>
      <c r="H40" s="63">
        <v>62</v>
      </c>
      <c r="I40" s="63">
        <v>61</v>
      </c>
      <c r="J40" s="63">
        <v>70</v>
      </c>
      <c r="K40" s="63">
        <v>65.900000000000006</v>
      </c>
      <c r="L40" s="52">
        <v>61</v>
      </c>
      <c r="M40" s="52">
        <v>52</v>
      </c>
      <c r="N40" s="52">
        <v>35</v>
      </c>
      <c r="O40" s="52">
        <v>18.3</v>
      </c>
      <c r="P40" s="52">
        <v>18.2</v>
      </c>
      <c r="Q40" s="52">
        <v>18.100000000000001</v>
      </c>
      <c r="R40" s="52">
        <v>18.100000000000001</v>
      </c>
      <c r="S40" s="52">
        <v>18</v>
      </c>
      <c r="T40" s="52">
        <v>18.2</v>
      </c>
      <c r="U40" s="52">
        <v>38.1</v>
      </c>
      <c r="V40" s="52">
        <v>57.6</v>
      </c>
      <c r="W40" s="52">
        <v>61.4</v>
      </c>
      <c r="X40" s="52">
        <v>63.9</v>
      </c>
      <c r="Y40" s="52">
        <v>61</v>
      </c>
      <c r="Z40" s="52">
        <v>61</v>
      </c>
      <c r="AA40" s="52">
        <v>70.099999999999994</v>
      </c>
      <c r="AB40" s="52">
        <v>58.6</v>
      </c>
      <c r="AC40" s="52">
        <v>40</v>
      </c>
      <c r="AD40" s="52">
        <v>35</v>
      </c>
      <c r="AE40" s="63">
        <v>34.4</v>
      </c>
      <c r="AF40" s="63">
        <v>23.7</v>
      </c>
      <c r="AG40" s="69">
        <v>69</v>
      </c>
      <c r="AH40" s="56">
        <f t="shared" si="2"/>
        <v>70.099999999999994</v>
      </c>
      <c r="AI40" s="57">
        <f t="shared" si="3"/>
        <v>18</v>
      </c>
      <c r="AK40" s="58"/>
    </row>
    <row r="41" spans="1:88" x14ac:dyDescent="0.25">
      <c r="A41" s="68" t="s">
        <v>48</v>
      </c>
      <c r="B41" s="52">
        <v>9.6</v>
      </c>
      <c r="C41" s="52">
        <v>9.6</v>
      </c>
      <c r="D41" s="52">
        <v>9.6</v>
      </c>
      <c r="E41" s="52">
        <v>9.6</v>
      </c>
      <c r="F41" s="63">
        <v>21</v>
      </c>
      <c r="G41" s="63">
        <v>40</v>
      </c>
      <c r="H41" s="63">
        <v>40</v>
      </c>
      <c r="I41" s="63">
        <v>51</v>
      </c>
      <c r="J41" s="63">
        <v>50.6</v>
      </c>
      <c r="K41" s="63">
        <v>50.6</v>
      </c>
      <c r="L41" s="52">
        <v>39</v>
      </c>
      <c r="M41" s="52">
        <v>39</v>
      </c>
      <c r="N41" s="52">
        <v>39</v>
      </c>
      <c r="O41" s="52">
        <v>21.7</v>
      </c>
      <c r="P41" s="52">
        <v>9.8000000000000007</v>
      </c>
      <c r="Q41" s="52">
        <v>9.8000000000000007</v>
      </c>
      <c r="R41" s="52">
        <v>9.8000000000000007</v>
      </c>
      <c r="S41" s="52">
        <v>10.1</v>
      </c>
      <c r="T41" s="52">
        <v>10.1</v>
      </c>
      <c r="U41" s="52">
        <v>19.899999999999999</v>
      </c>
      <c r="V41" s="52">
        <v>43.3</v>
      </c>
      <c r="W41" s="52">
        <v>50.9</v>
      </c>
      <c r="X41" s="52">
        <v>58.7</v>
      </c>
      <c r="Y41" s="52">
        <v>50.9</v>
      </c>
      <c r="Z41" s="52">
        <v>50.9</v>
      </c>
      <c r="AA41" s="52">
        <v>50.9</v>
      </c>
      <c r="AB41" s="52">
        <v>50.9</v>
      </c>
      <c r="AC41" s="52">
        <v>51.1</v>
      </c>
      <c r="AD41" s="52">
        <v>30</v>
      </c>
      <c r="AE41" s="63">
        <v>25</v>
      </c>
      <c r="AF41" s="63">
        <v>29.7</v>
      </c>
      <c r="AG41" s="69">
        <v>60</v>
      </c>
      <c r="AH41" s="56">
        <f t="shared" si="2"/>
        <v>58.7</v>
      </c>
      <c r="AI41" s="57">
        <f t="shared" si="3"/>
        <v>9.6</v>
      </c>
      <c r="AK41" s="58"/>
    </row>
    <row r="42" spans="1:88" x14ac:dyDescent="0.25">
      <c r="A42" s="68" t="s">
        <v>49</v>
      </c>
      <c r="B42" s="50">
        <v>13.4</v>
      </c>
      <c r="C42" s="50">
        <v>13.4</v>
      </c>
      <c r="D42" s="50">
        <v>13.4</v>
      </c>
      <c r="E42" s="50">
        <v>13.4</v>
      </c>
      <c r="F42" s="63">
        <v>13.9</v>
      </c>
      <c r="G42" s="63">
        <v>13.9</v>
      </c>
      <c r="H42" s="63">
        <v>13.9</v>
      </c>
      <c r="I42" s="63">
        <v>13.9</v>
      </c>
      <c r="J42" s="63">
        <v>13.9</v>
      </c>
      <c r="K42" s="63">
        <v>13.9</v>
      </c>
      <c r="L42" s="50">
        <v>13.9</v>
      </c>
      <c r="M42" s="50">
        <v>13.9</v>
      </c>
      <c r="N42" s="50">
        <v>14</v>
      </c>
      <c r="O42" s="50">
        <v>14</v>
      </c>
      <c r="P42" s="50">
        <v>13.9</v>
      </c>
      <c r="Q42" s="50">
        <v>13.9</v>
      </c>
      <c r="R42" s="50">
        <v>14.8</v>
      </c>
      <c r="S42" s="50">
        <v>14.6</v>
      </c>
      <c r="T42" s="50">
        <v>14.6</v>
      </c>
      <c r="U42" s="50">
        <v>24.6</v>
      </c>
      <c r="V42" s="52">
        <v>25.2</v>
      </c>
      <c r="W42" s="52">
        <v>30</v>
      </c>
      <c r="X42" s="52">
        <v>30</v>
      </c>
      <c r="Y42" s="52">
        <v>29.8</v>
      </c>
      <c r="Z42" s="52">
        <v>29.8</v>
      </c>
      <c r="AA42" s="52">
        <v>29.7</v>
      </c>
      <c r="AB42" s="52">
        <v>29.7</v>
      </c>
      <c r="AC42" s="52">
        <v>29.7</v>
      </c>
      <c r="AD42" s="52">
        <v>25.2</v>
      </c>
      <c r="AE42" s="63">
        <v>15.2</v>
      </c>
      <c r="AF42" s="63">
        <v>0</v>
      </c>
      <c r="AG42" s="69">
        <v>30</v>
      </c>
      <c r="AH42" s="56">
        <f t="shared" si="2"/>
        <v>30</v>
      </c>
      <c r="AI42" s="57">
        <f t="shared" si="3"/>
        <v>0</v>
      </c>
      <c r="AK42" s="58"/>
    </row>
    <row r="43" spans="1:88" x14ac:dyDescent="0.25">
      <c r="A43" s="68" t="s">
        <v>50</v>
      </c>
      <c r="B43" s="50">
        <v>0</v>
      </c>
      <c r="C43" s="50">
        <v>0</v>
      </c>
      <c r="D43" s="50">
        <v>0</v>
      </c>
      <c r="E43" s="50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2">
        <v>0</v>
      </c>
      <c r="W43" s="52">
        <v>0</v>
      </c>
      <c r="X43" s="52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50">
        <v>17.5</v>
      </c>
      <c r="C44" s="50">
        <v>17.5</v>
      </c>
      <c r="D44" s="50">
        <v>12</v>
      </c>
      <c r="E44" s="52">
        <v>12</v>
      </c>
      <c r="F44" s="63">
        <v>17.5</v>
      </c>
      <c r="G44" s="63">
        <v>17.5</v>
      </c>
      <c r="H44" s="63">
        <v>17.5</v>
      </c>
      <c r="I44" s="63">
        <v>17.5</v>
      </c>
      <c r="J44" s="63">
        <v>17.5</v>
      </c>
      <c r="K44" s="63">
        <v>17.5</v>
      </c>
      <c r="L44" s="52">
        <v>24</v>
      </c>
      <c r="M44" s="52">
        <v>24</v>
      </c>
      <c r="N44" s="52">
        <v>24</v>
      </c>
      <c r="O44" s="52">
        <v>24</v>
      </c>
      <c r="P44" s="52">
        <v>24</v>
      </c>
      <c r="Q44" s="52">
        <v>24</v>
      </c>
      <c r="R44" s="52">
        <v>24</v>
      </c>
      <c r="S44" s="52">
        <v>24</v>
      </c>
      <c r="T44" s="52">
        <v>24</v>
      </c>
      <c r="U44" s="52">
        <v>24</v>
      </c>
      <c r="V44" s="52">
        <v>24</v>
      </c>
      <c r="W44" s="52">
        <v>24</v>
      </c>
      <c r="X44" s="52">
        <v>24</v>
      </c>
      <c r="Y44" s="50">
        <v>24</v>
      </c>
      <c r="Z44" s="50">
        <v>24</v>
      </c>
      <c r="AA44" s="50">
        <v>17</v>
      </c>
      <c r="AB44" s="50">
        <v>17</v>
      </c>
      <c r="AC44" s="50">
        <v>17</v>
      </c>
      <c r="AD44" s="50">
        <v>17</v>
      </c>
      <c r="AE44" s="63">
        <v>10</v>
      </c>
      <c r="AF44" s="63">
        <v>10</v>
      </c>
      <c r="AG44" s="69">
        <v>24</v>
      </c>
      <c r="AH44" s="56">
        <f t="shared" si="2"/>
        <v>24</v>
      </c>
      <c r="AI44" s="57">
        <f t="shared" si="3"/>
        <v>10</v>
      </c>
      <c r="AK44" s="58"/>
    </row>
    <row r="45" spans="1:88" x14ac:dyDescent="0.25">
      <c r="A45" s="68" t="s">
        <v>52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2">
        <v>0</v>
      </c>
      <c r="W45" s="52">
        <v>0</v>
      </c>
      <c r="X45" s="52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63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50">
        <v>13</v>
      </c>
      <c r="C46" s="50">
        <v>13</v>
      </c>
      <c r="D46" s="50">
        <v>13</v>
      </c>
      <c r="E46" s="50">
        <v>10</v>
      </c>
      <c r="F46" s="63">
        <v>13</v>
      </c>
      <c r="G46" s="63">
        <v>13</v>
      </c>
      <c r="H46" s="63">
        <v>13</v>
      </c>
      <c r="I46" s="63">
        <v>13</v>
      </c>
      <c r="J46" s="63">
        <v>13</v>
      </c>
      <c r="K46" s="63">
        <v>13</v>
      </c>
      <c r="L46" s="50">
        <v>15</v>
      </c>
      <c r="M46" s="50">
        <v>15</v>
      </c>
      <c r="N46" s="50">
        <v>15</v>
      </c>
      <c r="O46" s="50">
        <v>15</v>
      </c>
      <c r="P46" s="50">
        <v>15</v>
      </c>
      <c r="Q46" s="50">
        <v>15</v>
      </c>
      <c r="R46" s="50">
        <v>15</v>
      </c>
      <c r="S46" s="50">
        <v>15</v>
      </c>
      <c r="T46" s="50">
        <v>15</v>
      </c>
      <c r="U46" s="50">
        <v>15</v>
      </c>
      <c r="V46" s="52">
        <v>15</v>
      </c>
      <c r="W46" s="52">
        <v>15</v>
      </c>
      <c r="X46" s="52">
        <v>15</v>
      </c>
      <c r="Y46" s="50">
        <v>15</v>
      </c>
      <c r="Z46" s="50">
        <v>15</v>
      </c>
      <c r="AA46" s="50">
        <v>13</v>
      </c>
      <c r="AB46" s="50">
        <v>13</v>
      </c>
      <c r="AC46" s="50">
        <v>13</v>
      </c>
      <c r="AD46" s="50">
        <v>13</v>
      </c>
      <c r="AE46" s="63">
        <v>10</v>
      </c>
      <c r="AF46" s="63">
        <v>10</v>
      </c>
      <c r="AG46" s="69">
        <v>14.1</v>
      </c>
      <c r="AH46" s="56">
        <f t="shared" si="2"/>
        <v>15</v>
      </c>
      <c r="AI46" s="57">
        <f t="shared" si="3"/>
        <v>10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50">
        <v>10</v>
      </c>
      <c r="C47" s="50">
        <v>10</v>
      </c>
      <c r="D47" s="50">
        <v>6</v>
      </c>
      <c r="E47" s="50">
        <v>6</v>
      </c>
      <c r="F47" s="50">
        <v>6</v>
      </c>
      <c r="G47" s="50">
        <v>6</v>
      </c>
      <c r="H47" s="50">
        <v>6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7</v>
      </c>
      <c r="Q47" s="50">
        <v>7</v>
      </c>
      <c r="R47" s="50">
        <v>7</v>
      </c>
      <c r="S47" s="50">
        <v>7</v>
      </c>
      <c r="T47" s="50">
        <v>7</v>
      </c>
      <c r="U47" s="50">
        <v>7</v>
      </c>
      <c r="V47" s="52">
        <v>14</v>
      </c>
      <c r="W47" s="52">
        <v>14</v>
      </c>
      <c r="X47" s="52">
        <v>14</v>
      </c>
      <c r="Y47" s="50">
        <v>7</v>
      </c>
      <c r="Z47" s="50">
        <v>7</v>
      </c>
      <c r="AA47" s="50">
        <v>14</v>
      </c>
      <c r="AB47" s="50">
        <v>14</v>
      </c>
      <c r="AC47" s="50">
        <v>14</v>
      </c>
      <c r="AD47" s="50">
        <v>10</v>
      </c>
      <c r="AE47" s="63">
        <v>7</v>
      </c>
      <c r="AF47" s="63">
        <v>7</v>
      </c>
      <c r="AG47" s="69">
        <v>14</v>
      </c>
      <c r="AH47" s="56">
        <f t="shared" si="2"/>
        <v>14</v>
      </c>
      <c r="AI47" s="57">
        <f t="shared" si="3"/>
        <v>6</v>
      </c>
      <c r="AK47" s="58"/>
    </row>
    <row r="48" spans="1:88" x14ac:dyDescent="0.25">
      <c r="A48" s="68" t="s">
        <v>55</v>
      </c>
      <c r="B48" s="50">
        <v>9.6</v>
      </c>
      <c r="C48" s="50">
        <v>9.6</v>
      </c>
      <c r="D48" s="50">
        <v>9.6</v>
      </c>
      <c r="E48" s="50">
        <v>9.6</v>
      </c>
      <c r="F48" s="50">
        <v>9.6</v>
      </c>
      <c r="G48" s="50">
        <v>9.6</v>
      </c>
      <c r="H48" s="50">
        <v>9.6</v>
      </c>
      <c r="I48" s="50">
        <v>9.6</v>
      </c>
      <c r="J48" s="50">
        <v>9.6</v>
      </c>
      <c r="K48" s="50">
        <v>9.6</v>
      </c>
      <c r="L48" s="50">
        <v>9.6</v>
      </c>
      <c r="M48" s="50">
        <v>9.6</v>
      </c>
      <c r="N48" s="50">
        <v>9.6</v>
      </c>
      <c r="O48" s="50">
        <v>9.6</v>
      </c>
      <c r="P48" s="50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2">
        <v>9.6</v>
      </c>
      <c r="W48" s="52">
        <v>9.6</v>
      </c>
      <c r="X48" s="52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63">
        <v>9.6</v>
      </c>
      <c r="AF48" s="63">
        <v>9.6</v>
      </c>
      <c r="AG48" s="69">
        <v>10.050000000000001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50">
        <v>3.1</v>
      </c>
      <c r="C49" s="50">
        <v>3.1</v>
      </c>
      <c r="D49" s="50">
        <v>3.1</v>
      </c>
      <c r="E49" s="50">
        <v>3.1</v>
      </c>
      <c r="F49" s="50">
        <v>3.1</v>
      </c>
      <c r="G49" s="50">
        <v>3.1</v>
      </c>
      <c r="H49" s="50">
        <v>3.1</v>
      </c>
      <c r="I49" s="50">
        <v>3.1</v>
      </c>
      <c r="J49" s="50">
        <v>3.1</v>
      </c>
      <c r="K49" s="50">
        <v>3.1</v>
      </c>
      <c r="L49" s="50">
        <v>3.1</v>
      </c>
      <c r="M49" s="50">
        <v>3.1</v>
      </c>
      <c r="N49" s="50">
        <v>3.1</v>
      </c>
      <c r="O49" s="50">
        <v>3.1</v>
      </c>
      <c r="P49" s="50">
        <v>3.1</v>
      </c>
      <c r="Q49" s="50">
        <v>3.1</v>
      </c>
      <c r="R49" s="50">
        <v>3.1</v>
      </c>
      <c r="S49" s="50">
        <v>3.1</v>
      </c>
      <c r="T49" s="50">
        <v>3.1</v>
      </c>
      <c r="U49" s="50">
        <v>3.1</v>
      </c>
      <c r="V49" s="52">
        <v>6.2</v>
      </c>
      <c r="W49" s="52">
        <v>6.2</v>
      </c>
      <c r="X49" s="52">
        <v>6.2</v>
      </c>
      <c r="Y49" s="50">
        <v>3.1</v>
      </c>
      <c r="Z49" s="50">
        <v>3.1</v>
      </c>
      <c r="AA49" s="50">
        <v>3.1</v>
      </c>
      <c r="AB49" s="50">
        <v>3.1</v>
      </c>
      <c r="AC49" s="50">
        <v>3.1</v>
      </c>
      <c r="AD49" s="50">
        <v>3.1</v>
      </c>
      <c r="AE49" s="63">
        <v>3.1</v>
      </c>
      <c r="AF49" s="63">
        <v>3.1</v>
      </c>
      <c r="AG49" s="69">
        <v>6.2</v>
      </c>
      <c r="AH49" s="56">
        <f t="shared" si="2"/>
        <v>6.2</v>
      </c>
      <c r="AI49" s="57">
        <f t="shared" si="3"/>
        <v>3.1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52">
        <v>3.54</v>
      </c>
      <c r="W50" s="52">
        <v>3.54</v>
      </c>
      <c r="X50" s="52"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211.43999999999997</v>
      </c>
      <c r="C51" s="74">
        <f t="shared" si="6"/>
        <v>211.64</v>
      </c>
      <c r="D51" s="74">
        <f t="shared" si="6"/>
        <v>199.93999999999997</v>
      </c>
      <c r="E51" s="74">
        <f t="shared" si="6"/>
        <v>208.43999999999997</v>
      </c>
      <c r="F51" s="74">
        <f t="shared" si="6"/>
        <v>244.44</v>
      </c>
      <c r="G51" s="74">
        <f t="shared" si="6"/>
        <v>274.64000000000004</v>
      </c>
      <c r="H51" s="74">
        <f t="shared" si="6"/>
        <v>309.64000000000004</v>
      </c>
      <c r="I51" s="74">
        <f t="shared" si="6"/>
        <v>325.64000000000004</v>
      </c>
      <c r="J51" s="74">
        <f t="shared" si="6"/>
        <v>335.54000000000008</v>
      </c>
      <c r="K51" s="74">
        <f t="shared" si="6"/>
        <v>333.54000000000008</v>
      </c>
      <c r="L51" s="74">
        <f t="shared" si="6"/>
        <v>325.94000000000005</v>
      </c>
      <c r="M51" s="74">
        <f t="shared" si="6"/>
        <v>312.14000000000004</v>
      </c>
      <c r="N51" s="74">
        <f t="shared" si="6"/>
        <v>238.23999999999998</v>
      </c>
      <c r="O51" s="74">
        <f t="shared" si="6"/>
        <v>202.23999999999998</v>
      </c>
      <c r="P51" s="74">
        <f t="shared" si="6"/>
        <v>158.84</v>
      </c>
      <c r="Q51" s="74">
        <f t="shared" si="6"/>
        <v>158.54</v>
      </c>
      <c r="R51" s="74">
        <f t="shared" si="6"/>
        <v>158.23999999999998</v>
      </c>
      <c r="S51" s="74">
        <f t="shared" si="6"/>
        <v>161.43999999999997</v>
      </c>
      <c r="T51" s="74">
        <f t="shared" si="6"/>
        <v>160.83999999999997</v>
      </c>
      <c r="U51" s="74">
        <f t="shared" si="6"/>
        <v>244.23999999999998</v>
      </c>
      <c r="V51" s="74">
        <f t="shared" si="6"/>
        <v>344.24</v>
      </c>
      <c r="W51" s="74">
        <f t="shared" si="6"/>
        <v>418.03999999999996</v>
      </c>
      <c r="X51" s="74">
        <f t="shared" si="6"/>
        <v>435.54</v>
      </c>
      <c r="Y51" s="74">
        <f t="shared" si="6"/>
        <v>405.44000000000005</v>
      </c>
      <c r="Z51" s="74">
        <f t="shared" si="6"/>
        <v>405.44000000000005</v>
      </c>
      <c r="AA51" s="74">
        <f t="shared" si="6"/>
        <v>382.14000000000004</v>
      </c>
      <c r="AB51" s="74">
        <f t="shared" si="6"/>
        <v>370.64000000000004</v>
      </c>
      <c r="AC51" s="74">
        <f t="shared" si="6"/>
        <v>342.54000000000008</v>
      </c>
      <c r="AD51" s="74">
        <f t="shared" si="6"/>
        <v>256.64</v>
      </c>
      <c r="AE51" s="74">
        <f t="shared" si="6"/>
        <v>213.53999999999996</v>
      </c>
      <c r="AF51" s="74">
        <f t="shared" si="6"/>
        <v>182.23999999999998</v>
      </c>
      <c r="AG51" s="79">
        <f>SUM(AG38:AG50)</f>
        <v>489.91</v>
      </c>
      <c r="AH51" s="56">
        <f t="shared" si="2"/>
        <v>435.54</v>
      </c>
      <c r="AI51" s="57">
        <f t="shared" si="3"/>
        <v>158.23999999999998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2">
        <v>10.8</v>
      </c>
      <c r="W52" s="52">
        <v>13.8</v>
      </c>
      <c r="X52" s="52">
        <v>13.8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13.8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80">
        <v>0</v>
      </c>
      <c r="P53" s="52">
        <v>0</v>
      </c>
      <c r="Q53" s="52">
        <v>0</v>
      </c>
      <c r="R53" s="52">
        <v>0</v>
      </c>
      <c r="S53" s="50">
        <v>0</v>
      </c>
      <c r="T53" s="50">
        <v>0</v>
      </c>
      <c r="U53" s="50">
        <v>0</v>
      </c>
      <c r="V53" s="52">
        <v>4.7</v>
      </c>
      <c r="W53" s="52">
        <v>6.5</v>
      </c>
      <c r="X53" s="52">
        <v>6.8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6.8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81">
        <v>0</v>
      </c>
      <c r="P54" s="82">
        <v>5</v>
      </c>
      <c r="Q54" s="82">
        <v>0</v>
      </c>
      <c r="R54" s="82">
        <v>0</v>
      </c>
      <c r="S54" s="50">
        <v>0</v>
      </c>
      <c r="T54" s="50">
        <v>0</v>
      </c>
      <c r="U54" s="50">
        <v>0</v>
      </c>
      <c r="V54" s="52">
        <v>1.7</v>
      </c>
      <c r="W54" s="52">
        <v>2.4</v>
      </c>
      <c r="X54" s="52">
        <v>2.5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5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5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17.2</v>
      </c>
      <c r="W55" s="74">
        <f t="shared" si="7"/>
        <v>22.7</v>
      </c>
      <c r="X55" s="74">
        <f t="shared" si="7"/>
        <v>23.1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23.1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2">
        <v>0</v>
      </c>
      <c r="W56" s="52">
        <v>0</v>
      </c>
      <c r="X56" s="52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2">
        <v>0</v>
      </c>
      <c r="W57" s="52">
        <v>0</v>
      </c>
      <c r="X57" s="52">
        <v>0</v>
      </c>
      <c r="Y57" s="50">
        <v>0</v>
      </c>
      <c r="Z57" s="50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-63</v>
      </c>
      <c r="C58" s="52">
        <v>-55</v>
      </c>
      <c r="D58" s="52">
        <v>-51</v>
      </c>
      <c r="E58" s="52">
        <v>-46</v>
      </c>
      <c r="F58" s="52">
        <v>-49</v>
      </c>
      <c r="G58" s="52">
        <v>-47</v>
      </c>
      <c r="H58" s="52">
        <v>-51</v>
      </c>
      <c r="I58" s="52">
        <v>-46</v>
      </c>
      <c r="J58" s="52">
        <v>-47</v>
      </c>
      <c r="K58" s="52">
        <v>-26.6</v>
      </c>
      <c r="L58" s="52">
        <v>-46</v>
      </c>
      <c r="M58" s="52">
        <v>-65</v>
      </c>
      <c r="N58" s="52">
        <v>-70</v>
      </c>
      <c r="O58" s="52">
        <v>-50.3</v>
      </c>
      <c r="P58" s="52">
        <v>-76</v>
      </c>
      <c r="Q58" s="52">
        <v>-61.1</v>
      </c>
      <c r="R58" s="52">
        <v>-72.900000000000006</v>
      </c>
      <c r="S58" s="52">
        <v>-75</v>
      </c>
      <c r="T58" s="52">
        <v>-54.2</v>
      </c>
      <c r="U58" s="52">
        <v>-70</v>
      </c>
      <c r="V58" s="52">
        <v>-48.1</v>
      </c>
      <c r="W58" s="52">
        <v>-52.8</v>
      </c>
      <c r="X58" s="52">
        <v>-59.4</v>
      </c>
      <c r="Y58" s="52">
        <v>-60</v>
      </c>
      <c r="Z58" s="52">
        <v>-58.8</v>
      </c>
      <c r="AA58" s="52">
        <v>-50.7</v>
      </c>
      <c r="AB58" s="52">
        <v>-59.8</v>
      </c>
      <c r="AC58" s="52">
        <v>-58.8</v>
      </c>
      <c r="AD58" s="52">
        <v>-65</v>
      </c>
      <c r="AE58" s="52">
        <v>-68.5</v>
      </c>
      <c r="AF58" s="52">
        <v>-42.9</v>
      </c>
      <c r="AG58" s="86"/>
      <c r="AH58" s="56">
        <f t="shared" si="2"/>
        <v>-26.6</v>
      </c>
      <c r="AI58" s="57">
        <f t="shared" si="3"/>
        <v>-76</v>
      </c>
      <c r="AK58" s="58"/>
    </row>
    <row r="59" spans="1:37" x14ac:dyDescent="0.25">
      <c r="A59" s="68" t="s">
        <v>66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60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2">
        <v>0</v>
      </c>
      <c r="W60" s="52">
        <v>0</v>
      </c>
      <c r="X60" s="52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52">
        <v>0</v>
      </c>
      <c r="W61" s="52">
        <v>0</v>
      </c>
      <c r="X61" s="5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52">
        <v>0</v>
      </c>
      <c r="W62" s="52">
        <v>0</v>
      </c>
      <c r="X62" s="5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52">
        <v>0</v>
      </c>
      <c r="W63" s="52">
        <v>0</v>
      </c>
      <c r="X63" s="52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52">
        <v>0</v>
      </c>
      <c r="W64" s="52">
        <v>0</v>
      </c>
      <c r="X64" s="52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52">
        <v>0</v>
      </c>
      <c r="W65" s="52">
        <v>0</v>
      </c>
      <c r="X65" s="52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52">
        <v>0</v>
      </c>
      <c r="W66" s="52">
        <v>0</v>
      </c>
      <c r="X66" s="52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-63</v>
      </c>
      <c r="C67" s="74">
        <f t="shared" ref="C67:AF67" si="8">SUM(C56:C66)</f>
        <v>-55</v>
      </c>
      <c r="D67" s="74">
        <f t="shared" si="8"/>
        <v>-51</v>
      </c>
      <c r="E67" s="74">
        <f t="shared" si="8"/>
        <v>-46</v>
      </c>
      <c r="F67" s="74">
        <f t="shared" si="8"/>
        <v>-49</v>
      </c>
      <c r="G67" s="74">
        <f t="shared" si="8"/>
        <v>-47</v>
      </c>
      <c r="H67" s="74">
        <f t="shared" si="8"/>
        <v>-51</v>
      </c>
      <c r="I67" s="74">
        <f t="shared" si="8"/>
        <v>-46</v>
      </c>
      <c r="J67" s="74">
        <f t="shared" si="8"/>
        <v>-47</v>
      </c>
      <c r="K67" s="74">
        <f t="shared" si="8"/>
        <v>-26.6</v>
      </c>
      <c r="L67" s="74">
        <f t="shared" si="8"/>
        <v>-46</v>
      </c>
      <c r="M67" s="74">
        <f t="shared" si="8"/>
        <v>-65</v>
      </c>
      <c r="N67" s="74">
        <f t="shared" si="8"/>
        <v>-70</v>
      </c>
      <c r="O67" s="74">
        <f t="shared" si="8"/>
        <v>-50.3</v>
      </c>
      <c r="P67" s="74">
        <f t="shared" si="8"/>
        <v>-76</v>
      </c>
      <c r="Q67" s="74">
        <f t="shared" si="8"/>
        <v>-61.1</v>
      </c>
      <c r="R67" s="74">
        <f t="shared" si="8"/>
        <v>-72.900000000000006</v>
      </c>
      <c r="S67" s="74">
        <f t="shared" si="8"/>
        <v>-75</v>
      </c>
      <c r="T67" s="74">
        <f t="shared" si="8"/>
        <v>-54.2</v>
      </c>
      <c r="U67" s="74">
        <f t="shared" si="8"/>
        <v>-70</v>
      </c>
      <c r="V67" s="74">
        <f t="shared" si="8"/>
        <v>-48.1</v>
      </c>
      <c r="W67" s="74">
        <f t="shared" si="8"/>
        <v>-52.8</v>
      </c>
      <c r="X67" s="74">
        <f t="shared" si="8"/>
        <v>-59.4</v>
      </c>
      <c r="Y67" s="74">
        <f t="shared" si="8"/>
        <v>-60</v>
      </c>
      <c r="Z67" s="74">
        <f t="shared" si="8"/>
        <v>-58.8</v>
      </c>
      <c r="AA67" s="74">
        <f t="shared" si="8"/>
        <v>-50.7</v>
      </c>
      <c r="AB67" s="74">
        <f t="shared" si="8"/>
        <v>-59.8</v>
      </c>
      <c r="AC67" s="74">
        <f t="shared" si="8"/>
        <v>-58.8</v>
      </c>
      <c r="AD67" s="74">
        <f t="shared" si="8"/>
        <v>-65</v>
      </c>
      <c r="AE67" s="74">
        <f t="shared" si="8"/>
        <v>-68.5</v>
      </c>
      <c r="AF67" s="74">
        <f t="shared" si="8"/>
        <v>-42.9</v>
      </c>
      <c r="AG67" s="79">
        <f>SUM(AG56:AG66)</f>
        <v>0</v>
      </c>
      <c r="AH67" s="56">
        <f t="shared" si="2"/>
        <v>-26.6</v>
      </c>
      <c r="AI67" s="57">
        <f t="shared" si="3"/>
        <v>-76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791.43999999999994</v>
      </c>
      <c r="C72" s="90">
        <f t="shared" ref="C72:AG72" si="10">C67+C55+C51+C37+C71</f>
        <v>799.64</v>
      </c>
      <c r="D72" s="90">
        <f t="shared" si="10"/>
        <v>791.93999999999994</v>
      </c>
      <c r="E72" s="90">
        <f t="shared" si="10"/>
        <v>795.43999999999994</v>
      </c>
      <c r="F72" s="90">
        <f t="shared" si="10"/>
        <v>838.44</v>
      </c>
      <c r="G72" s="90">
        <f t="shared" si="10"/>
        <v>870.6400000000001</v>
      </c>
      <c r="H72" s="90">
        <f t="shared" si="10"/>
        <v>911.6400000000001</v>
      </c>
      <c r="I72" s="90">
        <f t="shared" si="10"/>
        <v>922.6400000000001</v>
      </c>
      <c r="J72" s="90">
        <f t="shared" si="10"/>
        <v>941.54000000000008</v>
      </c>
      <c r="K72" s="90">
        <f t="shared" si="10"/>
        <v>959.94</v>
      </c>
      <c r="L72" s="90">
        <f t="shared" si="10"/>
        <v>977.94</v>
      </c>
      <c r="M72" s="90">
        <f t="shared" si="10"/>
        <v>945.1400000000001</v>
      </c>
      <c r="N72" s="90">
        <f t="shared" si="10"/>
        <v>866.24</v>
      </c>
      <c r="O72" s="90">
        <f t="shared" si="10"/>
        <v>811.83999999999992</v>
      </c>
      <c r="P72" s="90">
        <f t="shared" si="10"/>
        <v>747.84</v>
      </c>
      <c r="Q72" s="90">
        <f t="shared" si="10"/>
        <v>742.44</v>
      </c>
      <c r="R72" s="90">
        <f t="shared" si="10"/>
        <v>730.33999999999992</v>
      </c>
      <c r="S72" s="90">
        <f t="shared" si="10"/>
        <v>731.43999999999994</v>
      </c>
      <c r="T72" s="90">
        <f t="shared" si="10"/>
        <v>768.64</v>
      </c>
      <c r="U72" s="90">
        <f t="shared" si="10"/>
        <v>866.24</v>
      </c>
      <c r="V72" s="90">
        <f t="shared" si="10"/>
        <v>1070.1399999999999</v>
      </c>
      <c r="W72" s="90">
        <f t="shared" si="10"/>
        <v>1244.7399999999998</v>
      </c>
      <c r="X72" s="90">
        <f t="shared" si="10"/>
        <v>1266.04</v>
      </c>
      <c r="Y72" s="90">
        <f t="shared" si="10"/>
        <v>1200.44</v>
      </c>
      <c r="Z72" s="90">
        <f t="shared" si="10"/>
        <v>1201.6400000000001</v>
      </c>
      <c r="AA72" s="90">
        <f t="shared" si="10"/>
        <v>1133.3400000000001</v>
      </c>
      <c r="AB72" s="90">
        <f t="shared" si="10"/>
        <v>1092.7400000000002</v>
      </c>
      <c r="AC72" s="90">
        <f t="shared" si="10"/>
        <v>1055.6400000000001</v>
      </c>
      <c r="AD72" s="90">
        <f t="shared" si="10"/>
        <v>905.54</v>
      </c>
      <c r="AE72" s="90">
        <f t="shared" si="10"/>
        <v>795.04</v>
      </c>
      <c r="AF72" s="90">
        <f t="shared" si="10"/>
        <v>779.33999999999992</v>
      </c>
      <c r="AG72" s="90">
        <f t="shared" si="10"/>
        <v>2133.14</v>
      </c>
      <c r="AH72" s="56">
        <f t="shared" si="2"/>
        <v>1266.04</v>
      </c>
      <c r="AI72" s="57">
        <f t="shared" si="3"/>
        <v>730.33999999999992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791.43999999999994</v>
      </c>
      <c r="C74" s="90">
        <f t="shared" ref="C74:AF74" si="11">C71+C67+C55+C51+C37+C73</f>
        <v>799.64</v>
      </c>
      <c r="D74" s="90">
        <f t="shared" si="11"/>
        <v>791.93999999999994</v>
      </c>
      <c r="E74" s="90">
        <f t="shared" si="11"/>
        <v>795.43999999999994</v>
      </c>
      <c r="F74" s="90">
        <f t="shared" si="11"/>
        <v>838.44</v>
      </c>
      <c r="G74" s="90">
        <f t="shared" si="11"/>
        <v>870.6400000000001</v>
      </c>
      <c r="H74" s="90">
        <f t="shared" si="11"/>
        <v>911.6400000000001</v>
      </c>
      <c r="I74" s="90">
        <f t="shared" si="11"/>
        <v>922.6400000000001</v>
      </c>
      <c r="J74" s="90">
        <f t="shared" si="11"/>
        <v>941.54000000000008</v>
      </c>
      <c r="K74" s="90">
        <f t="shared" si="11"/>
        <v>959.94</v>
      </c>
      <c r="L74" s="90">
        <f t="shared" si="11"/>
        <v>977.94</v>
      </c>
      <c r="M74" s="90">
        <f t="shared" si="11"/>
        <v>945.1400000000001</v>
      </c>
      <c r="N74" s="90">
        <f t="shared" si="11"/>
        <v>866.24</v>
      </c>
      <c r="O74" s="90">
        <f t="shared" si="11"/>
        <v>811.83999999999992</v>
      </c>
      <c r="P74" s="90">
        <f t="shared" si="11"/>
        <v>747.84</v>
      </c>
      <c r="Q74" s="90">
        <f t="shared" si="11"/>
        <v>742.44</v>
      </c>
      <c r="R74" s="90">
        <f t="shared" si="11"/>
        <v>730.33999999999992</v>
      </c>
      <c r="S74" s="90">
        <f t="shared" si="11"/>
        <v>731.43999999999994</v>
      </c>
      <c r="T74" s="90">
        <f t="shared" si="11"/>
        <v>768.64</v>
      </c>
      <c r="U74" s="90">
        <f t="shared" si="11"/>
        <v>866.24</v>
      </c>
      <c r="V74" s="90">
        <f t="shared" si="11"/>
        <v>1070.1399999999999</v>
      </c>
      <c r="W74" s="90">
        <f t="shared" si="11"/>
        <v>1244.7399999999998</v>
      </c>
      <c r="X74" s="90">
        <f t="shared" si="11"/>
        <v>1266.04</v>
      </c>
      <c r="Y74" s="90">
        <f t="shared" si="11"/>
        <v>1200.44</v>
      </c>
      <c r="Z74" s="90">
        <f t="shared" si="11"/>
        <v>1201.6400000000001</v>
      </c>
      <c r="AA74" s="90">
        <f t="shared" si="11"/>
        <v>1133.3400000000001</v>
      </c>
      <c r="AB74" s="90">
        <f t="shared" si="11"/>
        <v>1092.7400000000002</v>
      </c>
      <c r="AC74" s="90">
        <f t="shared" si="11"/>
        <v>1055.6400000000001</v>
      </c>
      <c r="AD74" s="90">
        <f t="shared" si="11"/>
        <v>905.54</v>
      </c>
      <c r="AE74" s="90">
        <f t="shared" si="11"/>
        <v>795.04</v>
      </c>
      <c r="AF74" s="90">
        <f t="shared" si="11"/>
        <v>779.33999999999992</v>
      </c>
      <c r="AG74" s="79">
        <f>AG71+AG67+AG55+AG51+AG37+AG73</f>
        <v>2133.14</v>
      </c>
      <c r="AH74" s="56">
        <f t="shared" si="2"/>
        <v>1266.04</v>
      </c>
      <c r="AI74" s="57">
        <f t="shared" si="3"/>
        <v>730.33999999999992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63</v>
      </c>
      <c r="C78" s="60">
        <f t="shared" ref="C78:AF78" si="15">IF(C58&lt;0,C58*-1,0)</f>
        <v>55</v>
      </c>
      <c r="D78" s="60">
        <f t="shared" si="15"/>
        <v>51</v>
      </c>
      <c r="E78" s="60">
        <f t="shared" si="15"/>
        <v>46</v>
      </c>
      <c r="F78" s="60">
        <f t="shared" si="15"/>
        <v>49</v>
      </c>
      <c r="G78" s="60">
        <f t="shared" si="15"/>
        <v>47</v>
      </c>
      <c r="H78" s="60">
        <f t="shared" si="15"/>
        <v>51</v>
      </c>
      <c r="I78" s="60">
        <f t="shared" si="15"/>
        <v>46</v>
      </c>
      <c r="J78" s="60">
        <f t="shared" si="15"/>
        <v>47</v>
      </c>
      <c r="K78" s="60">
        <f t="shared" si="15"/>
        <v>26.6</v>
      </c>
      <c r="L78" s="60">
        <f t="shared" si="15"/>
        <v>46</v>
      </c>
      <c r="M78" s="60">
        <f t="shared" si="15"/>
        <v>65</v>
      </c>
      <c r="N78" s="60">
        <f t="shared" si="15"/>
        <v>70</v>
      </c>
      <c r="O78" s="60">
        <f t="shared" si="15"/>
        <v>50.3</v>
      </c>
      <c r="P78" s="60">
        <f t="shared" si="15"/>
        <v>76</v>
      </c>
      <c r="Q78" s="60">
        <f t="shared" si="15"/>
        <v>61.1</v>
      </c>
      <c r="R78" s="60">
        <f t="shared" si="15"/>
        <v>72.900000000000006</v>
      </c>
      <c r="S78" s="60">
        <f t="shared" si="15"/>
        <v>75</v>
      </c>
      <c r="T78" s="60">
        <f t="shared" si="15"/>
        <v>54.2</v>
      </c>
      <c r="U78" s="60">
        <f t="shared" si="15"/>
        <v>70</v>
      </c>
      <c r="V78" s="60">
        <f t="shared" si="15"/>
        <v>48.1</v>
      </c>
      <c r="W78" s="60">
        <f t="shared" si="15"/>
        <v>52.8</v>
      </c>
      <c r="X78" s="60">
        <f t="shared" si="15"/>
        <v>59.4</v>
      </c>
      <c r="Y78" s="60">
        <f t="shared" si="15"/>
        <v>60</v>
      </c>
      <c r="Z78" s="60">
        <f t="shared" si="15"/>
        <v>58.8</v>
      </c>
      <c r="AA78" s="60">
        <f t="shared" si="15"/>
        <v>50.7</v>
      </c>
      <c r="AB78" s="60">
        <f t="shared" si="15"/>
        <v>59.8</v>
      </c>
      <c r="AC78" s="60">
        <f t="shared" si="15"/>
        <v>58.8</v>
      </c>
      <c r="AD78" s="60">
        <f t="shared" si="15"/>
        <v>65</v>
      </c>
      <c r="AE78" s="60">
        <f t="shared" si="15"/>
        <v>68.5</v>
      </c>
      <c r="AF78" s="60">
        <f t="shared" si="15"/>
        <v>42.9</v>
      </c>
      <c r="AG78" s="93"/>
      <c r="AH78" s="56">
        <f t="shared" ref="AH78:AH90" si="16">MAX(B78:AF78)</f>
        <v>76</v>
      </c>
      <c r="AI78" s="57">
        <f t="shared" ref="AI78:AI90" si="17">MIN(B78:AF78)</f>
        <v>26.6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63</v>
      </c>
      <c r="C81" s="74">
        <f t="shared" si="19"/>
        <v>55</v>
      </c>
      <c r="D81" s="74">
        <f t="shared" si="19"/>
        <v>51</v>
      </c>
      <c r="E81" s="74">
        <f t="shared" si="19"/>
        <v>46</v>
      </c>
      <c r="F81" s="74">
        <f t="shared" si="19"/>
        <v>49</v>
      </c>
      <c r="G81" s="74">
        <f t="shared" si="19"/>
        <v>47</v>
      </c>
      <c r="H81" s="74">
        <f t="shared" si="19"/>
        <v>51</v>
      </c>
      <c r="I81" s="74">
        <f t="shared" si="19"/>
        <v>46</v>
      </c>
      <c r="J81" s="74">
        <f t="shared" si="19"/>
        <v>47</v>
      </c>
      <c r="K81" s="74">
        <f t="shared" si="19"/>
        <v>26.6</v>
      </c>
      <c r="L81" s="74">
        <f t="shared" si="19"/>
        <v>46</v>
      </c>
      <c r="M81" s="74">
        <f t="shared" si="19"/>
        <v>65</v>
      </c>
      <c r="N81" s="74">
        <f t="shared" si="19"/>
        <v>70</v>
      </c>
      <c r="O81" s="74">
        <f t="shared" si="19"/>
        <v>50.3</v>
      </c>
      <c r="P81" s="74">
        <f t="shared" si="19"/>
        <v>76</v>
      </c>
      <c r="Q81" s="74">
        <f t="shared" si="19"/>
        <v>61.1</v>
      </c>
      <c r="R81" s="74">
        <f t="shared" si="19"/>
        <v>72.900000000000006</v>
      </c>
      <c r="S81" s="74">
        <f t="shared" si="19"/>
        <v>75</v>
      </c>
      <c r="T81" s="74">
        <f t="shared" si="19"/>
        <v>54.2</v>
      </c>
      <c r="U81" s="74">
        <f t="shared" si="19"/>
        <v>70</v>
      </c>
      <c r="V81" s="74">
        <f t="shared" si="19"/>
        <v>48.1</v>
      </c>
      <c r="W81" s="74">
        <f t="shared" si="19"/>
        <v>52.8</v>
      </c>
      <c r="X81" s="74">
        <f t="shared" si="19"/>
        <v>59.4</v>
      </c>
      <c r="Y81" s="74">
        <f t="shared" si="19"/>
        <v>60</v>
      </c>
      <c r="Z81" s="74">
        <f t="shared" si="19"/>
        <v>58.8</v>
      </c>
      <c r="AA81" s="74">
        <f t="shared" si="19"/>
        <v>50.7</v>
      </c>
      <c r="AB81" s="74">
        <f t="shared" si="19"/>
        <v>59.8</v>
      </c>
      <c r="AC81" s="74">
        <f t="shared" si="19"/>
        <v>58.8</v>
      </c>
      <c r="AD81" s="74">
        <f t="shared" si="19"/>
        <v>65</v>
      </c>
      <c r="AE81" s="74">
        <f t="shared" si="19"/>
        <v>68.5</v>
      </c>
      <c r="AF81" s="74">
        <f t="shared" si="19"/>
        <v>42.9</v>
      </c>
      <c r="AG81" s="79">
        <f t="shared" si="19"/>
        <v>0</v>
      </c>
      <c r="AH81" s="56">
        <f t="shared" si="16"/>
        <v>76</v>
      </c>
      <c r="AI81" s="57">
        <f t="shared" si="17"/>
        <v>26.6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1708.8799999999999</v>
      </c>
      <c r="C82" s="74">
        <f t="shared" si="20"/>
        <v>1709.28</v>
      </c>
      <c r="D82" s="74">
        <f t="shared" si="20"/>
        <v>1685.8799999999999</v>
      </c>
      <c r="E82" s="74">
        <f t="shared" si="20"/>
        <v>1682.8799999999999</v>
      </c>
      <c r="F82" s="74">
        <f t="shared" si="20"/>
        <v>1774.88</v>
      </c>
      <c r="G82" s="74">
        <f t="shared" si="20"/>
        <v>1835.2800000000002</v>
      </c>
      <c r="H82" s="74">
        <f t="shared" si="20"/>
        <v>1925.2800000000002</v>
      </c>
      <c r="I82" s="74">
        <f t="shared" si="20"/>
        <v>1937.2800000000002</v>
      </c>
      <c r="J82" s="74">
        <f t="shared" si="20"/>
        <v>1977.0800000000002</v>
      </c>
      <c r="K82" s="74">
        <f t="shared" si="20"/>
        <v>1973.08</v>
      </c>
      <c r="L82" s="74">
        <f t="shared" si="20"/>
        <v>2047.88</v>
      </c>
      <c r="M82" s="74">
        <f t="shared" si="20"/>
        <v>2020.2800000000002</v>
      </c>
      <c r="N82" s="74">
        <f t="shared" si="20"/>
        <v>1872.48</v>
      </c>
      <c r="O82" s="74">
        <f t="shared" si="20"/>
        <v>1724.2799999999997</v>
      </c>
      <c r="P82" s="74">
        <f t="shared" si="20"/>
        <v>1647.68</v>
      </c>
      <c r="Q82" s="74">
        <f t="shared" si="20"/>
        <v>1607.08</v>
      </c>
      <c r="R82" s="74">
        <f t="shared" si="20"/>
        <v>1606.48</v>
      </c>
      <c r="S82" s="74">
        <f t="shared" si="20"/>
        <v>1612.8799999999999</v>
      </c>
      <c r="T82" s="74">
        <f t="shared" si="20"/>
        <v>1645.68</v>
      </c>
      <c r="U82" s="74">
        <f t="shared" si="20"/>
        <v>1872.48</v>
      </c>
      <c r="V82" s="74">
        <f t="shared" si="20"/>
        <v>2236.4799999999996</v>
      </c>
      <c r="W82" s="74">
        <f t="shared" si="20"/>
        <v>2595.08</v>
      </c>
      <c r="X82" s="74">
        <f t="shared" si="20"/>
        <v>2650.88</v>
      </c>
      <c r="Y82" s="74">
        <f t="shared" si="20"/>
        <v>2520.88</v>
      </c>
      <c r="Z82" s="74">
        <f t="shared" si="20"/>
        <v>2520.8800000000006</v>
      </c>
      <c r="AA82" s="74">
        <f t="shared" si="20"/>
        <v>2368.08</v>
      </c>
      <c r="AB82" s="74">
        <f t="shared" si="20"/>
        <v>2305.0800000000008</v>
      </c>
      <c r="AC82" s="74">
        <f t="shared" si="20"/>
        <v>2228.8800000000006</v>
      </c>
      <c r="AD82" s="74">
        <f t="shared" si="20"/>
        <v>1941.08</v>
      </c>
      <c r="AE82" s="74">
        <f t="shared" si="20"/>
        <v>1727.08</v>
      </c>
      <c r="AF82" s="74">
        <f t="shared" si="20"/>
        <v>1644.48</v>
      </c>
      <c r="AG82" s="79">
        <f t="shared" si="20"/>
        <v>4338.08</v>
      </c>
      <c r="AH82" s="56">
        <f t="shared" si="16"/>
        <v>2650.88</v>
      </c>
      <c r="AI82" s="57">
        <f t="shared" si="17"/>
        <v>1606.48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49.89</v>
      </c>
      <c r="C83" s="96">
        <v>49.904000000000003</v>
      </c>
      <c r="D83" s="96">
        <v>50.055</v>
      </c>
      <c r="E83" s="96">
        <v>50.027999999999999</v>
      </c>
      <c r="F83" s="96">
        <v>49.994999999999997</v>
      </c>
      <c r="G83" s="96">
        <v>50</v>
      </c>
      <c r="H83" s="96">
        <v>50.031999999999996</v>
      </c>
      <c r="I83" s="96">
        <v>50.052</v>
      </c>
      <c r="J83" s="96">
        <v>50.05</v>
      </c>
      <c r="K83" s="96">
        <v>50</v>
      </c>
      <c r="L83" s="96">
        <v>50</v>
      </c>
      <c r="M83" s="96">
        <v>50</v>
      </c>
      <c r="N83" s="96">
        <v>50</v>
      </c>
      <c r="O83" s="96">
        <v>50.067</v>
      </c>
      <c r="P83" s="96">
        <v>49.956000000000003</v>
      </c>
      <c r="Q83" s="96">
        <v>50.067</v>
      </c>
      <c r="R83" s="96">
        <v>50.143999999999998</v>
      </c>
      <c r="S83" s="96">
        <v>49.94</v>
      </c>
      <c r="T83" s="96">
        <v>49.82</v>
      </c>
      <c r="U83" s="96">
        <v>50.04</v>
      </c>
      <c r="V83" s="96">
        <v>50.07</v>
      </c>
      <c r="W83" s="96"/>
      <c r="X83" s="96"/>
      <c r="Y83" s="96">
        <v>50.1</v>
      </c>
      <c r="Z83" s="96">
        <v>50.03</v>
      </c>
      <c r="AA83" s="96">
        <v>50.045999999999999</v>
      </c>
      <c r="AB83" s="96">
        <v>49.96</v>
      </c>
      <c r="AC83" s="96">
        <v>49.948999999999998</v>
      </c>
      <c r="AD83" s="96">
        <v>49.930999999999997</v>
      </c>
      <c r="AE83" s="96">
        <v>49.996000000000002</v>
      </c>
      <c r="AF83" s="96">
        <v>49.996000000000002</v>
      </c>
      <c r="AG83" s="98"/>
      <c r="AH83" s="56">
        <f t="shared" si="16"/>
        <v>50.143999999999998</v>
      </c>
      <c r="AI83" s="57">
        <f t="shared" si="17"/>
        <v>49.82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126.7</v>
      </c>
      <c r="C84" s="52">
        <v>126.5</v>
      </c>
      <c r="D84" s="52">
        <v>126.5</v>
      </c>
      <c r="E84" s="52">
        <v>127</v>
      </c>
      <c r="F84" s="52">
        <v>127</v>
      </c>
      <c r="G84" s="52">
        <v>128</v>
      </c>
      <c r="H84" s="52">
        <v>127</v>
      </c>
      <c r="I84" s="52">
        <v>126</v>
      </c>
      <c r="J84" s="52">
        <v>125.9</v>
      </c>
      <c r="K84" s="52">
        <v>125.6</v>
      </c>
      <c r="L84" s="52">
        <v>125</v>
      </c>
      <c r="M84" s="52">
        <v>125</v>
      </c>
      <c r="N84" s="52">
        <v>127</v>
      </c>
      <c r="O84" s="52">
        <v>127.6</v>
      </c>
      <c r="P84" s="52">
        <v>127.9</v>
      </c>
      <c r="Q84" s="52">
        <v>128.6</v>
      </c>
      <c r="R84" s="52">
        <v>128.9</v>
      </c>
      <c r="S84" s="52">
        <v>129.4</v>
      </c>
      <c r="T84" s="52">
        <v>129.4</v>
      </c>
      <c r="U84" s="52">
        <v>129.19999999999999</v>
      </c>
      <c r="V84" s="100">
        <v>128.80000000000001</v>
      </c>
      <c r="W84" s="100"/>
      <c r="X84" s="100"/>
      <c r="Y84" s="100">
        <v>128.5</v>
      </c>
      <c r="Z84" s="100">
        <v>128.30000000000001</v>
      </c>
      <c r="AA84" s="52">
        <v>128.69999999999999</v>
      </c>
      <c r="AB84" s="52">
        <v>128.5</v>
      </c>
      <c r="AC84" s="52">
        <v>129.19999999999999</v>
      </c>
      <c r="AD84" s="52">
        <v>130.1</v>
      </c>
      <c r="AE84" s="52">
        <v>130.6</v>
      </c>
      <c r="AF84" s="52">
        <v>130.6</v>
      </c>
      <c r="AG84" s="102"/>
      <c r="AH84" s="56">
        <f t="shared" si="16"/>
        <v>130.6</v>
      </c>
      <c r="AI84" s="57">
        <f t="shared" si="17"/>
        <v>125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130.19999999999999</v>
      </c>
      <c r="C85" s="52">
        <v>130.19999999999999</v>
      </c>
      <c r="D85" s="52">
        <v>130.19999999999999</v>
      </c>
      <c r="E85" s="52">
        <v>130</v>
      </c>
      <c r="F85" s="52">
        <v>130</v>
      </c>
      <c r="G85" s="52">
        <v>131</v>
      </c>
      <c r="H85" s="52">
        <v>129.69999999999999</v>
      </c>
      <c r="I85" s="52">
        <v>128.5</v>
      </c>
      <c r="J85" s="52">
        <v>128.80000000000001</v>
      </c>
      <c r="K85" s="52">
        <v>128.30000000000001</v>
      </c>
      <c r="L85" s="52">
        <v>128</v>
      </c>
      <c r="M85" s="52">
        <v>128</v>
      </c>
      <c r="N85" s="52">
        <v>129</v>
      </c>
      <c r="O85" s="52">
        <v>129.69999999999999</v>
      </c>
      <c r="P85" s="52">
        <v>130</v>
      </c>
      <c r="Q85" s="52">
        <v>130.9</v>
      </c>
      <c r="R85" s="52">
        <v>131</v>
      </c>
      <c r="S85" s="52">
        <v>131.30000000000001</v>
      </c>
      <c r="T85" s="52">
        <v>131.80000000000001</v>
      </c>
      <c r="U85" s="52">
        <v>131.19999999999999</v>
      </c>
      <c r="V85" s="100">
        <v>130.4</v>
      </c>
      <c r="W85" s="100"/>
      <c r="X85" s="100"/>
      <c r="Y85" s="100">
        <v>129.69999999999999</v>
      </c>
      <c r="Z85" s="100">
        <v>129.5</v>
      </c>
      <c r="AA85" s="52">
        <v>130.30000000000001</v>
      </c>
      <c r="AB85" s="52">
        <v>130</v>
      </c>
      <c r="AC85" s="52">
        <v>130.80000000000001</v>
      </c>
      <c r="AD85" s="52">
        <v>132.19999999999999</v>
      </c>
      <c r="AE85" s="52">
        <v>132.9</v>
      </c>
      <c r="AF85" s="52">
        <v>132.9</v>
      </c>
      <c r="AG85" s="102"/>
      <c r="AH85" s="56">
        <f t="shared" si="16"/>
        <v>132.9</v>
      </c>
      <c r="AI85" s="57">
        <f t="shared" si="17"/>
        <v>128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127.1</v>
      </c>
      <c r="C86" s="52">
        <v>127.9</v>
      </c>
      <c r="D86" s="52">
        <v>127.9</v>
      </c>
      <c r="E86" s="52">
        <v>128</v>
      </c>
      <c r="F86" s="52">
        <v>128</v>
      </c>
      <c r="G86" s="52">
        <v>127.6</v>
      </c>
      <c r="H86" s="52">
        <v>127.8</v>
      </c>
      <c r="I86" s="52">
        <v>127</v>
      </c>
      <c r="J86" s="52">
        <v>128</v>
      </c>
      <c r="K86" s="52">
        <v>127.6</v>
      </c>
      <c r="L86" s="52">
        <v>127</v>
      </c>
      <c r="M86" s="52">
        <v>127</v>
      </c>
      <c r="N86" s="52">
        <v>129</v>
      </c>
      <c r="O86" s="52">
        <v>129.80000000000001</v>
      </c>
      <c r="P86" s="52">
        <v>129.4</v>
      </c>
      <c r="Q86" s="52">
        <v>130.6</v>
      </c>
      <c r="R86" s="52">
        <v>131.5</v>
      </c>
      <c r="S86" s="52">
        <v>130.9</v>
      </c>
      <c r="T86" s="52">
        <v>130.5</v>
      </c>
      <c r="U86" s="52">
        <v>131.5</v>
      </c>
      <c r="V86" s="52">
        <v>128.1</v>
      </c>
      <c r="W86" s="100"/>
      <c r="X86" s="100"/>
      <c r="Y86" s="52">
        <v>129.69999999999999</v>
      </c>
      <c r="Z86" s="52">
        <v>128.9</v>
      </c>
      <c r="AA86" s="52">
        <v>130.19999999999999</v>
      </c>
      <c r="AB86" s="52">
        <v>130.30000000000001</v>
      </c>
      <c r="AC86" s="52">
        <v>131.1</v>
      </c>
      <c r="AD86" s="52">
        <v>130.69999999999999</v>
      </c>
      <c r="AE86" s="52">
        <v>129.5</v>
      </c>
      <c r="AF86" s="52">
        <v>129.5</v>
      </c>
      <c r="AG86" s="102"/>
      <c r="AH86" s="56">
        <f t="shared" si="16"/>
        <v>131.5</v>
      </c>
      <c r="AI86" s="57">
        <f t="shared" si="17"/>
        <v>127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131.6</v>
      </c>
      <c r="C87" s="52">
        <v>131.6</v>
      </c>
      <c r="D87" s="52">
        <v>131.6</v>
      </c>
      <c r="E87" s="52">
        <v>132</v>
      </c>
      <c r="F87" s="52">
        <v>132</v>
      </c>
      <c r="G87" s="52">
        <v>132</v>
      </c>
      <c r="H87" s="52">
        <v>132</v>
      </c>
      <c r="I87" s="52">
        <v>131</v>
      </c>
      <c r="J87" s="52">
        <v>131.19999999999999</v>
      </c>
      <c r="K87" s="52">
        <v>130.80000000000001</v>
      </c>
      <c r="L87" s="52">
        <v>130.9</v>
      </c>
      <c r="M87" s="52">
        <v>130.9</v>
      </c>
      <c r="N87" s="52">
        <v>132</v>
      </c>
      <c r="O87" s="52">
        <v>133.1</v>
      </c>
      <c r="P87" s="52">
        <v>133.30000000000001</v>
      </c>
      <c r="Q87" s="52">
        <v>134.1</v>
      </c>
      <c r="R87" s="52">
        <v>134.9</v>
      </c>
      <c r="S87" s="52">
        <v>134.5</v>
      </c>
      <c r="T87" s="52">
        <v>134</v>
      </c>
      <c r="U87" s="52">
        <v>134.6</v>
      </c>
      <c r="V87" s="52">
        <v>130.19999999999999</v>
      </c>
      <c r="W87" s="100"/>
      <c r="X87" s="100"/>
      <c r="Y87" s="52">
        <v>133.9</v>
      </c>
      <c r="Z87" s="52">
        <v>131.9</v>
      </c>
      <c r="AA87" s="52">
        <v>132.69999999999999</v>
      </c>
      <c r="AB87" s="52">
        <v>132.9</v>
      </c>
      <c r="AC87" s="52">
        <v>134</v>
      </c>
      <c r="AD87" s="52">
        <v>134.6</v>
      </c>
      <c r="AE87" s="52">
        <v>134.19999999999999</v>
      </c>
      <c r="AF87" s="52">
        <v>134.19999999999999</v>
      </c>
      <c r="AG87" s="102"/>
      <c r="AH87" s="56">
        <f t="shared" si="16"/>
        <v>134.9</v>
      </c>
      <c r="AI87" s="57">
        <f t="shared" si="17"/>
        <v>130.19999999999999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133.5</v>
      </c>
      <c r="C88" s="104">
        <v>132.69999999999999</v>
      </c>
      <c r="D88" s="104">
        <v>132.69999999999999</v>
      </c>
      <c r="E88" s="104">
        <v>132.6</v>
      </c>
      <c r="F88" s="104">
        <v>132.6</v>
      </c>
      <c r="G88" s="104">
        <v>130</v>
      </c>
      <c r="H88" s="104">
        <v>132</v>
      </c>
      <c r="I88" s="104">
        <v>131</v>
      </c>
      <c r="J88" s="104">
        <v>133.6</v>
      </c>
      <c r="K88" s="104">
        <v>133.1</v>
      </c>
      <c r="L88" s="104">
        <v>133</v>
      </c>
      <c r="M88" s="104">
        <v>133</v>
      </c>
      <c r="N88" s="104">
        <v>131</v>
      </c>
      <c r="O88" s="104">
        <v>132.69999999999999</v>
      </c>
      <c r="P88" s="104">
        <v>132.4</v>
      </c>
      <c r="Q88" s="104">
        <v>132.5</v>
      </c>
      <c r="R88" s="104">
        <v>131.19999999999999</v>
      </c>
      <c r="S88" s="104">
        <v>133</v>
      </c>
      <c r="T88" s="104">
        <v>133.30000000000001</v>
      </c>
      <c r="U88" s="104">
        <v>132.69999999999999</v>
      </c>
      <c r="V88" s="104">
        <v>133.19999999999999</v>
      </c>
      <c r="W88" s="100"/>
      <c r="X88" s="100"/>
      <c r="Y88" s="104">
        <v>133.80000000000001</v>
      </c>
      <c r="Z88" s="104">
        <v>134.30000000000001</v>
      </c>
      <c r="AA88" s="104">
        <v>134.30000000000001</v>
      </c>
      <c r="AB88" s="104">
        <v>134.30000000000001</v>
      </c>
      <c r="AC88" s="104">
        <v>134.19999999999999</v>
      </c>
      <c r="AD88" s="104">
        <v>133.6</v>
      </c>
      <c r="AE88" s="104">
        <v>133.30000000000001</v>
      </c>
      <c r="AF88" s="104">
        <v>133.30000000000001</v>
      </c>
      <c r="AG88" s="106"/>
      <c r="AH88" s="56">
        <f t="shared" si="16"/>
        <v>134.30000000000001</v>
      </c>
      <c r="AI88" s="57">
        <f t="shared" si="17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136.1</v>
      </c>
      <c r="C89" s="52">
        <v>136.1</v>
      </c>
      <c r="D89" s="52">
        <v>136.1</v>
      </c>
      <c r="E89" s="52">
        <v>135</v>
      </c>
      <c r="F89" s="52">
        <v>135</v>
      </c>
      <c r="G89" s="52">
        <v>131</v>
      </c>
      <c r="H89" s="52">
        <v>134</v>
      </c>
      <c r="I89" s="52">
        <v>132</v>
      </c>
      <c r="J89" s="52">
        <v>131.9</v>
      </c>
      <c r="K89" s="52">
        <v>131</v>
      </c>
      <c r="L89" s="52">
        <v>130</v>
      </c>
      <c r="M89" s="52">
        <v>130</v>
      </c>
      <c r="N89" s="52">
        <v>131</v>
      </c>
      <c r="O89" s="52">
        <v>132.9</v>
      </c>
      <c r="P89" s="52">
        <v>134.30000000000001</v>
      </c>
      <c r="Q89" s="52">
        <v>135.30000000000001</v>
      </c>
      <c r="R89" s="52">
        <v>133.80000000000001</v>
      </c>
      <c r="S89" s="52">
        <v>135</v>
      </c>
      <c r="T89" s="52">
        <v>135.19999999999999</v>
      </c>
      <c r="U89" s="52">
        <v>132.80000000000001</v>
      </c>
      <c r="V89" s="52">
        <v>132.80000000000001</v>
      </c>
      <c r="W89" s="100"/>
      <c r="X89" s="100"/>
      <c r="Y89" s="52">
        <v>134.6</v>
      </c>
      <c r="Z89" s="52">
        <v>133.30000000000001</v>
      </c>
      <c r="AA89" s="52">
        <v>134.6</v>
      </c>
      <c r="AB89" s="52">
        <v>134.69999999999999</v>
      </c>
      <c r="AC89" s="52">
        <v>135.1</v>
      </c>
      <c r="AD89" s="52">
        <v>136.4</v>
      </c>
      <c r="AE89" s="52">
        <v>133.1</v>
      </c>
      <c r="AF89" s="52">
        <v>133.1</v>
      </c>
      <c r="AG89" s="102"/>
      <c r="AH89" s="56">
        <f t="shared" si="16"/>
        <v>136.4</v>
      </c>
      <c r="AI89" s="57">
        <f t="shared" si="17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66.400000000000006</v>
      </c>
      <c r="C90" s="107">
        <v>66.5</v>
      </c>
      <c r="D90" s="107">
        <v>66.5</v>
      </c>
      <c r="E90" s="107">
        <v>66.400000000000006</v>
      </c>
      <c r="F90" s="107">
        <v>66.400000000000006</v>
      </c>
      <c r="G90" s="107">
        <v>66.599999999999994</v>
      </c>
      <c r="H90" s="107">
        <v>66</v>
      </c>
      <c r="I90" s="107">
        <v>65.400000000000006</v>
      </c>
      <c r="J90" s="107">
        <v>65.5</v>
      </c>
      <c r="K90" s="107">
        <v>65.3</v>
      </c>
      <c r="L90" s="107">
        <v>65.3</v>
      </c>
      <c r="M90" s="107">
        <v>65.3</v>
      </c>
      <c r="N90" s="107">
        <v>66</v>
      </c>
      <c r="O90" s="107">
        <v>66</v>
      </c>
      <c r="P90" s="107">
        <v>66.2</v>
      </c>
      <c r="Q90" s="107">
        <v>66.599999999999994</v>
      </c>
      <c r="R90" s="107">
        <v>66.599999999999994</v>
      </c>
      <c r="S90" s="107">
        <v>66.7</v>
      </c>
      <c r="T90" s="107">
        <v>67</v>
      </c>
      <c r="U90" s="107">
        <v>66.900000000000006</v>
      </c>
      <c r="V90" s="107">
        <v>66.400000000000006</v>
      </c>
      <c r="W90" s="107"/>
      <c r="X90" s="107"/>
      <c r="Y90" s="107">
        <v>66</v>
      </c>
      <c r="Z90" s="107">
        <v>65.900000000000006</v>
      </c>
      <c r="AA90" s="107">
        <v>66.400000000000006</v>
      </c>
      <c r="AB90" s="107">
        <v>66.099999999999994</v>
      </c>
      <c r="AC90" s="107">
        <v>66.599999999999994</v>
      </c>
      <c r="AD90" s="107">
        <v>67.400000000000006</v>
      </c>
      <c r="AE90" s="107">
        <v>67.900000000000006</v>
      </c>
      <c r="AF90" s="107">
        <v>67.900000000000006</v>
      </c>
      <c r="AG90" s="109"/>
      <c r="AH90" s="56">
        <f t="shared" si="16"/>
        <v>67.900000000000006</v>
      </c>
      <c r="AI90" s="57">
        <f t="shared" si="17"/>
        <v>65.3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169.83999999999995</v>
      </c>
      <c r="C92" s="114">
        <f t="shared" ref="C92:AF92" si="21">SUM(C15,C18,C21:C22,C41,C43:C44,C46,C48,C93:C96,C101,C107,C113,C122,C124,C136,C143,C146:C147,C154,C156,C158,C162:C164,C166:C168,C173,C179:C180,C182:C184,C192,C197)</f>
        <v>137.54</v>
      </c>
      <c r="D92" s="114">
        <f t="shared" si="21"/>
        <v>139.73999999999998</v>
      </c>
      <c r="E92" s="114">
        <f t="shared" si="21"/>
        <v>140.23999999999998</v>
      </c>
      <c r="F92" s="115">
        <f t="shared" si="21"/>
        <v>171.73999999999995</v>
      </c>
      <c r="G92" s="115">
        <f t="shared" si="21"/>
        <v>188.04</v>
      </c>
      <c r="H92" s="115">
        <f t="shared" si="21"/>
        <v>209.23999999999998</v>
      </c>
      <c r="I92" s="115">
        <f t="shared" si="21"/>
        <v>231.54</v>
      </c>
      <c r="J92" s="115">
        <f t="shared" si="21"/>
        <v>334.04000000000008</v>
      </c>
      <c r="K92" s="115">
        <f t="shared" si="21"/>
        <v>333.74</v>
      </c>
      <c r="L92" s="115">
        <f t="shared" si="21"/>
        <v>275.44</v>
      </c>
      <c r="M92" s="115">
        <f t="shared" si="21"/>
        <v>323.94</v>
      </c>
      <c r="N92" s="115">
        <f t="shared" si="21"/>
        <v>319.44000000000005</v>
      </c>
      <c r="O92" s="115">
        <f t="shared" si="21"/>
        <v>238.83999999999997</v>
      </c>
      <c r="P92" s="115">
        <f t="shared" si="21"/>
        <v>221.23999999999998</v>
      </c>
      <c r="Q92" s="115">
        <f t="shared" si="21"/>
        <v>218.94</v>
      </c>
      <c r="R92" s="115">
        <f t="shared" si="21"/>
        <v>223.44</v>
      </c>
      <c r="S92" s="115">
        <f t="shared" si="21"/>
        <v>211.93999999999997</v>
      </c>
      <c r="T92" s="115">
        <f t="shared" si="21"/>
        <v>260.94000000000005</v>
      </c>
      <c r="U92" s="115">
        <f t="shared" si="21"/>
        <v>286.14000000000004</v>
      </c>
      <c r="V92" s="115">
        <f t="shared" si="21"/>
        <v>368.24</v>
      </c>
      <c r="W92" s="115">
        <f t="shared" si="21"/>
        <v>370.94000000000005</v>
      </c>
      <c r="X92" s="115">
        <f t="shared" si="21"/>
        <v>384.24</v>
      </c>
      <c r="Y92" s="115">
        <f t="shared" si="21"/>
        <v>375.64000000000004</v>
      </c>
      <c r="Z92" s="115">
        <f t="shared" si="21"/>
        <v>369.84000000000003</v>
      </c>
      <c r="AA92" s="115">
        <f t="shared" si="21"/>
        <v>320.84000000000003</v>
      </c>
      <c r="AB92" s="115">
        <f t="shared" si="21"/>
        <v>313.34000000000003</v>
      </c>
      <c r="AC92" s="115">
        <f t="shared" si="21"/>
        <v>292.44000000000005</v>
      </c>
      <c r="AD92" s="115">
        <f t="shared" si="21"/>
        <v>229.63999999999996</v>
      </c>
      <c r="AE92" s="115">
        <f t="shared" si="21"/>
        <v>183.93999999999994</v>
      </c>
      <c r="AF92" s="115">
        <f t="shared" si="21"/>
        <v>165.94</v>
      </c>
      <c r="AG92" s="116"/>
      <c r="AH92" s="56">
        <f>MAX(B92:AF92)</f>
        <v>384.24</v>
      </c>
      <c r="AI92" s="57">
        <f>MIN(B92:AF92)</f>
        <v>137.54</v>
      </c>
    </row>
    <row r="93" spans="1:88" ht="15.75" thickBot="1" x14ac:dyDescent="0.3">
      <c r="A93" s="117" t="s">
        <v>96</v>
      </c>
      <c r="B93" s="54">
        <v>45.9</v>
      </c>
      <c r="C93" s="60">
        <v>40.799999999999997</v>
      </c>
      <c r="D93" s="60">
        <v>42</v>
      </c>
      <c r="E93" s="60">
        <v>49</v>
      </c>
      <c r="F93" s="118">
        <v>47.3</v>
      </c>
      <c r="G93" s="118">
        <v>40.700000000000003</v>
      </c>
      <c r="H93" s="118">
        <v>52.4</v>
      </c>
      <c r="I93" s="118">
        <v>52</v>
      </c>
      <c r="J93" s="118">
        <v>58.4</v>
      </c>
      <c r="K93" s="118">
        <v>52.5</v>
      </c>
      <c r="L93" s="54">
        <v>52</v>
      </c>
      <c r="M93" s="118">
        <v>45</v>
      </c>
      <c r="N93" s="118">
        <v>32</v>
      </c>
      <c r="O93" s="118">
        <v>25.8</v>
      </c>
      <c r="P93" s="118">
        <v>25.6</v>
      </c>
      <c r="Q93" s="118">
        <v>24.6</v>
      </c>
      <c r="R93" s="118">
        <v>29.3</v>
      </c>
      <c r="S93" s="118">
        <v>23.3</v>
      </c>
      <c r="T93" s="118">
        <v>23.4</v>
      </c>
      <c r="U93" s="118">
        <v>43.9</v>
      </c>
      <c r="V93" s="118">
        <v>58.7</v>
      </c>
      <c r="W93" s="118">
        <v>58.7</v>
      </c>
      <c r="X93" s="62">
        <v>60.3</v>
      </c>
      <c r="Y93" s="118">
        <v>61</v>
      </c>
      <c r="Z93" s="118">
        <v>62.1</v>
      </c>
      <c r="AA93" s="54">
        <v>67.2</v>
      </c>
      <c r="AB93" s="54">
        <v>69.400000000000006</v>
      </c>
      <c r="AC93" s="54">
        <v>57</v>
      </c>
      <c r="AD93" s="54">
        <v>51.7</v>
      </c>
      <c r="AE93" s="54">
        <v>51.7</v>
      </c>
      <c r="AF93" s="119">
        <v>29.6</v>
      </c>
      <c r="AG93" s="120">
        <v>75</v>
      </c>
      <c r="AH93" s="56">
        <f t="shared" ref="AH93:AH98" si="22">IF(ABS(MAX(B93:AF93))&gt;ABS(MIN(B93:AF93)),MAX(B93:AF93),MIN(B93:AF93))</f>
        <v>69.400000000000006</v>
      </c>
      <c r="AI93" s="121">
        <f t="shared" ref="AI93:AI98" si="23">INDEX($B$9:$AF$9,1,MATCH(AH93,B93:AF93,0))</f>
        <v>0.85416666666666663</v>
      </c>
    </row>
    <row r="94" spans="1:88" ht="15.75" thickBot="1" x14ac:dyDescent="0.3">
      <c r="A94" s="122" t="s">
        <v>97</v>
      </c>
      <c r="B94" s="52">
        <v>-36.700000000000003</v>
      </c>
      <c r="C94" s="62">
        <v>-67</v>
      </c>
      <c r="D94" s="62">
        <v>-61</v>
      </c>
      <c r="E94" s="62">
        <v>-62</v>
      </c>
      <c r="F94" s="62">
        <v>-58</v>
      </c>
      <c r="G94" s="62">
        <v>-58.5</v>
      </c>
      <c r="H94" s="62">
        <v>-55</v>
      </c>
      <c r="I94" s="62">
        <v>-47</v>
      </c>
      <c r="J94" s="62">
        <f>18.6+22.4</f>
        <v>41</v>
      </c>
      <c r="K94" s="62">
        <f>18.1+22.1</f>
        <v>40.200000000000003</v>
      </c>
      <c r="L94" s="62">
        <v>-27</v>
      </c>
      <c r="M94" s="62">
        <v>28</v>
      </c>
      <c r="N94" s="62">
        <v>28</v>
      </c>
      <c r="O94" s="62">
        <v>-24.4</v>
      </c>
      <c r="P94" s="62">
        <v>-23.6</v>
      </c>
      <c r="Q94" s="62">
        <v>-22.6</v>
      </c>
      <c r="R94" s="62">
        <v>-22.2</v>
      </c>
      <c r="S94" s="62">
        <f>-10.7-13.1</f>
        <v>-23.799999999999997</v>
      </c>
      <c r="T94" s="62">
        <f>9.8+12.4</f>
        <v>22.200000000000003</v>
      </c>
      <c r="U94" s="62">
        <f>11+13.7</f>
        <v>24.7</v>
      </c>
      <c r="V94" s="118">
        <f>3.3+6.6</f>
        <v>9.8999999999999986</v>
      </c>
      <c r="W94" s="62">
        <v>7.1</v>
      </c>
      <c r="X94" s="62">
        <f>3.1+6.3</f>
        <v>9.4</v>
      </c>
      <c r="Y94" s="62">
        <f>1.9+4.7</f>
        <v>6.6</v>
      </c>
      <c r="Z94" s="62">
        <f>3.1+4.8</f>
        <v>7.9</v>
      </c>
      <c r="AA94" s="52">
        <v>-15.9</v>
      </c>
      <c r="AB94" s="52">
        <v>-19.600000000000001</v>
      </c>
      <c r="AC94" s="52">
        <v>-24.1</v>
      </c>
      <c r="AD94" s="52">
        <v>-31.2</v>
      </c>
      <c r="AE94" s="52">
        <v>-40.299999999999997</v>
      </c>
      <c r="AF94" s="123">
        <v>-44.7</v>
      </c>
      <c r="AG94" s="120">
        <v>240</v>
      </c>
      <c r="AH94" s="56">
        <f t="shared" si="22"/>
        <v>-67</v>
      </c>
      <c r="AI94" s="121">
        <f t="shared" si="23"/>
        <v>8.3333333333333301E-2</v>
      </c>
    </row>
    <row r="95" spans="1:88" ht="15.75" thickBot="1" x14ac:dyDescent="0.3">
      <c r="A95" s="122" t="s">
        <v>98</v>
      </c>
      <c r="B95" s="52">
        <v>-6.4</v>
      </c>
      <c r="C95" s="62">
        <v>-6.8</v>
      </c>
      <c r="D95" s="62">
        <v>-7.7</v>
      </c>
      <c r="E95" s="62">
        <v>-4.8</v>
      </c>
      <c r="F95" s="62">
        <v>0.3</v>
      </c>
      <c r="G95" s="62">
        <v>2.9</v>
      </c>
      <c r="H95" s="62">
        <v>0</v>
      </c>
      <c r="I95" s="62">
        <v>2.8</v>
      </c>
      <c r="J95" s="62">
        <v>10.1</v>
      </c>
      <c r="K95" s="62">
        <v>5.7</v>
      </c>
      <c r="L95" s="62">
        <v>13</v>
      </c>
      <c r="M95" s="62">
        <v>12.6</v>
      </c>
      <c r="N95" s="62">
        <v>19</v>
      </c>
      <c r="O95" s="62">
        <v>18.8</v>
      </c>
      <c r="P95" s="62">
        <v>17.5</v>
      </c>
      <c r="Q95" s="62">
        <v>17.899999999999999</v>
      </c>
      <c r="R95" s="62">
        <v>18.899999999999999</v>
      </c>
      <c r="S95" s="62">
        <v>18.899999999999999</v>
      </c>
      <c r="T95" s="62">
        <v>20.9</v>
      </c>
      <c r="U95" s="62">
        <v>21.9</v>
      </c>
      <c r="V95" s="118">
        <v>38.1</v>
      </c>
      <c r="W95" s="62">
        <v>38.200000000000003</v>
      </c>
      <c r="X95" s="62">
        <v>38.5</v>
      </c>
      <c r="Y95" s="62">
        <v>38.299999999999997</v>
      </c>
      <c r="Z95" s="62">
        <v>30.4</v>
      </c>
      <c r="AA95" s="52">
        <v>28.2</v>
      </c>
      <c r="AB95" s="52">
        <v>27.5</v>
      </c>
      <c r="AC95" s="52">
        <v>23.4</v>
      </c>
      <c r="AD95" s="52">
        <v>18.600000000000001</v>
      </c>
      <c r="AE95" s="52">
        <v>15.2</v>
      </c>
      <c r="AF95" s="123">
        <v>13.5</v>
      </c>
      <c r="AG95" s="120">
        <v>60</v>
      </c>
      <c r="AH95" s="56">
        <f t="shared" si="22"/>
        <v>38.5</v>
      </c>
      <c r="AI95" s="121">
        <f t="shared" si="23"/>
        <v>0.77083333333333337</v>
      </c>
    </row>
    <row r="96" spans="1:88" ht="15.75" thickBot="1" x14ac:dyDescent="0.3">
      <c r="A96" s="124" t="s">
        <v>99</v>
      </c>
      <c r="B96" s="125">
        <v>-12.5</v>
      </c>
      <c r="C96" s="65">
        <v>-9</v>
      </c>
      <c r="D96" s="65">
        <v>-7.6</v>
      </c>
      <c r="E96" s="65">
        <v>-13</v>
      </c>
      <c r="F96" s="65">
        <v>-8.8000000000000007</v>
      </c>
      <c r="G96" s="65">
        <v>-7</v>
      </c>
      <c r="H96" s="65">
        <v>1.9</v>
      </c>
      <c r="I96" s="65">
        <v>2.8</v>
      </c>
      <c r="J96" s="65">
        <v>4</v>
      </c>
      <c r="K96" s="65">
        <v>14.8</v>
      </c>
      <c r="L96" s="65">
        <v>20</v>
      </c>
      <c r="M96" s="65">
        <v>20.9</v>
      </c>
      <c r="N96" s="65">
        <v>23</v>
      </c>
      <c r="O96" s="65">
        <v>18.5</v>
      </c>
      <c r="P96" s="65">
        <v>13.5</v>
      </c>
      <c r="Q96" s="65">
        <v>10.8</v>
      </c>
      <c r="R96" s="65">
        <v>9.1999999999999993</v>
      </c>
      <c r="S96" s="65">
        <v>5</v>
      </c>
      <c r="T96" s="65">
        <v>5.9</v>
      </c>
      <c r="U96" s="65">
        <v>-2.7</v>
      </c>
      <c r="V96" s="118">
        <v>39.700000000000003</v>
      </c>
      <c r="W96" s="65">
        <v>37.5</v>
      </c>
      <c r="X96" s="62">
        <v>38.799999999999997</v>
      </c>
      <c r="Y96" s="65">
        <v>40.4</v>
      </c>
      <c r="Z96" s="65">
        <v>40.1</v>
      </c>
      <c r="AA96" s="125">
        <v>20.9</v>
      </c>
      <c r="AB96" s="125">
        <v>15.6</v>
      </c>
      <c r="AC96" s="125">
        <v>15.5</v>
      </c>
      <c r="AD96" s="125">
        <v>0</v>
      </c>
      <c r="AE96" s="125">
        <v>-18.2</v>
      </c>
      <c r="AF96" s="126">
        <v>-12.7</v>
      </c>
      <c r="AG96" s="127">
        <v>120</v>
      </c>
      <c r="AH96" s="56">
        <f t="shared" si="22"/>
        <v>40.4</v>
      </c>
      <c r="AI96" s="121">
        <f t="shared" si="23"/>
        <v>0.79166666666666663</v>
      </c>
    </row>
    <row r="97" spans="1:37" ht="15.75" thickBot="1" x14ac:dyDescent="0.3">
      <c r="A97" s="124" t="s">
        <v>100</v>
      </c>
      <c r="B97" s="125">
        <v>16</v>
      </c>
      <c r="C97" s="65">
        <v>20.2</v>
      </c>
      <c r="D97" s="65">
        <v>23</v>
      </c>
      <c r="E97" s="65">
        <v>16.899999999999999</v>
      </c>
      <c r="F97" s="65">
        <v>21.9</v>
      </c>
      <c r="G97" s="65">
        <v>16.899999999999999</v>
      </c>
      <c r="H97" s="65">
        <v>19</v>
      </c>
      <c r="I97" s="65">
        <v>22.3</v>
      </c>
      <c r="J97" s="65">
        <v>18.3</v>
      </c>
      <c r="K97" s="65">
        <v>28.3</v>
      </c>
      <c r="L97" s="65">
        <v>28</v>
      </c>
      <c r="M97" s="65">
        <v>26</v>
      </c>
      <c r="N97" s="65">
        <v>30</v>
      </c>
      <c r="O97" s="65">
        <v>26.6</v>
      </c>
      <c r="P97" s="65">
        <v>23.1</v>
      </c>
      <c r="Q97" s="65">
        <v>25.2</v>
      </c>
      <c r="R97" s="65">
        <v>18.899999999999999</v>
      </c>
      <c r="S97" s="65">
        <v>16.5</v>
      </c>
      <c r="T97" s="65">
        <v>17.600000000000001</v>
      </c>
      <c r="U97" s="65">
        <v>10</v>
      </c>
      <c r="V97" s="118">
        <v>25.4</v>
      </c>
      <c r="W97" s="65">
        <v>25.7</v>
      </c>
      <c r="X97" s="62">
        <v>24</v>
      </c>
      <c r="Y97" s="65">
        <v>26.1</v>
      </c>
      <c r="Z97" s="65">
        <v>26.4</v>
      </c>
      <c r="AA97" s="125">
        <v>20.5</v>
      </c>
      <c r="AB97" s="125">
        <v>14.2</v>
      </c>
      <c r="AC97" s="125">
        <v>16.899999999999999</v>
      </c>
      <c r="AD97" s="125">
        <v>8.8000000000000007</v>
      </c>
      <c r="AE97" s="125">
        <v>-3</v>
      </c>
      <c r="AF97" s="126">
        <v>4.2</v>
      </c>
      <c r="AG97" s="127"/>
      <c r="AH97" s="56">
        <f t="shared" si="22"/>
        <v>30</v>
      </c>
      <c r="AI97" s="121">
        <f t="shared" si="23"/>
        <v>0.41666666666666702</v>
      </c>
    </row>
    <row r="98" spans="1:37" ht="15.75" thickBot="1" x14ac:dyDescent="0.3">
      <c r="A98" s="124" t="s">
        <v>101</v>
      </c>
      <c r="B98" s="125">
        <v>22.8</v>
      </c>
      <c r="C98" s="65">
        <v>27.8</v>
      </c>
      <c r="D98" s="65">
        <v>24.8</v>
      </c>
      <c r="E98" s="65">
        <v>25</v>
      </c>
      <c r="F98" s="65">
        <v>31.7</v>
      </c>
      <c r="G98" s="65">
        <v>37.6</v>
      </c>
      <c r="H98" s="65">
        <v>30.6</v>
      </c>
      <c r="I98" s="65">
        <v>27</v>
      </c>
      <c r="J98" s="65">
        <v>24.3</v>
      </c>
      <c r="K98" s="65">
        <v>26</v>
      </c>
      <c r="L98" s="65">
        <v>20</v>
      </c>
      <c r="M98" s="65">
        <v>27</v>
      </c>
      <c r="N98" s="65">
        <v>36</v>
      </c>
      <c r="O98" s="65">
        <v>33.700000000000003</v>
      </c>
      <c r="P98" s="65">
        <v>35.6</v>
      </c>
      <c r="Q98" s="65">
        <v>39.6</v>
      </c>
      <c r="R98" s="65">
        <v>34.799999999999997</v>
      </c>
      <c r="S98" s="65">
        <v>39.700000000000003</v>
      </c>
      <c r="T98" s="65">
        <v>36.700000000000003</v>
      </c>
      <c r="U98" s="65">
        <v>17.899999999999999</v>
      </c>
      <c r="V98" s="118">
        <v>34.700000000000003</v>
      </c>
      <c r="W98" s="65">
        <v>30.6</v>
      </c>
      <c r="X98" s="62">
        <v>31.4</v>
      </c>
      <c r="Y98" s="65">
        <v>32.299999999999997</v>
      </c>
      <c r="Z98" s="65">
        <v>24.7</v>
      </c>
      <c r="AA98" s="125">
        <v>18.100000000000001</v>
      </c>
      <c r="AB98" s="125">
        <v>13.4</v>
      </c>
      <c r="AC98" s="125">
        <v>20.9</v>
      </c>
      <c r="AD98" s="125">
        <v>12.7</v>
      </c>
      <c r="AE98" s="125">
        <v>12.6</v>
      </c>
      <c r="AF98" s="126">
        <v>33.9</v>
      </c>
      <c r="AG98" s="128"/>
      <c r="AH98" s="56">
        <f t="shared" si="22"/>
        <v>39.700000000000003</v>
      </c>
      <c r="AI98" s="121">
        <f t="shared" si="23"/>
        <v>0.625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977.94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18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2078/07/18)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2078/07/18)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791.43999999999994</v>
      </c>
      <c r="U212" s="173">
        <f t="shared" si="52"/>
        <v>799.64</v>
      </c>
      <c r="V212" s="173">
        <f t="shared" si="52"/>
        <v>791.93999999999994</v>
      </c>
      <c r="W212" s="173">
        <f t="shared" si="52"/>
        <v>795.43999999999994</v>
      </c>
      <c r="X212" s="173">
        <f t="shared" si="52"/>
        <v>838.44</v>
      </c>
      <c r="Y212" s="173">
        <f t="shared" si="52"/>
        <v>870.6400000000001</v>
      </c>
      <c r="Z212" s="173">
        <f t="shared" si="52"/>
        <v>911.6400000000001</v>
      </c>
      <c r="AA212" s="173">
        <f t="shared" si="52"/>
        <v>922.6400000000001</v>
      </c>
      <c r="AB212" s="173">
        <f t="shared" si="52"/>
        <v>941.54000000000008</v>
      </c>
      <c r="AC212" s="173">
        <f t="shared" si="52"/>
        <v>959.94</v>
      </c>
      <c r="AD212" s="173">
        <f t="shared" si="52"/>
        <v>977.94</v>
      </c>
      <c r="AE212" s="173">
        <f t="shared" si="52"/>
        <v>945.1400000000001</v>
      </c>
      <c r="AF212" s="173">
        <f t="shared" si="52"/>
        <v>866.24</v>
      </c>
      <c r="AG212" s="173">
        <f t="shared" si="52"/>
        <v>811.83999999999992</v>
      </c>
      <c r="AH212" s="173">
        <f t="shared" si="52"/>
        <v>747.84</v>
      </c>
      <c r="AI212" s="173">
        <f t="shared" si="52"/>
        <v>742.44</v>
      </c>
      <c r="AJ212" s="173">
        <f t="shared" si="52"/>
        <v>730.33999999999992</v>
      </c>
      <c r="AK212" s="173">
        <f t="shared" si="52"/>
        <v>731.43999999999994</v>
      </c>
      <c r="AL212" s="173">
        <f t="shared" si="52"/>
        <v>768.64</v>
      </c>
      <c r="AM212" s="173">
        <f t="shared" si="52"/>
        <v>866.24</v>
      </c>
      <c r="AN212" s="173">
        <f t="shared" si="52"/>
        <v>1070.1399999999999</v>
      </c>
      <c r="AO212" s="173">
        <f t="shared" si="52"/>
        <v>1244.7399999999998</v>
      </c>
      <c r="AP212" s="173">
        <f t="shared" si="52"/>
        <v>1266.04</v>
      </c>
      <c r="AQ212" s="173">
        <f t="shared" si="52"/>
        <v>1200.44</v>
      </c>
      <c r="AR212" s="173">
        <f t="shared" si="52"/>
        <v>1201.6400000000001</v>
      </c>
      <c r="AS212" s="173">
        <f t="shared" si="52"/>
        <v>1133.3400000000001</v>
      </c>
      <c r="AT212" s="173">
        <f t="shared" si="52"/>
        <v>1092.7400000000002</v>
      </c>
      <c r="AU212" s="173">
        <f t="shared" si="52"/>
        <v>1055.6400000000001</v>
      </c>
      <c r="AV212" s="173">
        <f t="shared" si="52"/>
        <v>905.54</v>
      </c>
      <c r="AW212" s="173">
        <f t="shared" si="52"/>
        <v>795.04</v>
      </c>
      <c r="AX212" s="173">
        <f t="shared" si="52"/>
        <v>779.33999999999992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83" priority="450">
      <formula>S$9&gt;=20/24</formula>
    </cfRule>
    <cfRule type="expression" dxfId="4982" priority="451">
      <formula>AND(S$9&gt;=14/24,S$9&lt;20/24)</formula>
    </cfRule>
    <cfRule type="expression" dxfId="4981" priority="452">
      <formula>AND(S$9&gt;=8/24,S$9&lt;14/24)</formula>
    </cfRule>
    <cfRule type="expression" dxfId="4980" priority="453">
      <formula>S$9&lt;8/24</formula>
    </cfRule>
  </conditionalFormatting>
  <conditionalFormatting sqref="B8:AF10 AA80:AF80 B80:Q80 B55:AF55 B81:AF81 C192:AF198 AE56:AF59 B67:AF71 T211:AX211 W84:X90 B73:AF77 B79:AF79 F56:K58 L16:N16 L11:N12 L57:N59 L36:Q36 O57:Q66 R59:R66 O16:U32 O11:U14 L38:U41 M44:U47 R57:U58 Y16:Z31 L52:U54 Y52:AF54 Y39:AD42 AA28:AD31 AA16:AD26 Y11:AD14 AA83:AF90">
    <cfRule type="expression" dxfId="4979" priority="446">
      <formula>B$9&gt;=20/24</formula>
    </cfRule>
    <cfRule type="expression" dxfId="4978" priority="447">
      <formula>AND(B$9&gt;=14/24,B$9&lt;20/24)</formula>
    </cfRule>
    <cfRule type="expression" dxfId="4977" priority="448">
      <formula>AND(B$9&gt;=8/24,B$9&lt;14/24)</formula>
    </cfRule>
    <cfRule type="expression" dxfId="4976" priority="449">
      <formula>B$9&lt;8/24</formula>
    </cfRule>
  </conditionalFormatting>
  <conditionalFormatting sqref="B190:AF190">
    <cfRule type="expression" dxfId="4975" priority="442">
      <formula>B$9&gt;=20/24</formula>
    </cfRule>
    <cfRule type="expression" dxfId="4974" priority="443">
      <formula>AND(B$9&gt;=14/24,B$9&lt;20/24)</formula>
    </cfRule>
    <cfRule type="expression" dxfId="4973" priority="444">
      <formula>AND(B$9&gt;=8/24,B$9&lt;14/24)</formula>
    </cfRule>
    <cfRule type="expression" dxfId="4972" priority="445">
      <formula>B$9&lt;8/24</formula>
    </cfRule>
  </conditionalFormatting>
  <conditionalFormatting sqref="AL4:AL6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L56:Q56">
    <cfRule type="expression" dxfId="4971" priority="437">
      <formula>L$9&gt;=20/24</formula>
    </cfRule>
    <cfRule type="expression" dxfId="4970" priority="438">
      <formula>AND(L$9&gt;=14/24,L$9&lt;20/24)</formula>
    </cfRule>
    <cfRule type="expression" dxfId="4969" priority="439">
      <formula>AND(L$9&gt;=8/24,L$9&lt;14/24)</formula>
    </cfRule>
    <cfRule type="expression" dxfId="4968" priority="440">
      <formula>L$9&lt;8/24</formula>
    </cfRule>
  </conditionalFormatting>
  <conditionalFormatting sqref="L42:U42">
    <cfRule type="expression" dxfId="4967" priority="433">
      <formula>L$9&gt;=20/24</formula>
    </cfRule>
    <cfRule type="expression" dxfId="4966" priority="434">
      <formula>AND(L$9&gt;=14/24,L$9&lt;20/24)</formula>
    </cfRule>
    <cfRule type="expression" dxfId="4965" priority="435">
      <formula>AND(L$9&gt;=8/24,L$9&lt;14/24)</formula>
    </cfRule>
    <cfRule type="expression" dxfId="4964" priority="436">
      <formula>L$9&lt;8/24</formula>
    </cfRule>
  </conditionalFormatting>
  <conditionalFormatting sqref="Y32:AD32">
    <cfRule type="expression" dxfId="4963" priority="429">
      <formula>Y$9&gt;=20/24</formula>
    </cfRule>
    <cfRule type="expression" dxfId="4962" priority="430">
      <formula>AND(Y$9&gt;=14/24,Y$9&lt;20/24)</formula>
    </cfRule>
    <cfRule type="expression" dxfId="4961" priority="431">
      <formula>AND(Y$9&gt;=8/24,Y$9&lt;14/24)</formula>
    </cfRule>
    <cfRule type="expression" dxfId="4960" priority="432">
      <formula>Y$9&lt;8/24</formula>
    </cfRule>
  </conditionalFormatting>
  <conditionalFormatting sqref="Y38:AD38">
    <cfRule type="expression" dxfId="4959" priority="425">
      <formula>Y$9&gt;=20/24</formula>
    </cfRule>
    <cfRule type="expression" dxfId="4958" priority="426">
      <formula>AND(Y$9&gt;=14/24,Y$9&lt;20/24)</formula>
    </cfRule>
    <cfRule type="expression" dxfId="4957" priority="427">
      <formula>AND(Y$9&gt;=8/24,Y$9&lt;14/24)</formula>
    </cfRule>
    <cfRule type="expression" dxfId="4956" priority="428">
      <formula>Y$9&lt;8/24</formula>
    </cfRule>
  </conditionalFormatting>
  <conditionalFormatting sqref="R56:U56 AA56:AD56">
    <cfRule type="expression" dxfId="4955" priority="421">
      <formula>R$9&gt;=20/24</formula>
    </cfRule>
    <cfRule type="expression" dxfId="4954" priority="422">
      <formula>AND(R$9&gt;=14/24,R$9&lt;20/24)</formula>
    </cfRule>
    <cfRule type="expression" dxfId="4953" priority="423">
      <formula>AND(R$9&gt;=8/24,R$9&lt;14/24)</formula>
    </cfRule>
    <cfRule type="expression" dxfId="4952" priority="424">
      <formula>R$9&lt;8/24</formula>
    </cfRule>
  </conditionalFormatting>
  <conditionalFormatting sqref="R80:Z80">
    <cfRule type="expression" dxfId="4951" priority="417">
      <formula>R$9&gt;=20/24</formula>
    </cfRule>
    <cfRule type="expression" dxfId="4950" priority="418">
      <formula>AND(R$9&gt;=14/24,R$9&lt;20/24)</formula>
    </cfRule>
    <cfRule type="expression" dxfId="4949" priority="419">
      <formula>AND(R$9&gt;=8/24,R$9&lt;14/24)</formula>
    </cfRule>
    <cfRule type="expression" dxfId="4948" priority="420">
      <formula>R$9&lt;8/24</formula>
    </cfRule>
  </conditionalFormatting>
  <conditionalFormatting sqref="V83:X83">
    <cfRule type="expression" dxfId="4947" priority="413">
      <formula>V$9&gt;=20/24</formula>
    </cfRule>
    <cfRule type="expression" dxfId="4946" priority="414">
      <formula>AND(V$9&gt;=14/24,V$9&lt;20/24)</formula>
    </cfRule>
    <cfRule type="expression" dxfId="4945" priority="415">
      <formula>AND(V$9&gt;=8/24,V$9&lt;14/24)</formula>
    </cfRule>
    <cfRule type="expression" dxfId="4944" priority="416">
      <formula>V$9&lt;8/24</formula>
    </cfRule>
  </conditionalFormatting>
  <conditionalFormatting sqref="O34:U34">
    <cfRule type="expression" dxfId="4943" priority="409">
      <formula>O$9&gt;=20/24</formula>
    </cfRule>
    <cfRule type="expression" dxfId="4942" priority="410">
      <formula>AND(O$9&gt;=14/24,O$9&lt;20/24)</formula>
    </cfRule>
    <cfRule type="expression" dxfId="4941" priority="411">
      <formula>AND(O$9&gt;=8/24,O$9&lt;14/24)</formula>
    </cfRule>
    <cfRule type="expression" dxfId="4940" priority="412">
      <formula>O$9&lt;8/24</formula>
    </cfRule>
  </conditionalFormatting>
  <conditionalFormatting sqref="L48:U48">
    <cfRule type="expression" dxfId="4939" priority="405">
      <formula>L$9&gt;=20/24</formula>
    </cfRule>
    <cfRule type="expression" dxfId="4938" priority="406">
      <formula>AND(L$9&gt;=14/24,L$9&lt;20/24)</formula>
    </cfRule>
    <cfRule type="expression" dxfId="4937" priority="407">
      <formula>AND(L$9&gt;=8/24,L$9&lt;14/24)</formula>
    </cfRule>
    <cfRule type="expression" dxfId="4936" priority="408">
      <formula>L$9&lt;8/24</formula>
    </cfRule>
  </conditionalFormatting>
  <conditionalFormatting sqref="L49:U49">
    <cfRule type="expression" dxfId="4935" priority="401">
      <formula>L$9&gt;=20/24</formula>
    </cfRule>
    <cfRule type="expression" dxfId="4934" priority="402">
      <formula>AND(L$9&gt;=14/24,L$9&lt;20/24)</formula>
    </cfRule>
    <cfRule type="expression" dxfId="4933" priority="403">
      <formula>AND(L$9&gt;=8/24,L$9&lt;14/24)</formula>
    </cfRule>
    <cfRule type="expression" dxfId="4932" priority="404">
      <formula>L$9&lt;8/24</formula>
    </cfRule>
  </conditionalFormatting>
  <conditionalFormatting sqref="L44:U47">
    <cfRule type="expression" dxfId="4931" priority="397">
      <formula>L$9&gt;=20/24</formula>
    </cfRule>
    <cfRule type="expression" dxfId="4930" priority="398">
      <formula>AND(L$9&gt;=14/24,L$9&lt;20/24)</formula>
    </cfRule>
    <cfRule type="expression" dxfId="4929" priority="399">
      <formula>AND(L$9&gt;=8/24,L$9&lt;14/24)</formula>
    </cfRule>
    <cfRule type="expression" dxfId="4928" priority="400">
      <formula>L$9&lt;8/24</formula>
    </cfRule>
  </conditionalFormatting>
  <conditionalFormatting sqref="R36:U36 Y36:AD36">
    <cfRule type="expression" dxfId="4927" priority="393">
      <formula>R$9&gt;=20/24</formula>
    </cfRule>
    <cfRule type="expression" dxfId="4926" priority="394">
      <formula>AND(R$9&gt;=14/24,R$9&lt;20/24)</formula>
    </cfRule>
    <cfRule type="expression" dxfId="4925" priority="395">
      <formula>AND(R$9&gt;=8/24,R$9&lt;14/24)</formula>
    </cfRule>
    <cfRule type="expression" dxfId="4924" priority="396">
      <formula>R$9&lt;8/24</formula>
    </cfRule>
  </conditionalFormatting>
  <conditionalFormatting sqref="Y34:AD34">
    <cfRule type="expression" dxfId="4923" priority="389">
      <formula>Y$9&gt;=20/24</formula>
    </cfRule>
    <cfRule type="expression" dxfId="4922" priority="390">
      <formula>AND(Y$9&gt;=14/24,Y$9&lt;20/24)</formula>
    </cfRule>
    <cfRule type="expression" dxfId="4921" priority="391">
      <formula>AND(Y$9&gt;=8/24,Y$9&lt;14/24)</formula>
    </cfRule>
    <cfRule type="expression" dxfId="4920" priority="392">
      <formula>Y$9&lt;8/24</formula>
    </cfRule>
  </conditionalFormatting>
  <conditionalFormatting sqref="Y44:AD47">
    <cfRule type="expression" dxfId="4919" priority="385">
      <formula>Y$9&gt;=20/24</formula>
    </cfRule>
    <cfRule type="expression" dxfId="4918" priority="386">
      <formula>AND(Y$9&gt;=14/24,Y$9&lt;20/24)</formula>
    </cfRule>
    <cfRule type="expression" dxfId="4917" priority="387">
      <formula>AND(Y$9&gt;=8/24,Y$9&lt;14/24)</formula>
    </cfRule>
    <cfRule type="expression" dxfId="4916" priority="388">
      <formula>Y$9&lt;8/24</formula>
    </cfRule>
  </conditionalFormatting>
  <conditionalFormatting sqref="Y48:AD48">
    <cfRule type="expression" dxfId="4915" priority="381">
      <formula>Y$9&gt;=20/24</formula>
    </cfRule>
    <cfRule type="expression" dxfId="4914" priority="382">
      <formula>AND(Y$9&gt;=14/24,Y$9&lt;20/24)</formula>
    </cfRule>
    <cfRule type="expression" dxfId="4913" priority="383">
      <formula>AND(Y$9&gt;=8/24,Y$9&lt;14/24)</formula>
    </cfRule>
    <cfRule type="expression" dxfId="4912" priority="384">
      <formula>Y$9&lt;8/24</formula>
    </cfRule>
  </conditionalFormatting>
  <conditionalFormatting sqref="Y49:AD49">
    <cfRule type="expression" dxfId="4911" priority="377">
      <formula>Y$9&gt;=20/24</formula>
    </cfRule>
    <cfRule type="expression" dxfId="4910" priority="378">
      <formula>AND(Y$9&gt;=14/24,Y$9&lt;20/24)</formula>
    </cfRule>
    <cfRule type="expression" dxfId="4909" priority="379">
      <formula>AND(Y$9&gt;=8/24,Y$9&lt;14/24)</formula>
    </cfRule>
    <cfRule type="expression" dxfId="4908" priority="380">
      <formula>Y$9&lt;8/24</formula>
    </cfRule>
  </conditionalFormatting>
  <conditionalFormatting sqref="AE60:AF66 S59:U66 AA59:AD66">
    <cfRule type="expression" dxfId="4907" priority="373">
      <formula>S$9&gt;=20/24</formula>
    </cfRule>
    <cfRule type="expression" dxfId="4906" priority="374">
      <formula>AND(S$9&gt;=14/24,S$9&lt;20/24)</formula>
    </cfRule>
    <cfRule type="expression" dxfId="4905" priority="375">
      <formula>AND(S$9&gt;=8/24,S$9&lt;14/24)</formula>
    </cfRule>
    <cfRule type="expression" dxfId="4904" priority="376">
      <formula>S$9&lt;8/24</formula>
    </cfRule>
  </conditionalFormatting>
  <conditionalFormatting sqref="AA93:AF96">
    <cfRule type="expression" dxfId="4903" priority="369">
      <formula>AA$9&gt;=20/24</formula>
    </cfRule>
    <cfRule type="expression" dxfId="4902" priority="370">
      <formula>AND(AA$9&gt;=14/24,AA$9&lt;20/24)</formula>
    </cfRule>
    <cfRule type="expression" dxfId="4901" priority="371">
      <formula>AND(AA$9&gt;=8/24,AA$9&lt;14/24)</formula>
    </cfRule>
    <cfRule type="expression" dxfId="4900" priority="372">
      <formula>AA$9&lt;8/24</formula>
    </cfRule>
  </conditionalFormatting>
  <conditionalFormatting sqref="W93:W96">
    <cfRule type="expression" dxfId="4899" priority="361">
      <formula>W$9&gt;=20/24</formula>
    </cfRule>
    <cfRule type="expression" dxfId="4898" priority="362">
      <formula>AND(W$9&gt;=14/24,W$9&lt;20/24)</formula>
    </cfRule>
    <cfRule type="expression" dxfId="4897" priority="363">
      <formula>AND(W$9&gt;=8/24,W$9&lt;14/24)</formula>
    </cfRule>
    <cfRule type="expression" dxfId="4896" priority="364">
      <formula>W$9&lt;8/24</formula>
    </cfRule>
  </conditionalFormatting>
  <conditionalFormatting sqref="L12 C50:U50 D38:E39 E11:L11 F44:K44 F46:K46 B37:AF37 L16:N16 M11:N12 O16:U32 O11:U14 O34:U34 L35:U36 L44:U49 F38:U42 B51:AF51 Y50:AG50 B55:AF55 B52:U54 Y52:AF54 Y38:AF42 Y44:AF49 Y16:AF32 Y34:AF36 Y11:AF14">
    <cfRule type="expression" dxfId="4895" priority="360">
      <formula>B11&gt;$AG11</formula>
    </cfRule>
  </conditionalFormatting>
  <conditionalFormatting sqref="A99:A155 A83:A96 A11:A14 A16:A32 A44:A71 A79:A81 A73:A77 A34:A42 A168:A199">
    <cfRule type="expression" dxfId="4894" priority="359">
      <formula>$AH11=0</formula>
    </cfRule>
  </conditionalFormatting>
  <conditionalFormatting sqref="AA97:AF97">
    <cfRule type="expression" dxfId="4893" priority="355">
      <formula>AA$9&gt;=20/24</formula>
    </cfRule>
    <cfRule type="expression" dxfId="4892" priority="356">
      <formula>AND(AA$9&gt;=14/24,AA$9&lt;20/24)</formula>
    </cfRule>
    <cfRule type="expression" dxfId="4891" priority="357">
      <formula>AND(AA$9&gt;=8/24,AA$9&lt;14/24)</formula>
    </cfRule>
    <cfRule type="expression" dxfId="4890" priority="358">
      <formula>AA$9&lt;8/24</formula>
    </cfRule>
  </conditionalFormatting>
  <conditionalFormatting sqref="W97">
    <cfRule type="expression" dxfId="4889" priority="351">
      <formula>W$9&gt;=20/24</formula>
    </cfRule>
    <cfRule type="expression" dxfId="4888" priority="352">
      <formula>AND(W$9&gt;=14/24,W$9&lt;20/24)</formula>
    </cfRule>
    <cfRule type="expression" dxfId="4887" priority="353">
      <formula>AND(W$9&gt;=8/24,W$9&lt;14/24)</formula>
    </cfRule>
    <cfRule type="expression" dxfId="4886" priority="354">
      <formula>W$9&lt;8/24</formula>
    </cfRule>
  </conditionalFormatting>
  <conditionalFormatting sqref="A97">
    <cfRule type="expression" dxfId="4885" priority="350">
      <formula>$AH97=0</formula>
    </cfRule>
  </conditionalFormatting>
  <conditionalFormatting sqref="L35:U35 Y35:AF35">
    <cfRule type="expression" dxfId="4884" priority="346">
      <formula>L$9&gt;=20/24</formula>
    </cfRule>
    <cfRule type="expression" dxfId="4883" priority="347">
      <formula>AND(L$9&gt;=14/24,L$9&lt;20/24)</formula>
    </cfRule>
    <cfRule type="expression" dxfId="4882" priority="348">
      <formula>AND(L$9&gt;=8/24,L$9&lt;14/24)</formula>
    </cfRule>
    <cfRule type="expression" dxfId="4881" priority="349">
      <formula>L$9&lt;8/24</formula>
    </cfRule>
  </conditionalFormatting>
  <conditionalFormatting sqref="U35 Y35:AF35">
    <cfRule type="expression" dxfId="4880" priority="342">
      <formula>U$9&gt;=20/24</formula>
    </cfRule>
    <cfRule type="expression" dxfId="4879" priority="343">
      <formula>AND(U$9&gt;=14/24,U$9&lt;20/24)</formula>
    </cfRule>
    <cfRule type="expression" dxfId="4878" priority="344">
      <formula>AND(U$9&gt;=8/24,U$9&lt;14/24)</formula>
    </cfRule>
    <cfRule type="expression" dxfId="4877" priority="345">
      <formula>U$9&lt;8/24</formula>
    </cfRule>
  </conditionalFormatting>
  <conditionalFormatting sqref="AL32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Y33:AD33">
    <cfRule type="expression" dxfId="4876" priority="325">
      <formula>Y$9&gt;=20/24</formula>
    </cfRule>
    <cfRule type="expression" dxfId="4875" priority="326">
      <formula>AND(Y$9&gt;=14/24,Y$9&lt;20/24)</formula>
    </cfRule>
    <cfRule type="expression" dxfId="4874" priority="327">
      <formula>AND(Y$9&gt;=8/24,Y$9&lt;14/24)</formula>
    </cfRule>
    <cfRule type="expression" dxfId="4873" priority="328">
      <formula>Y$9&lt;8/24</formula>
    </cfRule>
  </conditionalFormatting>
  <conditionalFormatting sqref="O33:U33">
    <cfRule type="expression" dxfId="4872" priority="321">
      <formula>O$9&gt;=20/24</formula>
    </cfRule>
    <cfRule type="expression" dxfId="4871" priority="322">
      <formula>AND(O$9&gt;=14/24,O$9&lt;20/24)</formula>
    </cfRule>
    <cfRule type="expression" dxfId="4870" priority="323">
      <formula>AND(O$9&gt;=8/24,O$9&lt;14/24)</formula>
    </cfRule>
    <cfRule type="expression" dxfId="4869" priority="324">
      <formula>O$9&lt;8/24</formula>
    </cfRule>
  </conditionalFormatting>
  <conditionalFormatting sqref="O33:U33 Y33:AF33">
    <cfRule type="expression" dxfId="4868" priority="316">
      <formula>O33&gt;$AG33</formula>
    </cfRule>
  </conditionalFormatting>
  <conditionalFormatting sqref="A33">
    <cfRule type="expression" dxfId="4867" priority="315">
      <formula>$AH33=0</formula>
    </cfRule>
  </conditionalFormatting>
  <conditionalFormatting sqref="B82:AF82">
    <cfRule type="expression" dxfId="4866" priority="311">
      <formula>B$9&gt;=20/24</formula>
    </cfRule>
    <cfRule type="expression" dxfId="4865" priority="312">
      <formula>AND(B$9&gt;=14/24,B$9&lt;20/24)</formula>
    </cfRule>
    <cfRule type="expression" dxfId="4864" priority="313">
      <formula>AND(B$9&gt;=8/24,B$9&lt;14/24)</formula>
    </cfRule>
    <cfRule type="expression" dxfId="4863" priority="314">
      <formula>B$9&lt;8/24</formula>
    </cfRule>
  </conditionalFormatting>
  <conditionalFormatting sqref="A82">
    <cfRule type="expression" dxfId="4862" priority="310">
      <formula>$AH82=0</formula>
    </cfRule>
  </conditionalFormatting>
  <conditionalFormatting sqref="Y15:AD15">
    <cfRule type="expression" dxfId="4861" priority="306">
      <formula>Y$9&gt;=20/24</formula>
    </cfRule>
    <cfRule type="expression" dxfId="4860" priority="307">
      <formula>AND(Y$9&gt;=14/24,Y$9&lt;20/24)</formula>
    </cfRule>
    <cfRule type="expression" dxfId="4859" priority="308">
      <formula>AND(Y$9&gt;=8/24,Y$9&lt;14/24)</formula>
    </cfRule>
    <cfRule type="expression" dxfId="4858" priority="309">
      <formula>Y$9&lt;8/24</formula>
    </cfRule>
  </conditionalFormatting>
  <conditionalFormatting sqref="O15:U15">
    <cfRule type="expression" dxfId="4857" priority="302">
      <formula>O$9&gt;=20/24</formula>
    </cfRule>
    <cfRule type="expression" dxfId="4856" priority="303">
      <formula>AND(O$9&gt;=14/24,O$9&lt;20/24)</formula>
    </cfRule>
    <cfRule type="expression" dxfId="4855" priority="304">
      <formula>AND(O$9&gt;=8/24,O$9&lt;14/24)</formula>
    </cfRule>
    <cfRule type="expression" dxfId="4854" priority="305">
      <formula>O$9&lt;8/24</formula>
    </cfRule>
  </conditionalFormatting>
  <conditionalFormatting sqref="O15:U15 Y15:AF15">
    <cfRule type="expression" dxfId="4853" priority="301">
      <formula>O15&gt;$AG15</formula>
    </cfRule>
  </conditionalFormatting>
  <conditionalFormatting sqref="A15">
    <cfRule type="expression" dxfId="4852" priority="300">
      <formula>$AH15=0</formula>
    </cfRule>
  </conditionalFormatting>
  <conditionalFormatting sqref="A162:A167">
    <cfRule type="expression" dxfId="4851" priority="299">
      <formula>$AH162=0</formula>
    </cfRule>
  </conditionalFormatting>
  <conditionalFormatting sqref="A156:A161">
    <cfRule type="expression" dxfId="4850" priority="298">
      <formula>$AH156=0</formula>
    </cfRule>
  </conditionalFormatting>
  <conditionalFormatting sqref="Y43:AD43">
    <cfRule type="expression" dxfId="4849" priority="294">
      <formula>Y$9&gt;=20/24</formula>
    </cfRule>
    <cfRule type="expression" dxfId="4848" priority="295">
      <formula>AND(Y$9&gt;=14/24,Y$9&lt;20/24)</formula>
    </cfRule>
    <cfRule type="expression" dxfId="4847" priority="296">
      <formula>AND(Y$9&gt;=8/24,Y$9&lt;14/24)</formula>
    </cfRule>
    <cfRule type="expression" dxfId="4846" priority="297">
      <formula>Y$9&lt;8/24</formula>
    </cfRule>
  </conditionalFormatting>
  <conditionalFormatting sqref="L43:U43">
    <cfRule type="expression" dxfId="4845" priority="290">
      <formula>L$9&gt;=20/24</formula>
    </cfRule>
    <cfRule type="expression" dxfId="4844" priority="291">
      <formula>AND(L$9&gt;=14/24,L$9&lt;20/24)</formula>
    </cfRule>
    <cfRule type="expression" dxfId="4843" priority="292">
      <formula>AND(L$9&gt;=8/24,L$9&lt;14/24)</formula>
    </cfRule>
    <cfRule type="expression" dxfId="4842" priority="293">
      <formula>L$9&lt;8/24</formula>
    </cfRule>
  </conditionalFormatting>
  <conditionalFormatting sqref="F43:U43 Y43:AF43">
    <cfRule type="expression" dxfId="4841" priority="285">
      <formula>F43&gt;$AG43</formula>
    </cfRule>
  </conditionalFormatting>
  <conditionalFormatting sqref="A43">
    <cfRule type="expression" dxfId="4840" priority="284">
      <formula>$AH43=0</formula>
    </cfRule>
  </conditionalFormatting>
  <conditionalFormatting sqref="B78:AF78">
    <cfRule type="expression" dxfId="4839" priority="280">
      <formula>B$9&gt;=20/24</formula>
    </cfRule>
    <cfRule type="expression" dxfId="4838" priority="281">
      <formula>AND(B$9&gt;=14/24,B$9&lt;20/24)</formula>
    </cfRule>
    <cfRule type="expression" dxfId="4837" priority="282">
      <formula>AND(B$9&gt;=8/24,B$9&lt;14/24)</formula>
    </cfRule>
    <cfRule type="expression" dxfId="4836" priority="283">
      <formula>B$9&lt;8/24</formula>
    </cfRule>
  </conditionalFormatting>
  <conditionalFormatting sqref="A78">
    <cfRule type="expression" dxfId="4835" priority="279">
      <formula>$AH78=0</formula>
    </cfRule>
  </conditionalFormatting>
  <conditionalFormatting sqref="B72:AG72">
    <cfRule type="expression" dxfId="4834" priority="275">
      <formula>B$9&gt;=20/24</formula>
    </cfRule>
    <cfRule type="expression" dxfId="4833" priority="276">
      <formula>AND(B$9&gt;=14/24,B$9&lt;20/24)</formula>
    </cfRule>
    <cfRule type="expression" dxfId="4832" priority="277">
      <formula>AND(B$9&gt;=8/24,B$9&lt;14/24)</formula>
    </cfRule>
    <cfRule type="expression" dxfId="4831" priority="278">
      <formula>B$9&lt;8/24</formula>
    </cfRule>
  </conditionalFormatting>
  <conditionalFormatting sqref="A72">
    <cfRule type="expression" dxfId="4830" priority="274">
      <formula>$AH72=0</formula>
    </cfRule>
  </conditionalFormatting>
  <conditionalFormatting sqref="AL33:AL34 AL7:AL31">
    <cfRule type="iconSet" priority="456">
      <iconSet iconSet="3TrafficLights2" reverse="1">
        <cfvo type="percent" val="0"/>
        <cfvo type="num" val="1"/>
        <cfvo type="num" val="1"/>
      </iconSet>
    </cfRule>
  </conditionalFormatting>
  <conditionalFormatting sqref="V84:V90">
    <cfRule type="expression" dxfId="4829" priority="266">
      <formula>V$9&gt;=20/24</formula>
    </cfRule>
    <cfRule type="expression" dxfId="4828" priority="267">
      <formula>AND(V$9&gt;=14/24,V$9&lt;20/24)</formula>
    </cfRule>
    <cfRule type="expression" dxfId="4827" priority="268">
      <formula>AND(V$9&gt;=8/24,V$9&lt;14/24)</formula>
    </cfRule>
    <cfRule type="expression" dxfId="4826" priority="269">
      <formula>V$9&lt;8/24</formula>
    </cfRule>
  </conditionalFormatting>
  <conditionalFormatting sqref="C83:I83 E84:I90 N83:Q83 J83:M90 N84:U90">
    <cfRule type="expression" dxfId="4825" priority="262">
      <formula>C$9&gt;=20/24</formula>
    </cfRule>
    <cfRule type="expression" dxfId="4824" priority="263">
      <formula>AND(C$9&gt;=14/24,C$9&lt;20/24)</formula>
    </cfRule>
    <cfRule type="expression" dxfId="4823" priority="264">
      <formula>AND(C$9&gt;=8/24,C$9&lt;14/24)</formula>
    </cfRule>
    <cfRule type="expression" dxfId="4822" priority="265">
      <formula>C$9&lt;8/24</formula>
    </cfRule>
  </conditionalFormatting>
  <conditionalFormatting sqref="R83:U83">
    <cfRule type="expression" dxfId="4821" priority="258">
      <formula>R$9&gt;=20/24</formula>
    </cfRule>
    <cfRule type="expression" dxfId="4820" priority="259">
      <formula>AND(R$9&gt;=14/24,R$9&lt;20/24)</formula>
    </cfRule>
    <cfRule type="expression" dxfId="4819" priority="260">
      <formula>AND(R$9&gt;=8/24,R$9&lt;14/24)</formula>
    </cfRule>
    <cfRule type="expression" dxfId="4818" priority="261">
      <formula>R$9&lt;8/24</formula>
    </cfRule>
  </conditionalFormatting>
  <conditionalFormatting sqref="C93:E93 C94:L96">
    <cfRule type="expression" dxfId="4817" priority="254">
      <formula>C$9&gt;=20/24</formula>
    </cfRule>
    <cfRule type="expression" dxfId="4816" priority="255">
      <formula>AND(C$9&gt;=14/24,C$9&lt;20/24)</formula>
    </cfRule>
    <cfRule type="expression" dxfId="4815" priority="256">
      <formula>AND(C$9&gt;=8/24,C$9&lt;14/24)</formula>
    </cfRule>
    <cfRule type="expression" dxfId="4814" priority="257">
      <formula>C$9&lt;8/24</formula>
    </cfRule>
  </conditionalFormatting>
  <conditionalFormatting sqref="M94:Q96 N93:Q93">
    <cfRule type="expression" dxfId="4813" priority="250">
      <formula>M$9&gt;=20/24</formula>
    </cfRule>
    <cfRule type="expression" dxfId="4812" priority="251">
      <formula>AND(M$9&gt;=14/24,M$9&lt;20/24)</formula>
    </cfRule>
    <cfRule type="expression" dxfId="4811" priority="252">
      <formula>AND(M$9&gt;=8/24,M$9&lt;14/24)</formula>
    </cfRule>
    <cfRule type="expression" dxfId="4810" priority="253">
      <formula>M$9&lt;8/24</formula>
    </cfRule>
  </conditionalFormatting>
  <conditionalFormatting sqref="R93:U96">
    <cfRule type="expression" dxfId="4809" priority="246">
      <formula>R$9&gt;=20/24</formula>
    </cfRule>
    <cfRule type="expression" dxfId="4808" priority="247">
      <formula>AND(R$9&gt;=14/24,R$9&lt;20/24)</formula>
    </cfRule>
    <cfRule type="expression" dxfId="4807" priority="248">
      <formula>AND(R$9&gt;=8/24,R$9&lt;14/24)</formula>
    </cfRule>
    <cfRule type="expression" dxfId="4806" priority="249">
      <formula>R$9&lt;8/24</formula>
    </cfRule>
  </conditionalFormatting>
  <conditionalFormatting sqref="C97:L97">
    <cfRule type="expression" dxfId="4805" priority="242">
      <formula>C$9&gt;=20/24</formula>
    </cfRule>
    <cfRule type="expression" dxfId="4804" priority="243">
      <formula>AND(C$9&gt;=14/24,C$9&lt;20/24)</formula>
    </cfRule>
    <cfRule type="expression" dxfId="4803" priority="244">
      <formula>AND(C$9&gt;=8/24,C$9&lt;14/24)</formula>
    </cfRule>
    <cfRule type="expression" dxfId="4802" priority="245">
      <formula>C$9&lt;8/24</formula>
    </cfRule>
  </conditionalFormatting>
  <conditionalFormatting sqref="M97:Q97">
    <cfRule type="expression" dxfId="4801" priority="238">
      <formula>M$9&gt;=20/24</formula>
    </cfRule>
    <cfRule type="expression" dxfId="4800" priority="239">
      <formula>AND(M$9&gt;=14/24,M$9&lt;20/24)</formula>
    </cfRule>
    <cfRule type="expression" dxfId="4799" priority="240">
      <formula>AND(M$9&gt;=8/24,M$9&lt;14/24)</formula>
    </cfRule>
    <cfRule type="expression" dxfId="4798" priority="241">
      <formula>M$9&lt;8/24</formula>
    </cfRule>
  </conditionalFormatting>
  <conditionalFormatting sqref="R97:U97">
    <cfRule type="expression" dxfId="4797" priority="234">
      <formula>R$9&gt;=20/24</formula>
    </cfRule>
    <cfRule type="expression" dxfId="4796" priority="235">
      <formula>AND(R$9&gt;=14/24,R$9&lt;20/24)</formula>
    </cfRule>
    <cfRule type="expression" dxfId="4795" priority="236">
      <formula>AND(R$9&gt;=8/24,R$9&lt;14/24)</formula>
    </cfRule>
    <cfRule type="expression" dxfId="4794" priority="237">
      <formula>R$9&lt;8/24</formula>
    </cfRule>
  </conditionalFormatting>
  <conditionalFormatting sqref="L93:M93">
    <cfRule type="expression" dxfId="4793" priority="230">
      <formula>L$9&gt;=20/24</formula>
    </cfRule>
    <cfRule type="expression" dxfId="4792" priority="231">
      <formula>AND(L$9&gt;=14/24,L$9&lt;20/24)</formula>
    </cfRule>
    <cfRule type="expression" dxfId="4791" priority="232">
      <formula>AND(L$9&gt;=8/24,L$9&lt;14/24)</formula>
    </cfRule>
    <cfRule type="expression" dxfId="4790" priority="233">
      <formula>L$9&lt;8/24</formula>
    </cfRule>
  </conditionalFormatting>
  <conditionalFormatting sqref="F93:K93">
    <cfRule type="expression" dxfId="4789" priority="226">
      <formula>F$9&gt;=20/24</formula>
    </cfRule>
    <cfRule type="expression" dxfId="4788" priority="227">
      <formula>AND(F$9&gt;=14/24,F$9&lt;20/24)</formula>
    </cfRule>
    <cfRule type="expression" dxfId="4787" priority="228">
      <formula>AND(F$9&gt;=8/24,F$9&lt;14/24)</formula>
    </cfRule>
    <cfRule type="expression" dxfId="4786" priority="229">
      <formula>F$9&lt;8/24</formula>
    </cfRule>
  </conditionalFormatting>
  <conditionalFormatting sqref="M93:U93">
    <cfRule type="expression" dxfId="4785" priority="218">
      <formula>M$9&gt;=20/24</formula>
    </cfRule>
    <cfRule type="expression" dxfId="4784" priority="219">
      <formula>AND(M$9&gt;=14/24,M$9&lt;20/24)</formula>
    </cfRule>
    <cfRule type="expression" dxfId="4783" priority="220">
      <formula>AND(M$9&gt;=8/24,M$9&lt;14/24)</formula>
    </cfRule>
    <cfRule type="expression" dxfId="4782" priority="221">
      <formula>M$9&lt;8/24</formula>
    </cfRule>
  </conditionalFormatting>
  <conditionalFormatting sqref="AA98:AF98">
    <cfRule type="expression" dxfId="4781" priority="214">
      <formula>AA$9&gt;=20/24</formula>
    </cfRule>
    <cfRule type="expression" dxfId="4780" priority="215">
      <formula>AND(AA$9&gt;=14/24,AA$9&lt;20/24)</formula>
    </cfRule>
    <cfRule type="expression" dxfId="4779" priority="216">
      <formula>AND(AA$9&gt;=8/24,AA$9&lt;14/24)</formula>
    </cfRule>
    <cfRule type="expression" dxfId="4778" priority="217">
      <formula>AA$9&lt;8/24</formula>
    </cfRule>
  </conditionalFormatting>
  <conditionalFormatting sqref="W98">
    <cfRule type="expression" dxfId="4777" priority="210">
      <formula>W$9&gt;=20/24</formula>
    </cfRule>
    <cfRule type="expression" dxfId="4776" priority="211">
      <formula>AND(W$9&gt;=14/24,W$9&lt;20/24)</formula>
    </cfRule>
    <cfRule type="expression" dxfId="4775" priority="212">
      <formula>AND(W$9&gt;=8/24,W$9&lt;14/24)</formula>
    </cfRule>
    <cfRule type="expression" dxfId="4774" priority="213">
      <formula>W$9&lt;8/24</formula>
    </cfRule>
  </conditionalFormatting>
  <conditionalFormatting sqref="A98">
    <cfRule type="expression" dxfId="4773" priority="209">
      <formula>$AH98=0</formula>
    </cfRule>
  </conditionalFormatting>
  <conditionalFormatting sqref="C98:L98">
    <cfRule type="expression" dxfId="4772" priority="205">
      <formula>C$9&gt;=20/24</formula>
    </cfRule>
    <cfRule type="expression" dxfId="4771" priority="206">
      <formula>AND(C$9&gt;=14/24,C$9&lt;20/24)</formula>
    </cfRule>
    <cfRule type="expression" dxfId="4770" priority="207">
      <formula>AND(C$9&gt;=8/24,C$9&lt;14/24)</formula>
    </cfRule>
    <cfRule type="expression" dxfId="4769" priority="208">
      <formula>C$9&lt;8/24</formula>
    </cfRule>
  </conditionalFormatting>
  <conditionalFormatting sqref="M98:Q98">
    <cfRule type="expression" dxfId="4768" priority="201">
      <formula>M$9&gt;=20/24</formula>
    </cfRule>
    <cfRule type="expression" dxfId="4767" priority="202">
      <formula>AND(M$9&gt;=14/24,M$9&lt;20/24)</formula>
    </cfRule>
    <cfRule type="expression" dxfId="4766" priority="203">
      <formula>AND(M$9&gt;=8/24,M$9&lt;14/24)</formula>
    </cfRule>
    <cfRule type="expression" dxfId="4765" priority="204">
      <formula>M$9&lt;8/24</formula>
    </cfRule>
  </conditionalFormatting>
  <conditionalFormatting sqref="R98:U98">
    <cfRule type="expression" dxfId="4764" priority="197">
      <formula>R$9&gt;=20/24</formula>
    </cfRule>
    <cfRule type="expression" dxfId="4763" priority="198">
      <formula>AND(R$9&gt;=14/24,R$9&lt;20/24)</formula>
    </cfRule>
    <cfRule type="expression" dxfId="4762" priority="199">
      <formula>AND(R$9&gt;=8/24,R$9&lt;14/24)</formula>
    </cfRule>
    <cfRule type="expression" dxfId="4761" priority="200">
      <formula>R$9&lt;8/24</formula>
    </cfRule>
  </conditionalFormatting>
  <conditionalFormatting sqref="AA57:AD58">
    <cfRule type="expression" dxfId="4760" priority="181">
      <formula>AA$9&gt;=20/24</formula>
    </cfRule>
    <cfRule type="expression" dxfId="4759" priority="182">
      <formula>AND(AA$9&gt;=14/24,AA$9&lt;20/24)</formula>
    </cfRule>
    <cfRule type="expression" dxfId="4758" priority="183">
      <formula>AND(AA$9&gt;=8/24,AA$9&lt;14/24)</formula>
    </cfRule>
    <cfRule type="expression" dxfId="4757" priority="184">
      <formula>AA$9&lt;8/24</formula>
    </cfRule>
  </conditionalFormatting>
  <conditionalFormatting sqref="B11:D11">
    <cfRule type="expression" dxfId="4756" priority="177">
      <formula>B$9&gt;=20/24</formula>
    </cfRule>
    <cfRule type="expression" dxfId="4755" priority="178">
      <formula>AND(B$9&gt;=14/24,B$9&lt;20/24)</formula>
    </cfRule>
    <cfRule type="expression" dxfId="4754" priority="179">
      <formula>AND(B$9&gt;=8/24,B$9&lt;14/24)</formula>
    </cfRule>
    <cfRule type="expression" dxfId="4753" priority="180">
      <formula>B$9&lt;8/24</formula>
    </cfRule>
  </conditionalFormatting>
  <conditionalFormatting sqref="B11:D11">
    <cfRule type="expression" dxfId="4752" priority="176">
      <formula>B11&gt;$AG11</formula>
    </cfRule>
  </conditionalFormatting>
  <conditionalFormatting sqref="B12:K13 L13:N13">
    <cfRule type="expression" dxfId="4751" priority="172">
      <formula>B$9&gt;=20/24</formula>
    </cfRule>
    <cfRule type="expression" dxfId="4750" priority="173">
      <formula>AND(B$9&gt;=14/24,B$9&lt;20/24)</formula>
    </cfRule>
    <cfRule type="expression" dxfId="4749" priority="174">
      <formula>AND(B$9&gt;=8/24,B$9&lt;14/24)</formula>
    </cfRule>
    <cfRule type="expression" dxfId="4748" priority="175">
      <formula>B$9&lt;8/24</formula>
    </cfRule>
  </conditionalFormatting>
  <conditionalFormatting sqref="B12:K13 L13:N13">
    <cfRule type="expression" dxfId="4747" priority="171">
      <formula>B12&gt;$AG12</formula>
    </cfRule>
  </conditionalFormatting>
  <conditionalFormatting sqref="B18:N30">
    <cfRule type="expression" dxfId="4746" priority="167">
      <formula>B$9&gt;=20/24</formula>
    </cfRule>
    <cfRule type="expression" dxfId="4745" priority="168">
      <formula>AND(B$9&gt;=14/24,B$9&lt;20/24)</formula>
    </cfRule>
    <cfRule type="expression" dxfId="4744" priority="169">
      <formula>AND(B$9&gt;=8/24,B$9&lt;14/24)</formula>
    </cfRule>
    <cfRule type="expression" dxfId="4743" priority="170">
      <formula>B$9&lt;8/24</formula>
    </cfRule>
  </conditionalFormatting>
  <conditionalFormatting sqref="B36:K36">
    <cfRule type="expression" dxfId="4742" priority="163">
      <formula>B$9&gt;=20/24</formula>
    </cfRule>
    <cfRule type="expression" dxfId="4741" priority="164">
      <formula>AND(B$9&gt;=14/24,B$9&lt;20/24)</formula>
    </cfRule>
    <cfRule type="expression" dxfId="4740" priority="165">
      <formula>AND(B$9&gt;=8/24,B$9&lt;14/24)</formula>
    </cfRule>
    <cfRule type="expression" dxfId="4739" priority="166">
      <formula>B$9&lt;8/24</formula>
    </cfRule>
  </conditionalFormatting>
  <conditionalFormatting sqref="B31:N32 B34:N34">
    <cfRule type="expression" dxfId="4738" priority="159">
      <formula>B$9&gt;=20/24</formula>
    </cfRule>
    <cfRule type="expression" dxfId="4737" priority="160">
      <formula>AND(B$9&gt;=14/24,B$9&lt;20/24)</formula>
    </cfRule>
    <cfRule type="expression" dxfId="4736" priority="161">
      <formula>AND(B$9&gt;=8/24,B$9&lt;14/24)</formula>
    </cfRule>
    <cfRule type="expression" dxfId="4735" priority="162">
      <formula>B$9&lt;8/24</formula>
    </cfRule>
  </conditionalFormatting>
  <conditionalFormatting sqref="B34:K36 B18:N32 L34:N34">
    <cfRule type="expression" dxfId="4734" priority="158">
      <formula>B18&gt;$AG18</formula>
    </cfRule>
  </conditionalFormatting>
  <conditionalFormatting sqref="B35:K35">
    <cfRule type="expression" dxfId="4733" priority="154">
      <formula>B$9&gt;=20/24</formula>
    </cfRule>
    <cfRule type="expression" dxfId="4732" priority="155">
      <formula>AND(B$9&gt;=14/24,B$9&lt;20/24)</formula>
    </cfRule>
    <cfRule type="expression" dxfId="4731" priority="156">
      <formula>AND(B$9&gt;=8/24,B$9&lt;14/24)</formula>
    </cfRule>
    <cfRule type="expression" dxfId="4730" priority="157">
      <formula>B$9&lt;8/24</formula>
    </cfRule>
  </conditionalFormatting>
  <conditionalFormatting sqref="B35:K35">
    <cfRule type="expression" dxfId="4729" priority="150">
      <formula>B$9&gt;=20/24</formula>
    </cfRule>
    <cfRule type="expression" dxfId="4728" priority="151">
      <formula>AND(B$9&gt;=14/24,B$9&lt;20/24)</formula>
    </cfRule>
    <cfRule type="expression" dxfId="4727" priority="152">
      <formula>AND(B$9&gt;=8/24,B$9&lt;14/24)</formula>
    </cfRule>
    <cfRule type="expression" dxfId="4726" priority="153">
      <formula>B$9&lt;8/24</formula>
    </cfRule>
  </conditionalFormatting>
  <conditionalFormatting sqref="B33:N33">
    <cfRule type="expression" dxfId="4725" priority="146">
      <formula>B$9&gt;=20/24</formula>
    </cfRule>
    <cfRule type="expression" dxfId="4724" priority="147">
      <formula>AND(B$9&gt;=14/24,B$9&lt;20/24)</formula>
    </cfRule>
    <cfRule type="expression" dxfId="4723" priority="148">
      <formula>AND(B$9&gt;=8/24,B$9&lt;14/24)</formula>
    </cfRule>
    <cfRule type="expression" dxfId="4722" priority="149">
      <formula>B$9&lt;8/24</formula>
    </cfRule>
  </conditionalFormatting>
  <conditionalFormatting sqref="B33:N33">
    <cfRule type="expression" dxfId="4721" priority="145">
      <formula>B33&gt;$AG33</formula>
    </cfRule>
  </conditionalFormatting>
  <conditionalFormatting sqref="B14:K16 L14:N15">
    <cfRule type="expression" dxfId="4720" priority="141">
      <formula>B$9&gt;=20/24</formula>
    </cfRule>
    <cfRule type="expression" dxfId="4719" priority="142">
      <formula>AND(B$9&gt;=14/24,B$9&lt;20/24)</formula>
    </cfRule>
    <cfRule type="expression" dxfId="4718" priority="143">
      <formula>AND(B$9&gt;=8/24,B$9&lt;14/24)</formula>
    </cfRule>
    <cfRule type="expression" dxfId="4717" priority="144">
      <formula>B$9&lt;8/24</formula>
    </cfRule>
  </conditionalFormatting>
  <conditionalFormatting sqref="B17:N17">
    <cfRule type="expression" dxfId="4716" priority="137">
      <formula>B$9&gt;=20/24</formula>
    </cfRule>
    <cfRule type="expression" dxfId="4715" priority="138">
      <formula>AND(B$9&gt;=14/24,B$9&lt;20/24)</formula>
    </cfRule>
    <cfRule type="expression" dxfId="4714" priority="139">
      <formula>AND(B$9&gt;=8/24,B$9&lt;14/24)</formula>
    </cfRule>
    <cfRule type="expression" dxfId="4713" priority="140">
      <formula>B$9&lt;8/24</formula>
    </cfRule>
  </conditionalFormatting>
  <conditionalFormatting sqref="B50">
    <cfRule type="expression" dxfId="4712" priority="136">
      <formula>B50&gt;$AG50</formula>
    </cfRule>
  </conditionalFormatting>
  <conditionalFormatting sqref="B39:C41 D40:E41">
    <cfRule type="expression" dxfId="4711" priority="132">
      <formula>B$9&gt;=20/24</formula>
    </cfRule>
    <cfRule type="expression" dxfId="4710" priority="133">
      <formula>AND(B$9&gt;=14/24,B$9&lt;20/24)</formula>
    </cfRule>
    <cfRule type="expression" dxfId="4709" priority="134">
      <formula>AND(B$9&gt;=8/24,B$9&lt;14/24)</formula>
    </cfRule>
    <cfRule type="expression" dxfId="4708" priority="135">
      <formula>B$9&lt;8/24</formula>
    </cfRule>
  </conditionalFormatting>
  <conditionalFormatting sqref="B38:C38">
    <cfRule type="expression" dxfId="4707" priority="128">
      <formula>B$9&gt;=20/24</formula>
    </cfRule>
    <cfRule type="expression" dxfId="4706" priority="129">
      <formula>AND(B$9&gt;=14/24,B$9&lt;20/24)</formula>
    </cfRule>
    <cfRule type="expression" dxfId="4705" priority="130">
      <formula>AND(B$9&gt;=8/24,B$9&lt;14/24)</formula>
    </cfRule>
    <cfRule type="expression" dxfId="4704" priority="131">
      <formula>B$9&lt;8/24</formula>
    </cfRule>
  </conditionalFormatting>
  <conditionalFormatting sqref="B44:E47 B42:E42 F45:K45 F47:K47">
    <cfRule type="expression" dxfId="4703" priority="124">
      <formula>B$9&gt;=20/24</formula>
    </cfRule>
    <cfRule type="expression" dxfId="4702" priority="125">
      <formula>AND(B$9&gt;=14/24,B$9&lt;20/24)</formula>
    </cfRule>
    <cfRule type="expression" dxfId="4701" priority="126">
      <formula>AND(B$9&gt;=8/24,B$9&lt;14/24)</formula>
    </cfRule>
    <cfRule type="expression" dxfId="4700" priority="127">
      <formula>B$9&lt;8/24</formula>
    </cfRule>
  </conditionalFormatting>
  <conditionalFormatting sqref="B48:K48">
    <cfRule type="expression" dxfId="4699" priority="120">
      <formula>B$9&gt;=20/24</formula>
    </cfRule>
    <cfRule type="expression" dxfId="4698" priority="121">
      <formula>AND(B$9&gt;=14/24,B$9&lt;20/24)</formula>
    </cfRule>
    <cfRule type="expression" dxfId="4697" priority="122">
      <formula>AND(B$9&gt;=8/24,B$9&lt;14/24)</formula>
    </cfRule>
    <cfRule type="expression" dxfId="4696" priority="123">
      <formula>B$9&lt;8/24</formula>
    </cfRule>
  </conditionalFormatting>
  <conditionalFormatting sqref="B49:K49">
    <cfRule type="expression" dxfId="4695" priority="116">
      <formula>B$9&gt;=20/24</formula>
    </cfRule>
    <cfRule type="expression" dxfId="4694" priority="117">
      <formula>AND(B$9&gt;=14/24,B$9&lt;20/24)</formula>
    </cfRule>
    <cfRule type="expression" dxfId="4693" priority="118">
      <formula>AND(B$9&gt;=8/24,B$9&lt;14/24)</formula>
    </cfRule>
    <cfRule type="expression" dxfId="4692" priority="119">
      <formula>B$9&lt;8/24</formula>
    </cfRule>
  </conditionalFormatting>
  <conditionalFormatting sqref="B38:C42 B44:E49 D40:E42 F45:K45 F47:K49">
    <cfRule type="expression" dxfId="4691" priority="115">
      <formula>B38&gt;$AG38</formula>
    </cfRule>
  </conditionalFormatting>
  <conditionalFormatting sqref="B43:E43">
    <cfRule type="expression" dxfId="4690" priority="111">
      <formula>B$9&gt;=20/24</formula>
    </cfRule>
    <cfRule type="expression" dxfId="4689" priority="112">
      <formula>AND(B$9&gt;=14/24,B$9&lt;20/24)</formula>
    </cfRule>
    <cfRule type="expression" dxfId="4688" priority="113">
      <formula>AND(B$9&gt;=8/24,B$9&lt;14/24)</formula>
    </cfRule>
    <cfRule type="expression" dxfId="4687" priority="114">
      <formula>B$9&lt;8/24</formula>
    </cfRule>
  </conditionalFormatting>
  <conditionalFormatting sqref="B43:E43">
    <cfRule type="expression" dxfId="4686" priority="110">
      <formula>B43&gt;$AG43</formula>
    </cfRule>
  </conditionalFormatting>
  <conditionalFormatting sqref="B56:E56">
    <cfRule type="expression" dxfId="4685" priority="106">
      <formula>B$9&gt;=20/24</formula>
    </cfRule>
    <cfRule type="expression" dxfId="4684" priority="107">
      <formula>AND(B$9&gt;=14/24,B$9&lt;20/24)</formula>
    </cfRule>
    <cfRule type="expression" dxfId="4683" priority="108">
      <formula>AND(B$9&gt;=8/24,B$9&lt;14/24)</formula>
    </cfRule>
    <cfRule type="expression" dxfId="4682" priority="109">
      <formula>B$9&lt;8/24</formula>
    </cfRule>
  </conditionalFormatting>
  <conditionalFormatting sqref="B59:K66 L60:N66">
    <cfRule type="expression" dxfId="4681" priority="102">
      <formula>B$9&gt;=20/24</formula>
    </cfRule>
    <cfRule type="expression" dxfId="4680" priority="103">
      <formula>AND(B$9&gt;=14/24,B$9&lt;20/24)</formula>
    </cfRule>
    <cfRule type="expression" dxfId="4679" priority="104">
      <formula>AND(B$9&gt;=8/24,B$9&lt;14/24)</formula>
    </cfRule>
    <cfRule type="expression" dxfId="4678" priority="105">
      <formula>B$9&lt;8/24</formula>
    </cfRule>
  </conditionalFormatting>
  <conditionalFormatting sqref="B57:E58">
    <cfRule type="expression" dxfId="4677" priority="98">
      <formula>B$9&gt;=20/24</formula>
    </cfRule>
    <cfRule type="expression" dxfId="4676" priority="99">
      <formula>AND(B$9&gt;=14/24,B$9&lt;20/24)</formula>
    </cfRule>
    <cfRule type="expression" dxfId="4675" priority="100">
      <formula>AND(B$9&gt;=8/24,B$9&lt;14/24)</formula>
    </cfRule>
    <cfRule type="expression" dxfId="4674" priority="101">
      <formula>B$9&lt;8/24</formula>
    </cfRule>
  </conditionalFormatting>
  <conditionalFormatting sqref="B83:B90 C84:D90">
    <cfRule type="expression" dxfId="4673" priority="94">
      <formula>B$9&gt;=20/24</formula>
    </cfRule>
    <cfRule type="expression" dxfId="4672" priority="95">
      <formula>AND(B$9&gt;=14/24,B$9&lt;20/24)</formula>
    </cfRule>
    <cfRule type="expression" dxfId="4671" priority="96">
      <formula>AND(B$9&gt;=8/24,B$9&lt;14/24)</formula>
    </cfRule>
    <cfRule type="expression" dxfId="4670" priority="97">
      <formula>B$9&lt;8/24</formula>
    </cfRule>
  </conditionalFormatting>
  <conditionalFormatting sqref="B93:B96">
    <cfRule type="expression" dxfId="4669" priority="90">
      <formula>B$9&gt;=20/24</formula>
    </cfRule>
    <cfRule type="expression" dxfId="4668" priority="91">
      <formula>AND(B$9&gt;=14/24,B$9&lt;20/24)</formula>
    </cfRule>
    <cfRule type="expression" dxfId="4667" priority="92">
      <formula>AND(B$9&gt;=8/24,B$9&lt;14/24)</formula>
    </cfRule>
    <cfRule type="expression" dxfId="4666" priority="93">
      <formula>B$9&lt;8/24</formula>
    </cfRule>
  </conditionalFormatting>
  <conditionalFormatting sqref="B97">
    <cfRule type="expression" dxfId="4665" priority="86">
      <formula>B$9&gt;=20/24</formula>
    </cfRule>
    <cfRule type="expression" dxfId="4664" priority="87">
      <formula>AND(B$9&gt;=14/24,B$9&lt;20/24)</formula>
    </cfRule>
    <cfRule type="expression" dxfId="4663" priority="88">
      <formula>AND(B$9&gt;=8/24,B$9&lt;14/24)</formula>
    </cfRule>
    <cfRule type="expression" dxfId="4662" priority="89">
      <formula>B$9&lt;8/24</formula>
    </cfRule>
  </conditionalFormatting>
  <conditionalFormatting sqref="B98">
    <cfRule type="expression" dxfId="4661" priority="82">
      <formula>B$9&gt;=20/24</formula>
    </cfRule>
    <cfRule type="expression" dxfId="4660" priority="83">
      <formula>AND(B$9&gt;=14/24,B$9&lt;20/24)</formula>
    </cfRule>
    <cfRule type="expression" dxfId="4659" priority="84">
      <formula>AND(B$9&gt;=8/24,B$9&lt;14/24)</formula>
    </cfRule>
    <cfRule type="expression" dxfId="4658" priority="85">
      <formula>B$9&lt;8/24</formula>
    </cfRule>
  </conditionalFormatting>
  <conditionalFormatting sqref="Y57:Z58">
    <cfRule type="expression" dxfId="4657" priority="78">
      <formula>Y$9&gt;=20/24</formula>
    </cfRule>
    <cfRule type="expression" dxfId="4656" priority="79">
      <formula>AND(Y$9&gt;=14/24,Y$9&lt;20/24)</formula>
    </cfRule>
    <cfRule type="expression" dxfId="4655" priority="80">
      <formula>AND(Y$9&gt;=8/24,Y$9&lt;14/24)</formula>
    </cfRule>
    <cfRule type="expression" dxfId="4654" priority="81">
      <formula>Y$9&lt;8/24</formula>
    </cfRule>
  </conditionalFormatting>
  <conditionalFormatting sqref="Y56:Z56">
    <cfRule type="expression" dxfId="4653" priority="74">
      <formula>Y$9&gt;=20/24</formula>
    </cfRule>
    <cfRule type="expression" dxfId="4652" priority="75">
      <formula>AND(Y$9&gt;=14/24,Y$9&lt;20/24)</formula>
    </cfRule>
    <cfRule type="expression" dxfId="4651" priority="76">
      <formula>AND(Y$9&gt;=8/24,Y$9&lt;14/24)</formula>
    </cfRule>
    <cfRule type="expression" dxfId="4650" priority="77">
      <formula>Y$9&lt;8/24</formula>
    </cfRule>
  </conditionalFormatting>
  <conditionalFormatting sqref="Y59:Z66">
    <cfRule type="expression" dxfId="4649" priority="70">
      <formula>Y$9&gt;=20/24</formula>
    </cfRule>
    <cfRule type="expression" dxfId="4648" priority="71">
      <formula>AND(Y$9&gt;=14/24,Y$9&lt;20/24)</formula>
    </cfRule>
    <cfRule type="expression" dxfId="4647" priority="72">
      <formula>AND(Y$9&gt;=8/24,Y$9&lt;14/24)</formula>
    </cfRule>
    <cfRule type="expression" dxfId="4646" priority="73">
      <formula>Y$9&lt;8/24</formula>
    </cfRule>
  </conditionalFormatting>
  <conditionalFormatting sqref="Y83:Z83">
    <cfRule type="expression" dxfId="4645" priority="66">
      <formula>Y$9&gt;=20/24</formula>
    </cfRule>
    <cfRule type="expression" dxfId="4644" priority="67">
      <formula>AND(Y$9&gt;=14/24,Y$9&lt;20/24)</formula>
    </cfRule>
    <cfRule type="expression" dxfId="4643" priority="68">
      <formula>AND(Y$9&gt;=8/24,Y$9&lt;14/24)</formula>
    </cfRule>
    <cfRule type="expression" dxfId="4642" priority="69">
      <formula>Y$9&lt;8/24</formula>
    </cfRule>
  </conditionalFormatting>
  <conditionalFormatting sqref="Y84:Z90">
    <cfRule type="expression" dxfId="4641" priority="62">
      <formula>Y$9&gt;=20/24</formula>
    </cfRule>
    <cfRule type="expression" dxfId="4640" priority="63">
      <formula>AND(Y$9&gt;=14/24,Y$9&lt;20/24)</formula>
    </cfRule>
    <cfRule type="expression" dxfId="4639" priority="64">
      <formula>AND(Y$9&gt;=8/24,Y$9&lt;14/24)</formula>
    </cfRule>
    <cfRule type="expression" dxfId="4638" priority="65">
      <formula>Y$9&lt;8/24</formula>
    </cfRule>
  </conditionalFormatting>
  <conditionalFormatting sqref="Y93:Z96">
    <cfRule type="expression" dxfId="4637" priority="58">
      <formula>Y$9&gt;=20/24</formula>
    </cfRule>
    <cfRule type="expression" dxfId="4636" priority="59">
      <formula>AND(Y$9&gt;=14/24,Y$9&lt;20/24)</formula>
    </cfRule>
    <cfRule type="expression" dxfId="4635" priority="60">
      <formula>AND(Y$9&gt;=8/24,Y$9&lt;14/24)</formula>
    </cfRule>
    <cfRule type="expression" dxfId="4634" priority="61">
      <formula>Y$9&lt;8/24</formula>
    </cfRule>
  </conditionalFormatting>
  <conditionalFormatting sqref="Y97:Z97">
    <cfRule type="expression" dxfId="4633" priority="54">
      <formula>Y$9&gt;=20/24</formula>
    </cfRule>
    <cfRule type="expression" dxfId="4632" priority="55">
      <formula>AND(Y$9&gt;=14/24,Y$9&lt;20/24)</formula>
    </cfRule>
    <cfRule type="expression" dxfId="4631" priority="56">
      <formula>AND(Y$9&gt;=8/24,Y$9&lt;14/24)</formula>
    </cfRule>
    <cfRule type="expression" dxfId="4630" priority="57">
      <formula>Y$9&lt;8/24</formula>
    </cfRule>
  </conditionalFormatting>
  <conditionalFormatting sqref="Y93:Z93">
    <cfRule type="expression" dxfId="4629" priority="50">
      <formula>Y$9&gt;=20/24</formula>
    </cfRule>
    <cfRule type="expression" dxfId="4628" priority="51">
      <formula>AND(Y$9&gt;=14/24,Y$9&lt;20/24)</formula>
    </cfRule>
    <cfRule type="expression" dxfId="4627" priority="52">
      <formula>AND(Y$9&gt;=8/24,Y$9&lt;14/24)</formula>
    </cfRule>
    <cfRule type="expression" dxfId="4626" priority="53">
      <formula>Y$9&lt;8/24</formula>
    </cfRule>
  </conditionalFormatting>
  <conditionalFormatting sqref="Y98:Z98">
    <cfRule type="expression" dxfId="4625" priority="46">
      <formula>Y$9&gt;=20/24</formula>
    </cfRule>
    <cfRule type="expression" dxfId="4624" priority="47">
      <formula>AND(Y$9&gt;=14/24,Y$9&lt;20/24)</formula>
    </cfRule>
    <cfRule type="expression" dxfId="4623" priority="48">
      <formula>AND(Y$9&gt;=8/24,Y$9&lt;14/24)</formula>
    </cfRule>
    <cfRule type="expression" dxfId="4622" priority="49">
      <formula>Y$9&lt;8/24</formula>
    </cfRule>
  </conditionalFormatting>
  <conditionalFormatting sqref="V93:V98">
    <cfRule type="expression" dxfId="4621" priority="36">
      <formula>V$9&gt;=20/24</formula>
    </cfRule>
    <cfRule type="expression" dxfId="4620" priority="37">
      <formula>AND(V$9&gt;=14/24,V$9&lt;20/24)</formula>
    </cfRule>
    <cfRule type="expression" dxfId="4619" priority="38">
      <formula>AND(V$9&gt;=8/24,V$9&lt;14/24)</formula>
    </cfRule>
    <cfRule type="expression" dxfId="4618" priority="39">
      <formula>V$9&lt;8/24</formula>
    </cfRule>
  </conditionalFormatting>
  <conditionalFormatting sqref="X93:X98">
    <cfRule type="expression" dxfId="4617" priority="20">
      <formula>X$9&gt;=20/24</formula>
    </cfRule>
    <cfRule type="expression" dxfId="4616" priority="21">
      <formula>AND(X$9&gt;=14/24,X$9&lt;20/24)</formula>
    </cfRule>
    <cfRule type="expression" dxfId="4615" priority="22">
      <formula>AND(X$9&gt;=8/24,X$9&lt;14/24)</formula>
    </cfRule>
    <cfRule type="expression" dxfId="4614" priority="23">
      <formula>X$9&lt;8/24</formula>
    </cfRule>
  </conditionalFormatting>
  <conditionalFormatting sqref="V11:X36">
    <cfRule type="expression" dxfId="4613" priority="16">
      <formula>V$9&gt;=20/24</formula>
    </cfRule>
    <cfRule type="expression" dxfId="4612" priority="17">
      <formula>AND(V$9&gt;=14/24,V$9&lt;20/24)</formula>
    </cfRule>
    <cfRule type="expression" dxfId="4611" priority="18">
      <formula>AND(V$9&gt;=8/24,V$9&lt;14/24)</formula>
    </cfRule>
    <cfRule type="expression" dxfId="4610" priority="19">
      <formula>V$9&lt;8/24</formula>
    </cfRule>
  </conditionalFormatting>
  <conditionalFormatting sqref="V11:X36">
    <cfRule type="expression" dxfId="4609" priority="15">
      <formula>V11&gt;$AG11</formula>
    </cfRule>
  </conditionalFormatting>
  <conditionalFormatting sqref="V38:X50">
    <cfRule type="expression" dxfId="4608" priority="11">
      <formula>V$9&gt;=20/24</formula>
    </cfRule>
    <cfRule type="expression" dxfId="4607" priority="12">
      <formula>AND(V$9&gt;=14/24,V$9&lt;20/24)</formula>
    </cfRule>
    <cfRule type="expression" dxfId="4606" priority="13">
      <formula>AND(V$9&gt;=8/24,V$9&lt;14/24)</formula>
    </cfRule>
    <cfRule type="expression" dxfId="4605" priority="14">
      <formula>V$9&lt;8/24</formula>
    </cfRule>
  </conditionalFormatting>
  <conditionalFormatting sqref="V38:X50">
    <cfRule type="expression" dxfId="4604" priority="10">
      <formula>V38&gt;$AG38</formula>
    </cfRule>
  </conditionalFormatting>
  <conditionalFormatting sqref="V52:X54">
    <cfRule type="expression" dxfId="4603" priority="6">
      <formula>V$9&gt;=20/24</formula>
    </cfRule>
    <cfRule type="expression" dxfId="4602" priority="7">
      <formula>AND(V$9&gt;=14/24,V$9&lt;20/24)</formula>
    </cfRule>
    <cfRule type="expression" dxfId="4601" priority="8">
      <formula>AND(V$9&gt;=8/24,V$9&lt;14/24)</formula>
    </cfRule>
    <cfRule type="expression" dxfId="4600" priority="9">
      <formula>V$9&lt;8/24</formula>
    </cfRule>
  </conditionalFormatting>
  <conditionalFormatting sqref="V52:X54">
    <cfRule type="expression" dxfId="4599" priority="5">
      <formula>V52&gt;$AG52</formula>
    </cfRule>
  </conditionalFormatting>
  <conditionalFormatting sqref="V56:X66">
    <cfRule type="expression" dxfId="4598" priority="1">
      <formula>V$9&gt;=20/24</formula>
    </cfRule>
    <cfRule type="expression" dxfId="4597" priority="2">
      <formula>AND(V$9&gt;=14/24,V$9&lt;20/24)</formula>
    </cfRule>
    <cfRule type="expression" dxfId="4596" priority="3">
      <formula>AND(V$9&gt;=8/24,V$9&lt;14/24)</formula>
    </cfRule>
    <cfRule type="expression" dxfId="4595" priority="4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X9" sqref="X9:X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2078/07/19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-75.7</v>
      </c>
      <c r="C5" s="32">
        <f t="shared" ref="C5:AF5" si="0">C67</f>
        <v>-78.3</v>
      </c>
      <c r="D5" s="32">
        <f t="shared" si="0"/>
        <v>-70</v>
      </c>
      <c r="E5" s="32">
        <f t="shared" si="0"/>
        <v>-72.5</v>
      </c>
      <c r="F5" s="32">
        <f t="shared" si="0"/>
        <v>-42</v>
      </c>
      <c r="G5" s="32">
        <f t="shared" si="0"/>
        <v>-45</v>
      </c>
      <c r="H5" s="32">
        <f t="shared" si="0"/>
        <v>-62</v>
      </c>
      <c r="I5" s="32">
        <f t="shared" si="0"/>
        <v>-68</v>
      </c>
      <c r="J5" s="32">
        <f t="shared" si="0"/>
        <v>-42</v>
      </c>
      <c r="K5" s="32">
        <f t="shared" si="0"/>
        <v>-46.9</v>
      </c>
      <c r="L5" s="32">
        <f t="shared" si="0"/>
        <v>-32.6</v>
      </c>
      <c r="M5" s="32">
        <f t="shared" si="0"/>
        <v>-69.3</v>
      </c>
      <c r="N5" s="32">
        <f t="shared" si="0"/>
        <v>-74</v>
      </c>
      <c r="O5" s="32">
        <f t="shared" si="0"/>
        <v>-49.8</v>
      </c>
      <c r="P5" s="32">
        <f t="shared" si="0"/>
        <v>-47</v>
      </c>
      <c r="Q5" s="32">
        <f t="shared" si="0"/>
        <v>-55</v>
      </c>
      <c r="R5" s="32">
        <f t="shared" si="0"/>
        <v>-55.9</v>
      </c>
      <c r="S5" s="32">
        <f t="shared" si="0"/>
        <v>-60</v>
      </c>
      <c r="T5" s="32">
        <f t="shared" si="0"/>
        <v>-52.1</v>
      </c>
      <c r="U5" s="32">
        <f t="shared" si="0"/>
        <v>-49.2</v>
      </c>
      <c r="V5" s="32">
        <f t="shared" si="0"/>
        <v>-46.2</v>
      </c>
      <c r="W5" s="32">
        <f t="shared" si="0"/>
        <v>-47.2</v>
      </c>
      <c r="X5" s="32">
        <f t="shared" si="0"/>
        <v>-57.6</v>
      </c>
      <c r="Y5" s="32">
        <f t="shared" si="0"/>
        <v>-79.599999999999994</v>
      </c>
      <c r="Z5" s="32">
        <f t="shared" si="0"/>
        <v>-45.8</v>
      </c>
      <c r="AA5" s="32">
        <f t="shared" si="0"/>
        <v>-57.1</v>
      </c>
      <c r="AB5" s="32">
        <f t="shared" si="0"/>
        <v>-50</v>
      </c>
      <c r="AC5" s="32">
        <f t="shared" si="0"/>
        <v>-48.5</v>
      </c>
      <c r="AD5" s="32">
        <f t="shared" si="0"/>
        <v>-68.900000000000006</v>
      </c>
      <c r="AE5" s="32">
        <f t="shared" si="0"/>
        <v>-48</v>
      </c>
      <c r="AF5" s="32">
        <f t="shared" si="0"/>
        <v>-40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846MW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Load=698</v>
      </c>
      <c r="B7" s="37">
        <f t="shared" ref="B7:AF7" si="1">B74</f>
        <v>737.24</v>
      </c>
      <c r="C7" s="37">
        <f t="shared" si="1"/>
        <v>711.7399999999999</v>
      </c>
      <c r="D7" s="37">
        <f t="shared" si="1"/>
        <v>713.74</v>
      </c>
      <c r="E7" s="37">
        <f t="shared" si="1"/>
        <v>711.24</v>
      </c>
      <c r="F7" s="37">
        <f t="shared" si="1"/>
        <v>748.54</v>
      </c>
      <c r="G7" s="37">
        <f t="shared" si="1"/>
        <v>767.54</v>
      </c>
      <c r="H7" s="37">
        <f t="shared" si="1"/>
        <v>787.33999999999992</v>
      </c>
      <c r="I7" s="37">
        <f t="shared" si="1"/>
        <v>779.24</v>
      </c>
      <c r="J7" s="37">
        <f t="shared" si="1"/>
        <v>805.14</v>
      </c>
      <c r="K7" s="37">
        <f t="shared" si="1"/>
        <v>814.43999999999994</v>
      </c>
      <c r="L7" s="37">
        <f>L74</f>
        <v>836.63999999999987</v>
      </c>
      <c r="M7" s="37">
        <f t="shared" si="1"/>
        <v>846.24</v>
      </c>
      <c r="N7" s="37">
        <f t="shared" si="1"/>
        <v>841.33999999999992</v>
      </c>
      <c r="O7" s="37">
        <f t="shared" si="1"/>
        <v>744.93999999999994</v>
      </c>
      <c r="P7" s="37">
        <f t="shared" si="1"/>
        <v>730.64</v>
      </c>
      <c r="Q7" s="37">
        <f t="shared" si="1"/>
        <v>698.14</v>
      </c>
      <c r="R7" s="37">
        <f t="shared" si="1"/>
        <v>700.54</v>
      </c>
      <c r="S7" s="37">
        <f t="shared" si="1"/>
        <v>699.24</v>
      </c>
      <c r="T7" s="37">
        <f t="shared" si="1"/>
        <v>740.04</v>
      </c>
      <c r="U7" s="37">
        <f t="shared" si="1"/>
        <v>827.13999999999987</v>
      </c>
      <c r="V7" s="37">
        <f t="shared" si="1"/>
        <v>1055.8399999999999</v>
      </c>
      <c r="W7" s="37">
        <f t="shared" si="1"/>
        <v>1212.4000000000001</v>
      </c>
      <c r="X7" s="37">
        <f t="shared" si="1"/>
        <v>1238.5999999999999</v>
      </c>
      <c r="Y7" s="37">
        <f t="shared" si="1"/>
        <v>1184.3400000000001</v>
      </c>
      <c r="Z7" s="37">
        <f t="shared" si="1"/>
        <v>1163.74</v>
      </c>
      <c r="AA7" s="37">
        <f t="shared" si="1"/>
        <v>1122.6400000000001</v>
      </c>
      <c r="AB7" s="37">
        <f t="shared" si="1"/>
        <v>1090.44</v>
      </c>
      <c r="AC7" s="37">
        <f t="shared" si="1"/>
        <v>1015.3400000000001</v>
      </c>
      <c r="AD7" s="37">
        <f t="shared" si="1"/>
        <v>896.24</v>
      </c>
      <c r="AE7" s="37">
        <f t="shared" si="1"/>
        <v>825.24</v>
      </c>
      <c r="AF7" s="37">
        <f t="shared" si="1"/>
        <v>784.24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60</v>
      </c>
      <c r="D11" s="49">
        <v>60</v>
      </c>
      <c r="E11" s="49">
        <v>60</v>
      </c>
      <c r="F11" s="49">
        <v>60</v>
      </c>
      <c r="G11" s="49">
        <v>60</v>
      </c>
      <c r="H11" s="49">
        <v>60</v>
      </c>
      <c r="I11" s="49">
        <v>60</v>
      </c>
      <c r="J11" s="49">
        <v>60</v>
      </c>
      <c r="K11" s="49">
        <v>60</v>
      </c>
      <c r="L11" s="49">
        <v>75</v>
      </c>
      <c r="M11" s="50">
        <v>100</v>
      </c>
      <c r="N11" s="50">
        <v>100</v>
      </c>
      <c r="O11" s="50">
        <v>60</v>
      </c>
      <c r="P11" s="50">
        <v>60</v>
      </c>
      <c r="Q11" s="51">
        <v>60</v>
      </c>
      <c r="R11" s="52">
        <v>60</v>
      </c>
      <c r="S11" s="52">
        <v>60</v>
      </c>
      <c r="T11" s="52">
        <v>60</v>
      </c>
      <c r="U11" s="52">
        <v>80</v>
      </c>
      <c r="V11" s="52">
        <v>170</v>
      </c>
      <c r="W11" s="52">
        <v>260</v>
      </c>
      <c r="X11" s="53">
        <v>280</v>
      </c>
      <c r="Y11" s="53">
        <v>250</v>
      </c>
      <c r="Z11" s="54">
        <v>230</v>
      </c>
      <c r="AA11" s="54">
        <v>200</v>
      </c>
      <c r="AB11" s="54">
        <v>160</v>
      </c>
      <c r="AC11" s="54">
        <v>140</v>
      </c>
      <c r="AD11" s="54">
        <v>127</v>
      </c>
      <c r="AE11" s="49">
        <v>90</v>
      </c>
      <c r="AF11" s="49">
        <v>70</v>
      </c>
      <c r="AG11" s="55">
        <v>456</v>
      </c>
      <c r="AH11" s="56">
        <f>MAX(B11:AF11)</f>
        <v>280</v>
      </c>
      <c r="AI11" s="57">
        <f>MIN(B11:AF11)</f>
        <v>60</v>
      </c>
      <c r="AK11" s="57">
        <f>AVERAGE(B11:H11)</f>
        <v>61.428571428571431</v>
      </c>
      <c r="AL11" s="30">
        <f>(400-AK11)*6</f>
        <v>2031.4285714285713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50</v>
      </c>
      <c r="I12" s="49">
        <v>50</v>
      </c>
      <c r="J12" s="49">
        <v>50</v>
      </c>
      <c r="K12" s="49">
        <v>50</v>
      </c>
      <c r="L12" s="49">
        <v>50</v>
      </c>
      <c r="M12" s="50">
        <v>50</v>
      </c>
      <c r="N12" s="50">
        <v>50</v>
      </c>
      <c r="O12" s="50">
        <v>50</v>
      </c>
      <c r="P12" s="50">
        <v>50</v>
      </c>
      <c r="Q12" s="49">
        <v>40</v>
      </c>
      <c r="R12" s="60">
        <v>40</v>
      </c>
      <c r="S12" s="60">
        <v>40</v>
      </c>
      <c r="T12" s="60">
        <v>40</v>
      </c>
      <c r="U12" s="60">
        <v>47</v>
      </c>
      <c r="V12" s="60">
        <v>50</v>
      </c>
      <c r="W12" s="60">
        <v>60</v>
      </c>
      <c r="X12" s="50">
        <v>60</v>
      </c>
      <c r="Y12" s="50">
        <v>60</v>
      </c>
      <c r="Z12" s="50">
        <v>60</v>
      </c>
      <c r="AA12" s="50">
        <v>60</v>
      </c>
      <c r="AB12" s="50">
        <v>60</v>
      </c>
      <c r="AC12" s="50">
        <v>40</v>
      </c>
      <c r="AD12" s="50">
        <v>40</v>
      </c>
      <c r="AE12" s="49">
        <v>40</v>
      </c>
      <c r="AF12" s="49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7">
        <f>AVERAGE(B37:H37)</f>
        <v>614.34285714285727</v>
      </c>
      <c r="AL12" s="30">
        <f>(650-AK12)*6</f>
        <v>213.94285714285638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50">
        <v>0</v>
      </c>
      <c r="N13" s="50">
        <v>0</v>
      </c>
      <c r="O13" s="50">
        <v>0</v>
      </c>
      <c r="P13" s="50">
        <v>0</v>
      </c>
      <c r="Q13" s="49">
        <v>0</v>
      </c>
      <c r="R13" s="60">
        <v>0</v>
      </c>
      <c r="S13" s="60">
        <v>0</v>
      </c>
      <c r="T13" s="60">
        <v>0</v>
      </c>
      <c r="U13" s="60">
        <v>0</v>
      </c>
      <c r="V13" s="60">
        <v>13</v>
      </c>
      <c r="W13" s="60">
        <v>13</v>
      </c>
      <c r="X13" s="60">
        <v>13</v>
      </c>
      <c r="Y13" s="60">
        <v>13</v>
      </c>
      <c r="Z13" s="60">
        <v>13</v>
      </c>
      <c r="AA13" s="50">
        <v>13</v>
      </c>
      <c r="AB13" s="50">
        <v>13</v>
      </c>
      <c r="AC13" s="50">
        <v>13</v>
      </c>
      <c r="AD13" s="50">
        <v>13</v>
      </c>
      <c r="AE13" s="49">
        <v>13</v>
      </c>
      <c r="AF13" s="49">
        <v>13</v>
      </c>
      <c r="AG13" s="61">
        <v>52.4</v>
      </c>
      <c r="AH13" s="56">
        <f>MAX(B13:AF13)</f>
        <v>13</v>
      </c>
      <c r="AI13" s="57">
        <f>MIN(B13:AF13)</f>
        <v>0</v>
      </c>
      <c r="AK13" s="57">
        <f>AVERAGE(B51:H51)</f>
        <v>188.92571428571429</v>
      </c>
      <c r="AL13" s="30">
        <f>(440-AK13)*6</f>
        <v>1506.4457142857143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25.3</v>
      </c>
      <c r="C14" s="49">
        <v>25.4</v>
      </c>
      <c r="D14" s="49">
        <v>25.4</v>
      </c>
      <c r="E14" s="49">
        <v>25.4</v>
      </c>
      <c r="F14" s="49">
        <v>25.4</v>
      </c>
      <c r="G14" s="49">
        <v>25.4</v>
      </c>
      <c r="H14" s="49">
        <v>25.4</v>
      </c>
      <c r="I14" s="49">
        <v>25.4</v>
      </c>
      <c r="J14" s="49">
        <v>25.4</v>
      </c>
      <c r="K14" s="49">
        <v>25.4</v>
      </c>
      <c r="L14" s="49">
        <v>25.4</v>
      </c>
      <c r="M14" s="50">
        <v>25.4</v>
      </c>
      <c r="N14" s="50">
        <v>25.4</v>
      </c>
      <c r="O14" s="50">
        <v>25.4</v>
      </c>
      <c r="P14" s="50">
        <v>25.4</v>
      </c>
      <c r="Q14" s="50">
        <v>25.4</v>
      </c>
      <c r="R14" s="62">
        <v>25.4</v>
      </c>
      <c r="S14" s="62">
        <v>25.4</v>
      </c>
      <c r="T14" s="62">
        <v>25.4</v>
      </c>
      <c r="U14" s="62">
        <v>25.4</v>
      </c>
      <c r="V14" s="62">
        <v>25.4</v>
      </c>
      <c r="W14" s="62">
        <v>25.4</v>
      </c>
      <c r="X14" s="50">
        <v>25.4</v>
      </c>
      <c r="Y14" s="50">
        <v>25.4</v>
      </c>
      <c r="Z14" s="50">
        <v>25.4</v>
      </c>
      <c r="AA14" s="50">
        <v>25.4</v>
      </c>
      <c r="AB14" s="50">
        <v>25.4</v>
      </c>
      <c r="AC14" s="50">
        <v>25.4</v>
      </c>
      <c r="AD14" s="50">
        <v>25.4</v>
      </c>
      <c r="AE14" s="49">
        <v>25.4</v>
      </c>
      <c r="AF14" s="49">
        <v>25.4</v>
      </c>
      <c r="AG14" s="61">
        <v>50</v>
      </c>
      <c r="AH14" s="56">
        <f t="shared" si="2"/>
        <v>25.4</v>
      </c>
      <c r="AI14" s="57">
        <f t="shared" si="3"/>
        <v>25.3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37.1</v>
      </c>
      <c r="C15" s="63">
        <v>37.1</v>
      </c>
      <c r="D15" s="63">
        <v>37.1</v>
      </c>
      <c r="E15" s="63">
        <v>37.1</v>
      </c>
      <c r="F15" s="63">
        <v>37.1</v>
      </c>
      <c r="G15" s="63">
        <v>37.1</v>
      </c>
      <c r="H15" s="63">
        <v>37.1</v>
      </c>
      <c r="I15" s="63">
        <v>37.1</v>
      </c>
      <c r="J15" s="63">
        <v>37.1</v>
      </c>
      <c r="K15" s="63">
        <v>37.1</v>
      </c>
      <c r="L15" s="63">
        <v>37.1</v>
      </c>
      <c r="M15" s="50">
        <v>37.1</v>
      </c>
      <c r="N15" s="50">
        <v>37.1</v>
      </c>
      <c r="O15" s="50">
        <v>37.1</v>
      </c>
      <c r="P15" s="50">
        <v>37</v>
      </c>
      <c r="Q15" s="50">
        <v>37</v>
      </c>
      <c r="R15" s="62">
        <v>37</v>
      </c>
      <c r="S15" s="62">
        <v>37</v>
      </c>
      <c r="T15" s="62">
        <v>37</v>
      </c>
      <c r="U15" s="62">
        <v>37.1</v>
      </c>
      <c r="V15" s="62">
        <v>36.4</v>
      </c>
      <c r="W15" s="62">
        <v>41.8</v>
      </c>
      <c r="X15" s="50">
        <v>41.8</v>
      </c>
      <c r="Y15" s="50">
        <v>41.8</v>
      </c>
      <c r="Z15" s="50">
        <v>41.8</v>
      </c>
      <c r="AA15" s="50">
        <v>41.8</v>
      </c>
      <c r="AB15" s="50">
        <v>41.8</v>
      </c>
      <c r="AC15" s="50">
        <v>41.8</v>
      </c>
      <c r="AD15" s="50">
        <v>41.8</v>
      </c>
      <c r="AE15" s="63">
        <v>41.8</v>
      </c>
      <c r="AF15" s="63">
        <v>41.8</v>
      </c>
      <c r="AG15" s="64">
        <v>45</v>
      </c>
      <c r="AH15" s="56">
        <f t="shared" si="2"/>
        <v>41.8</v>
      </c>
      <c r="AI15" s="57">
        <f t="shared" si="3"/>
        <v>36.4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22</v>
      </c>
      <c r="C16" s="49">
        <v>18</v>
      </c>
      <c r="D16" s="49">
        <v>18</v>
      </c>
      <c r="E16" s="49">
        <v>18</v>
      </c>
      <c r="F16" s="49">
        <v>18</v>
      </c>
      <c r="G16" s="49">
        <v>18</v>
      </c>
      <c r="H16" s="49">
        <v>18</v>
      </c>
      <c r="I16" s="49">
        <v>18</v>
      </c>
      <c r="J16" s="49">
        <v>18</v>
      </c>
      <c r="K16" s="49">
        <v>18</v>
      </c>
      <c r="L16" s="49">
        <v>18</v>
      </c>
      <c r="M16" s="50">
        <v>18</v>
      </c>
      <c r="N16" s="50">
        <v>18</v>
      </c>
      <c r="O16" s="50">
        <v>18</v>
      </c>
      <c r="P16" s="50">
        <v>15</v>
      </c>
      <c r="Q16" s="50">
        <v>15</v>
      </c>
      <c r="R16" s="65">
        <v>15</v>
      </c>
      <c r="S16" s="65">
        <v>15</v>
      </c>
      <c r="T16" s="65">
        <v>15</v>
      </c>
      <c r="U16" s="65">
        <v>15</v>
      </c>
      <c r="V16" s="65">
        <v>22</v>
      </c>
      <c r="W16" s="65">
        <v>22</v>
      </c>
      <c r="X16" s="50">
        <v>22</v>
      </c>
      <c r="Y16" s="50">
        <v>22</v>
      </c>
      <c r="Z16" s="50">
        <v>22</v>
      </c>
      <c r="AA16" s="50">
        <v>22</v>
      </c>
      <c r="AB16" s="50">
        <v>22</v>
      </c>
      <c r="AC16" s="50">
        <v>22</v>
      </c>
      <c r="AD16" s="50">
        <v>22</v>
      </c>
      <c r="AE16" s="49">
        <v>18</v>
      </c>
      <c r="AF16" s="49">
        <v>18</v>
      </c>
      <c r="AG16" s="61">
        <v>45</v>
      </c>
      <c r="AH16" s="56">
        <f t="shared" si="2"/>
        <v>22</v>
      </c>
      <c r="AI16" s="57">
        <f t="shared" si="3"/>
        <v>15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20</v>
      </c>
      <c r="L17" s="49">
        <v>20</v>
      </c>
      <c r="M17" s="50">
        <v>20</v>
      </c>
      <c r="N17" s="50">
        <v>20</v>
      </c>
      <c r="O17" s="50">
        <v>20</v>
      </c>
      <c r="P17" s="50">
        <v>20</v>
      </c>
      <c r="Q17" s="50">
        <v>20</v>
      </c>
      <c r="R17" s="62">
        <v>20</v>
      </c>
      <c r="S17" s="62">
        <v>20</v>
      </c>
      <c r="T17" s="62">
        <v>20</v>
      </c>
      <c r="U17" s="62">
        <v>20</v>
      </c>
      <c r="V17" s="62">
        <v>20</v>
      </c>
      <c r="W17" s="62">
        <v>20</v>
      </c>
      <c r="X17" s="50">
        <v>20</v>
      </c>
      <c r="Y17" s="50">
        <v>20</v>
      </c>
      <c r="Z17" s="50">
        <v>20</v>
      </c>
      <c r="AA17" s="50">
        <v>20</v>
      </c>
      <c r="AB17" s="50">
        <v>20</v>
      </c>
      <c r="AC17" s="50">
        <v>20</v>
      </c>
      <c r="AD17" s="50">
        <v>20</v>
      </c>
      <c r="AE17" s="49">
        <v>20</v>
      </c>
      <c r="AF17" s="49">
        <v>20</v>
      </c>
      <c r="AG17" s="61">
        <v>42</v>
      </c>
      <c r="AH17" s="56">
        <f t="shared" si="2"/>
        <v>20</v>
      </c>
      <c r="AI17" s="57">
        <f t="shared" si="3"/>
        <v>20</v>
      </c>
      <c r="AK17" s="57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18</v>
      </c>
      <c r="D18" s="49">
        <v>18</v>
      </c>
      <c r="E18" s="49">
        <v>18</v>
      </c>
      <c r="F18" s="49">
        <v>18</v>
      </c>
      <c r="G18" s="49">
        <v>18</v>
      </c>
      <c r="H18" s="49">
        <v>18</v>
      </c>
      <c r="I18" s="49">
        <v>18</v>
      </c>
      <c r="J18" s="49">
        <v>18</v>
      </c>
      <c r="K18" s="49">
        <v>18</v>
      </c>
      <c r="L18" s="49">
        <v>18</v>
      </c>
      <c r="M18" s="50">
        <v>18</v>
      </c>
      <c r="N18" s="50">
        <v>18</v>
      </c>
      <c r="O18" s="50">
        <v>18</v>
      </c>
      <c r="P18" s="50">
        <v>18</v>
      </c>
      <c r="Q18" s="50">
        <v>18</v>
      </c>
      <c r="R18" s="50">
        <v>18</v>
      </c>
      <c r="S18" s="50">
        <v>18</v>
      </c>
      <c r="T18" s="50">
        <v>18</v>
      </c>
      <c r="U18" s="50">
        <v>18</v>
      </c>
      <c r="V18" s="50">
        <v>21</v>
      </c>
      <c r="W18" s="50">
        <v>21</v>
      </c>
      <c r="X18" s="50">
        <v>21</v>
      </c>
      <c r="Y18" s="50">
        <v>21</v>
      </c>
      <c r="Z18" s="50">
        <v>21</v>
      </c>
      <c r="AA18" s="50">
        <v>21</v>
      </c>
      <c r="AB18" s="50">
        <v>21</v>
      </c>
      <c r="AC18" s="50">
        <v>21</v>
      </c>
      <c r="AD18" s="50">
        <v>21</v>
      </c>
      <c r="AE18" s="49">
        <v>20</v>
      </c>
      <c r="AF18" s="49">
        <v>20</v>
      </c>
      <c r="AG18" s="61">
        <v>36</v>
      </c>
      <c r="AH18" s="56">
        <f t="shared" si="2"/>
        <v>21</v>
      </c>
      <c r="AI18" s="57">
        <f t="shared" si="3"/>
        <v>18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20.5</v>
      </c>
      <c r="C19" s="49">
        <v>20.6</v>
      </c>
      <c r="D19" s="49">
        <v>20.6</v>
      </c>
      <c r="E19" s="49">
        <v>20.6</v>
      </c>
      <c r="F19" s="49">
        <v>20.6</v>
      </c>
      <c r="G19" s="49">
        <v>20.6</v>
      </c>
      <c r="H19" s="49">
        <v>20.6</v>
      </c>
      <c r="I19" s="49">
        <v>20.6</v>
      </c>
      <c r="J19" s="49">
        <v>20.6</v>
      </c>
      <c r="K19" s="49">
        <v>20.6</v>
      </c>
      <c r="L19" s="49">
        <v>20.6</v>
      </c>
      <c r="M19" s="50">
        <v>20.6</v>
      </c>
      <c r="N19" s="50">
        <v>20.6</v>
      </c>
      <c r="O19" s="50">
        <v>20.6</v>
      </c>
      <c r="P19" s="50">
        <v>20.399999999999999</v>
      </c>
      <c r="Q19" s="50">
        <v>20.399999999999999</v>
      </c>
      <c r="R19" s="50">
        <v>20.399999999999999</v>
      </c>
      <c r="S19" s="50">
        <v>20.399999999999999</v>
      </c>
      <c r="T19" s="50">
        <v>20.399999999999999</v>
      </c>
      <c r="U19" s="50">
        <v>20.6</v>
      </c>
      <c r="V19" s="50">
        <v>20.6</v>
      </c>
      <c r="W19" s="50">
        <v>25.3</v>
      </c>
      <c r="X19" s="50">
        <v>25.3</v>
      </c>
      <c r="Y19" s="50">
        <v>25.3</v>
      </c>
      <c r="Z19" s="50">
        <v>25.3</v>
      </c>
      <c r="AA19" s="50">
        <v>25.3</v>
      </c>
      <c r="AB19" s="50">
        <v>25.3</v>
      </c>
      <c r="AC19" s="50">
        <v>25.3</v>
      </c>
      <c r="AD19" s="50">
        <v>25.3</v>
      </c>
      <c r="AE19" s="49">
        <v>23</v>
      </c>
      <c r="AF19" s="49">
        <v>23</v>
      </c>
      <c r="AG19" s="61">
        <v>30</v>
      </c>
      <c r="AH19" s="56">
        <f t="shared" si="2"/>
        <v>25.3</v>
      </c>
      <c r="AI19" s="57">
        <f t="shared" si="3"/>
        <v>20.399999999999999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49">
        <v>6.2</v>
      </c>
      <c r="AF20" s="49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49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49">
        <v>11</v>
      </c>
      <c r="AF21" s="49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18</v>
      </c>
      <c r="C22" s="49">
        <v>15</v>
      </c>
      <c r="D22" s="49">
        <v>15</v>
      </c>
      <c r="E22" s="49">
        <v>15</v>
      </c>
      <c r="F22" s="49">
        <v>15</v>
      </c>
      <c r="G22" s="49">
        <v>15</v>
      </c>
      <c r="H22" s="49">
        <v>15</v>
      </c>
      <c r="I22" s="49">
        <v>15</v>
      </c>
      <c r="J22" s="49">
        <v>15</v>
      </c>
      <c r="K22" s="49">
        <v>20</v>
      </c>
      <c r="L22" s="49">
        <v>20</v>
      </c>
      <c r="M22" s="50">
        <v>20</v>
      </c>
      <c r="N22" s="50">
        <v>20</v>
      </c>
      <c r="O22" s="50">
        <v>20</v>
      </c>
      <c r="P22" s="50">
        <v>20</v>
      </c>
      <c r="Q22" s="50">
        <v>20</v>
      </c>
      <c r="R22" s="50">
        <v>20</v>
      </c>
      <c r="S22" s="50">
        <v>20</v>
      </c>
      <c r="T22" s="50">
        <v>20</v>
      </c>
      <c r="U22" s="50">
        <v>20</v>
      </c>
      <c r="V22" s="50">
        <v>20</v>
      </c>
      <c r="W22" s="50">
        <v>20</v>
      </c>
      <c r="X22" s="50">
        <v>20</v>
      </c>
      <c r="Y22" s="50">
        <v>20</v>
      </c>
      <c r="Z22" s="50">
        <v>20</v>
      </c>
      <c r="AA22" s="50">
        <v>20</v>
      </c>
      <c r="AB22" s="50">
        <v>20</v>
      </c>
      <c r="AC22" s="50">
        <v>20</v>
      </c>
      <c r="AD22" s="50">
        <v>20</v>
      </c>
      <c r="AE22" s="49">
        <v>18</v>
      </c>
      <c r="AF22" s="49">
        <v>18</v>
      </c>
      <c r="AG22" s="61">
        <v>25</v>
      </c>
      <c r="AH22" s="56">
        <f t="shared" si="2"/>
        <v>20</v>
      </c>
      <c r="AI22" s="57">
        <f t="shared" si="3"/>
        <v>15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16</v>
      </c>
      <c r="C23" s="49">
        <v>16</v>
      </c>
      <c r="D23" s="49">
        <v>16</v>
      </c>
      <c r="E23" s="49">
        <v>16</v>
      </c>
      <c r="F23" s="49">
        <v>16</v>
      </c>
      <c r="G23" s="49">
        <v>16</v>
      </c>
      <c r="H23" s="49">
        <v>16</v>
      </c>
      <c r="I23" s="49">
        <v>16</v>
      </c>
      <c r="J23" s="49">
        <v>16</v>
      </c>
      <c r="K23" s="49">
        <v>16</v>
      </c>
      <c r="L23" s="49">
        <v>16</v>
      </c>
      <c r="M23" s="50">
        <v>16</v>
      </c>
      <c r="N23" s="50">
        <v>16</v>
      </c>
      <c r="O23" s="50">
        <v>16</v>
      </c>
      <c r="P23" s="50">
        <v>16</v>
      </c>
      <c r="Q23" s="50">
        <v>16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49">
        <v>16</v>
      </c>
      <c r="AF23" s="49">
        <v>16</v>
      </c>
      <c r="AG23" s="61">
        <v>25</v>
      </c>
      <c r="AH23" s="56">
        <f t="shared" si="2"/>
        <v>16</v>
      </c>
      <c r="AI23" s="57">
        <f t="shared" si="3"/>
        <v>16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18</v>
      </c>
      <c r="C24" s="49">
        <v>15</v>
      </c>
      <c r="D24" s="49">
        <v>15</v>
      </c>
      <c r="E24" s="49">
        <v>15</v>
      </c>
      <c r="F24" s="49">
        <v>15</v>
      </c>
      <c r="G24" s="49">
        <v>15</v>
      </c>
      <c r="H24" s="49">
        <v>15</v>
      </c>
      <c r="I24" s="49">
        <v>15</v>
      </c>
      <c r="J24" s="49">
        <v>15</v>
      </c>
      <c r="K24" s="49">
        <v>15</v>
      </c>
      <c r="L24" s="49">
        <v>15</v>
      </c>
      <c r="M24" s="50">
        <v>15</v>
      </c>
      <c r="N24" s="50">
        <v>15</v>
      </c>
      <c r="O24" s="50">
        <v>15</v>
      </c>
      <c r="P24" s="50">
        <v>15</v>
      </c>
      <c r="Q24" s="50">
        <v>15</v>
      </c>
      <c r="R24" s="50">
        <v>15</v>
      </c>
      <c r="S24" s="50">
        <v>15</v>
      </c>
      <c r="T24" s="50">
        <v>15</v>
      </c>
      <c r="U24" s="50">
        <v>15</v>
      </c>
      <c r="V24" s="50">
        <v>18</v>
      </c>
      <c r="W24" s="50">
        <v>18</v>
      </c>
      <c r="X24" s="50">
        <v>18</v>
      </c>
      <c r="Y24" s="50">
        <v>18</v>
      </c>
      <c r="Z24" s="50">
        <v>18</v>
      </c>
      <c r="AA24" s="50">
        <v>18</v>
      </c>
      <c r="AB24" s="50">
        <v>18</v>
      </c>
      <c r="AC24" s="50">
        <v>18</v>
      </c>
      <c r="AD24" s="50">
        <v>18</v>
      </c>
      <c r="AE24" s="49">
        <v>18</v>
      </c>
      <c r="AF24" s="49">
        <v>18</v>
      </c>
      <c r="AG24" s="61">
        <v>25</v>
      </c>
      <c r="AH24" s="56">
        <f t="shared" si="2"/>
        <v>18</v>
      </c>
      <c r="AI24" s="57">
        <f t="shared" si="3"/>
        <v>15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18</v>
      </c>
      <c r="C25" s="49">
        <v>18</v>
      </c>
      <c r="D25" s="49">
        <v>18</v>
      </c>
      <c r="E25" s="49">
        <v>18</v>
      </c>
      <c r="F25" s="49">
        <v>18</v>
      </c>
      <c r="G25" s="49">
        <v>18</v>
      </c>
      <c r="H25" s="49">
        <v>18</v>
      </c>
      <c r="I25" s="49">
        <v>18</v>
      </c>
      <c r="J25" s="49">
        <v>18</v>
      </c>
      <c r="K25" s="49">
        <v>18</v>
      </c>
      <c r="L25" s="49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18</v>
      </c>
      <c r="X25" s="50">
        <v>18</v>
      </c>
      <c r="Y25" s="50">
        <v>18</v>
      </c>
      <c r="Z25" s="50">
        <v>18</v>
      </c>
      <c r="AA25" s="50">
        <v>18</v>
      </c>
      <c r="AB25" s="50">
        <v>18</v>
      </c>
      <c r="AC25" s="50">
        <v>18</v>
      </c>
      <c r="AD25" s="50">
        <v>18</v>
      </c>
      <c r="AE25" s="49">
        <v>18</v>
      </c>
      <c r="AF25" s="49">
        <v>18</v>
      </c>
      <c r="AG25" s="61">
        <v>24.2</v>
      </c>
      <c r="AH25" s="56">
        <f t="shared" si="2"/>
        <v>18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49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0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4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49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1">
        <v>23.5</v>
      </c>
      <c r="AH27" s="56">
        <f t="shared" si="2"/>
        <v>10</v>
      </c>
      <c r="AI27" s="57">
        <f t="shared" si="3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4.5</v>
      </c>
      <c r="C28" s="49">
        <v>4.5</v>
      </c>
      <c r="D28" s="49">
        <v>4.5</v>
      </c>
      <c r="E28" s="49">
        <v>4.5</v>
      </c>
      <c r="F28" s="49">
        <v>4.5</v>
      </c>
      <c r="G28" s="49">
        <v>4.5</v>
      </c>
      <c r="H28" s="49">
        <v>4.5</v>
      </c>
      <c r="I28" s="49">
        <v>4.5</v>
      </c>
      <c r="J28" s="49">
        <v>4.5</v>
      </c>
      <c r="K28" s="49">
        <v>4.5</v>
      </c>
      <c r="L28" s="49">
        <v>4.5</v>
      </c>
      <c r="M28" s="50">
        <v>4.5</v>
      </c>
      <c r="N28" s="50">
        <v>4.5</v>
      </c>
      <c r="O28" s="50">
        <v>4.5</v>
      </c>
      <c r="P28" s="50">
        <v>4.5</v>
      </c>
      <c r="Q28" s="50">
        <v>4.5</v>
      </c>
      <c r="R28" s="50">
        <v>4.5</v>
      </c>
      <c r="S28" s="50">
        <v>4.5</v>
      </c>
      <c r="T28" s="50">
        <v>4.5</v>
      </c>
      <c r="U28" s="50">
        <v>4.5</v>
      </c>
      <c r="V28" s="50">
        <v>4.5</v>
      </c>
      <c r="W28" s="50">
        <v>4.5</v>
      </c>
      <c r="X28" s="50">
        <v>4.5</v>
      </c>
      <c r="Y28" s="50">
        <v>4.5</v>
      </c>
      <c r="Z28" s="50">
        <v>4.5</v>
      </c>
      <c r="AA28" s="50">
        <v>4.5</v>
      </c>
      <c r="AB28" s="50">
        <v>4.5</v>
      </c>
      <c r="AC28" s="50">
        <v>4.5</v>
      </c>
      <c r="AD28" s="50">
        <v>4.5</v>
      </c>
      <c r="AE28" s="50">
        <v>4.5</v>
      </c>
      <c r="AF28" s="50">
        <v>4.5</v>
      </c>
      <c r="AG28" s="61">
        <v>22.2</v>
      </c>
      <c r="AH28" s="56">
        <f t="shared" si="2"/>
        <v>4.5</v>
      </c>
      <c r="AI28" s="57">
        <f t="shared" si="3"/>
        <v>4.5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</v>
      </c>
      <c r="C33" s="63">
        <v>9</v>
      </c>
      <c r="D33" s="63">
        <v>9</v>
      </c>
      <c r="E33" s="63">
        <v>9</v>
      </c>
      <c r="F33" s="63">
        <v>9</v>
      </c>
      <c r="G33" s="63">
        <v>9</v>
      </c>
      <c r="H33" s="63">
        <v>9</v>
      </c>
      <c r="I33" s="63">
        <v>9</v>
      </c>
      <c r="J33" s="63">
        <v>9</v>
      </c>
      <c r="K33" s="63">
        <v>9</v>
      </c>
      <c r="L33" s="63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250</v>
      </c>
      <c r="C35" s="63">
        <v>250</v>
      </c>
      <c r="D35" s="63">
        <v>250</v>
      </c>
      <c r="E35" s="63">
        <v>250</v>
      </c>
      <c r="F35" s="63">
        <v>250</v>
      </c>
      <c r="G35" s="63">
        <v>250</v>
      </c>
      <c r="H35" s="63">
        <v>250</v>
      </c>
      <c r="I35" s="63">
        <v>250</v>
      </c>
      <c r="J35" s="63">
        <v>250</v>
      </c>
      <c r="K35" s="63">
        <v>250</v>
      </c>
      <c r="L35" s="63">
        <v>250</v>
      </c>
      <c r="M35" s="50">
        <v>250</v>
      </c>
      <c r="N35" s="50">
        <v>250</v>
      </c>
      <c r="O35" s="50">
        <v>250</v>
      </c>
      <c r="P35" s="50">
        <v>250</v>
      </c>
      <c r="Q35" s="63">
        <v>250</v>
      </c>
      <c r="R35" s="63">
        <v>250</v>
      </c>
      <c r="S35" s="63">
        <v>250</v>
      </c>
      <c r="T35" s="63">
        <v>250</v>
      </c>
      <c r="U35" s="63">
        <v>250</v>
      </c>
      <c r="V35" s="63">
        <v>250</v>
      </c>
      <c r="W35" s="63">
        <v>250</v>
      </c>
      <c r="X35" s="63">
        <v>250</v>
      </c>
      <c r="Y35" s="63">
        <v>250</v>
      </c>
      <c r="Z35" s="63">
        <v>250</v>
      </c>
      <c r="AA35" s="63">
        <v>250</v>
      </c>
      <c r="AB35" s="63">
        <v>250</v>
      </c>
      <c r="AC35" s="63">
        <v>250</v>
      </c>
      <c r="AD35" s="63">
        <v>250</v>
      </c>
      <c r="AE35" s="63">
        <v>250</v>
      </c>
      <c r="AF35" s="63">
        <v>250</v>
      </c>
      <c r="AG35" s="69">
        <v>85</v>
      </c>
      <c r="AH35" s="56">
        <f t="shared" si="2"/>
        <v>250</v>
      </c>
      <c r="AI35" s="57">
        <f t="shared" si="3"/>
        <v>250</v>
      </c>
      <c r="AK35" s="58"/>
    </row>
    <row r="36" spans="1:88" ht="15.75" thickBot="1" x14ac:dyDescent="0.3">
      <c r="A36" s="71" t="s">
        <v>43</v>
      </c>
      <c r="B36" s="63">
        <f>54.2+60.4</f>
        <v>114.6</v>
      </c>
      <c r="C36" s="63">
        <f>54.2+60.9</f>
        <v>115.1</v>
      </c>
      <c r="D36" s="63">
        <f>60.9+54.1</f>
        <v>115</v>
      </c>
      <c r="E36" s="63">
        <f>60.9+54.1</f>
        <v>115</v>
      </c>
      <c r="F36" s="63">
        <v>115</v>
      </c>
      <c r="G36" s="63">
        <f>61.2+54</f>
        <v>115.2</v>
      </c>
      <c r="H36" s="63">
        <f>59.4+54.2</f>
        <v>113.6</v>
      </c>
      <c r="I36" s="63">
        <f>60.9+54.3</f>
        <v>115.19999999999999</v>
      </c>
      <c r="J36" s="63">
        <f>54.8+62.1</f>
        <v>116.9</v>
      </c>
      <c r="K36" s="63">
        <f>54.8+62.1</f>
        <v>116.9</v>
      </c>
      <c r="L36" s="63">
        <f>54.8+62.1</f>
        <v>116.9</v>
      </c>
      <c r="M36" s="50">
        <f>52.3+60.2</f>
        <v>112.5</v>
      </c>
      <c r="N36" s="50">
        <f>62.1+54.6</f>
        <v>116.7</v>
      </c>
      <c r="O36" s="50">
        <f>55.2+62.8</f>
        <v>118</v>
      </c>
      <c r="P36" s="50">
        <f>50.6+62.7</f>
        <v>113.30000000000001</v>
      </c>
      <c r="Q36" s="72">
        <f>55.3+62.8</f>
        <v>118.1</v>
      </c>
      <c r="R36" s="72">
        <f>55.2+63</f>
        <v>118.2</v>
      </c>
      <c r="S36" s="72">
        <f>62.8+55.6</f>
        <v>118.4</v>
      </c>
      <c r="T36" s="72">
        <f>62.8+55.6</f>
        <v>118.4</v>
      </c>
      <c r="U36" s="72">
        <f>55.9+61.5</f>
        <v>117.4</v>
      </c>
      <c r="V36" s="72">
        <v>113</v>
      </c>
      <c r="W36" s="72">
        <f>54.6+58.4</f>
        <v>113</v>
      </c>
      <c r="X36" s="72">
        <f>54.5+58.3</f>
        <v>112.8</v>
      </c>
      <c r="Y36" s="72">
        <v>113.3</v>
      </c>
      <c r="Z36" s="72">
        <v>114</v>
      </c>
      <c r="AA36" s="72">
        <f>59.4+54.9</f>
        <v>114.3</v>
      </c>
      <c r="AB36" s="72">
        <v>115</v>
      </c>
      <c r="AC36" s="72">
        <f>60+55</f>
        <v>115</v>
      </c>
      <c r="AD36" s="72">
        <f>61.2+55.5</f>
        <v>116.7</v>
      </c>
      <c r="AE36" s="63">
        <v>116</v>
      </c>
      <c r="AF36" s="63">
        <v>116</v>
      </c>
      <c r="AG36" s="69">
        <v>240</v>
      </c>
      <c r="AH36" s="56">
        <f t="shared" si="2"/>
        <v>118.4</v>
      </c>
      <c r="AI36" s="57">
        <f t="shared" si="3"/>
        <v>112.5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631.6</v>
      </c>
      <c r="C37" s="74">
        <f t="shared" si="4"/>
        <v>609.79999999999995</v>
      </c>
      <c r="D37" s="74">
        <f t="shared" si="4"/>
        <v>609.79999999999995</v>
      </c>
      <c r="E37" s="74">
        <f t="shared" si="4"/>
        <v>609.79999999999995</v>
      </c>
      <c r="F37" s="74">
        <f t="shared" si="4"/>
        <v>609.79999999999995</v>
      </c>
      <c r="G37" s="74">
        <f t="shared" si="4"/>
        <v>609.79999999999995</v>
      </c>
      <c r="H37" s="74">
        <f t="shared" si="4"/>
        <v>619.79999999999995</v>
      </c>
      <c r="I37" s="74">
        <f t="shared" si="4"/>
        <v>619.79999999999995</v>
      </c>
      <c r="J37" s="74">
        <f t="shared" si="4"/>
        <v>619.79999999999995</v>
      </c>
      <c r="K37" s="74">
        <f t="shared" si="4"/>
        <v>624.79999999999995</v>
      </c>
      <c r="L37" s="74">
        <f t="shared" si="4"/>
        <v>639.79999999999995</v>
      </c>
      <c r="M37" s="74">
        <f t="shared" si="4"/>
        <v>664.8</v>
      </c>
      <c r="N37" s="74">
        <f t="shared" si="4"/>
        <v>664.8</v>
      </c>
      <c r="O37" s="74">
        <f t="shared" si="4"/>
        <v>624.79999999999995</v>
      </c>
      <c r="P37" s="74">
        <f t="shared" si="4"/>
        <v>621.5</v>
      </c>
      <c r="Q37" s="74">
        <f t="shared" si="4"/>
        <v>611.5</v>
      </c>
      <c r="R37" s="74">
        <f t="shared" si="4"/>
        <v>611.5</v>
      </c>
      <c r="S37" s="74">
        <f t="shared" si="4"/>
        <v>611.5</v>
      </c>
      <c r="T37" s="74">
        <f t="shared" si="4"/>
        <v>611.5</v>
      </c>
      <c r="U37" s="74">
        <f t="shared" si="4"/>
        <v>638.79999999999995</v>
      </c>
      <c r="V37" s="74">
        <f t="shared" si="4"/>
        <v>753.09999999999991</v>
      </c>
      <c r="W37" s="74">
        <f t="shared" si="4"/>
        <v>867.2</v>
      </c>
      <c r="X37" s="74">
        <f t="shared" si="4"/>
        <v>887.2</v>
      </c>
      <c r="Y37" s="74">
        <f t="shared" si="4"/>
        <v>857.2</v>
      </c>
      <c r="Z37" s="74">
        <f t="shared" si="4"/>
        <v>837.2</v>
      </c>
      <c r="AA37" s="74">
        <f t="shared" si="4"/>
        <v>807.2</v>
      </c>
      <c r="AB37" s="74">
        <f t="shared" si="4"/>
        <v>767.2</v>
      </c>
      <c r="AC37" s="74">
        <f t="shared" si="4"/>
        <v>727.2</v>
      </c>
      <c r="AD37" s="74">
        <f t="shared" si="4"/>
        <v>714.2</v>
      </c>
      <c r="AE37" s="74">
        <f t="shared" si="4"/>
        <v>667.9</v>
      </c>
      <c r="AF37" s="74">
        <f t="shared" si="4"/>
        <v>647.9</v>
      </c>
      <c r="AG37" s="69">
        <f>SUM(AG11:AG36)</f>
        <v>1481.8299999999997</v>
      </c>
      <c r="AH37" s="56">
        <f t="shared" si="2"/>
        <v>887.2</v>
      </c>
      <c r="AI37" s="57">
        <f t="shared" si="3"/>
        <v>609.79999999999995</v>
      </c>
      <c r="AK37" s="58"/>
    </row>
    <row r="38" spans="1:88" x14ac:dyDescent="0.25">
      <c r="A38" s="59" t="s">
        <v>45</v>
      </c>
      <c r="B38" s="63">
        <v>61.5</v>
      </c>
      <c r="C38" s="63">
        <v>61</v>
      </c>
      <c r="D38" s="63">
        <v>53.7</v>
      </c>
      <c r="E38" s="63">
        <v>54.1</v>
      </c>
      <c r="F38" s="63">
        <v>54.2</v>
      </c>
      <c r="G38" s="63">
        <v>62</v>
      </c>
      <c r="H38" s="63">
        <v>71</v>
      </c>
      <c r="I38" s="63">
        <v>71.3</v>
      </c>
      <c r="J38" s="63">
        <v>71.900000000000006</v>
      </c>
      <c r="K38" s="63">
        <v>71.900000000000006</v>
      </c>
      <c r="L38" s="63">
        <v>72.599999999999994</v>
      </c>
      <c r="M38" s="52">
        <v>94.3</v>
      </c>
      <c r="N38" s="52">
        <v>94.3</v>
      </c>
      <c r="O38" s="52">
        <v>61.3</v>
      </c>
      <c r="P38" s="50">
        <v>30.5</v>
      </c>
      <c r="Q38" s="50">
        <v>30.2</v>
      </c>
      <c r="R38" s="50">
        <v>30.3</v>
      </c>
      <c r="S38" s="50">
        <v>30.3</v>
      </c>
      <c r="T38" s="50">
        <v>40.299999999999997</v>
      </c>
      <c r="U38" s="50">
        <v>61.9</v>
      </c>
      <c r="V38" s="50">
        <v>91.3</v>
      </c>
      <c r="W38" s="50">
        <v>112</v>
      </c>
      <c r="X38" s="50">
        <v>121.3</v>
      </c>
      <c r="Y38" s="50">
        <v>121.6</v>
      </c>
      <c r="Z38" s="50">
        <v>121.6</v>
      </c>
      <c r="AA38" s="50">
        <v>121.6</v>
      </c>
      <c r="AB38" s="50">
        <v>111.5</v>
      </c>
      <c r="AC38" s="50">
        <v>93.1</v>
      </c>
      <c r="AD38" s="50">
        <v>71.099999999999994</v>
      </c>
      <c r="AE38" s="49">
        <v>60</v>
      </c>
      <c r="AF38" s="49">
        <v>55</v>
      </c>
      <c r="AG38" s="64">
        <v>144</v>
      </c>
      <c r="AH38" s="56">
        <f t="shared" si="2"/>
        <v>121.6</v>
      </c>
      <c r="AI38" s="57">
        <f t="shared" si="3"/>
        <v>30.2</v>
      </c>
      <c r="AK38" s="58"/>
    </row>
    <row r="39" spans="1:88" x14ac:dyDescent="0.25">
      <c r="A39" s="68" t="s">
        <v>46</v>
      </c>
      <c r="B39" s="63">
        <v>22.8</v>
      </c>
      <c r="C39" s="63">
        <v>22.1</v>
      </c>
      <c r="D39" s="63">
        <v>23.1</v>
      </c>
      <c r="E39" s="63">
        <v>22.6</v>
      </c>
      <c r="F39" s="63">
        <v>23.4</v>
      </c>
      <c r="G39" s="63">
        <v>30.9</v>
      </c>
      <c r="H39" s="63">
        <v>34.299999999999997</v>
      </c>
      <c r="I39" s="63">
        <v>35.200000000000003</v>
      </c>
      <c r="J39" s="63">
        <v>34.6</v>
      </c>
      <c r="K39" s="63">
        <v>34.6</v>
      </c>
      <c r="L39" s="63">
        <v>34.9</v>
      </c>
      <c r="M39" s="52">
        <v>35</v>
      </c>
      <c r="N39" s="52">
        <v>34.799999999999997</v>
      </c>
      <c r="O39" s="52">
        <v>22.8</v>
      </c>
      <c r="P39" s="52">
        <v>22.6</v>
      </c>
      <c r="Q39" s="52">
        <v>22.1</v>
      </c>
      <c r="R39" s="52">
        <v>21.4</v>
      </c>
      <c r="S39" s="52">
        <v>23.9</v>
      </c>
      <c r="T39" s="52">
        <v>23.9</v>
      </c>
      <c r="U39" s="52">
        <v>36.799999999999997</v>
      </c>
      <c r="V39" s="52">
        <v>60.5</v>
      </c>
      <c r="W39" s="52">
        <v>70.099999999999994</v>
      </c>
      <c r="X39" s="52">
        <v>70.8</v>
      </c>
      <c r="Y39" s="52">
        <v>69.400000000000006</v>
      </c>
      <c r="Z39" s="52">
        <v>59.2</v>
      </c>
      <c r="AA39" s="52">
        <v>59.1</v>
      </c>
      <c r="AB39" s="52">
        <v>59</v>
      </c>
      <c r="AC39" s="52">
        <v>50</v>
      </c>
      <c r="AD39" s="52">
        <v>34.6</v>
      </c>
      <c r="AE39" s="63">
        <v>30</v>
      </c>
      <c r="AF39" s="63">
        <v>25</v>
      </c>
      <c r="AG39" s="69">
        <v>70</v>
      </c>
      <c r="AH39" s="56">
        <f t="shared" si="2"/>
        <v>70.8</v>
      </c>
      <c r="AI39" s="57">
        <f t="shared" si="3"/>
        <v>21.4</v>
      </c>
      <c r="AK39" s="58"/>
    </row>
    <row r="40" spans="1:88" x14ac:dyDescent="0.25">
      <c r="A40" s="68" t="s">
        <v>47</v>
      </c>
      <c r="B40" s="63">
        <v>17.5</v>
      </c>
      <c r="C40" s="63">
        <v>17.399999999999999</v>
      </c>
      <c r="D40" s="63">
        <v>17.399999999999999</v>
      </c>
      <c r="E40" s="63">
        <v>17.5</v>
      </c>
      <c r="F40" s="63">
        <v>23.4</v>
      </c>
      <c r="G40" s="63">
        <v>23.3</v>
      </c>
      <c r="H40" s="63">
        <v>36.200000000000003</v>
      </c>
      <c r="I40" s="63">
        <v>32.9</v>
      </c>
      <c r="J40" s="63">
        <v>32.799999999999997</v>
      </c>
      <c r="K40" s="63">
        <v>42</v>
      </c>
      <c r="L40" s="63">
        <v>32.700000000000003</v>
      </c>
      <c r="M40" s="52">
        <v>36.5</v>
      </c>
      <c r="N40" s="52">
        <v>36.5</v>
      </c>
      <c r="O40" s="52">
        <v>16.7</v>
      </c>
      <c r="P40" s="52">
        <v>23.5</v>
      </c>
      <c r="Q40" s="52">
        <v>19</v>
      </c>
      <c r="R40" s="52">
        <v>22.9</v>
      </c>
      <c r="S40" s="52">
        <v>23.2</v>
      </c>
      <c r="T40" s="52">
        <v>30</v>
      </c>
      <c r="U40" s="52">
        <v>36.6</v>
      </c>
      <c r="V40" s="52">
        <v>62.8</v>
      </c>
      <c r="W40" s="52">
        <v>68.8</v>
      </c>
      <c r="X40" s="52">
        <v>70</v>
      </c>
      <c r="Y40" s="52">
        <v>69.5</v>
      </c>
      <c r="Z40" s="52">
        <v>54.8</v>
      </c>
      <c r="AA40" s="52">
        <v>55.1</v>
      </c>
      <c r="AB40" s="52">
        <v>66</v>
      </c>
      <c r="AC40" s="52">
        <v>57</v>
      </c>
      <c r="AD40" s="52">
        <v>34.5</v>
      </c>
      <c r="AE40" s="63">
        <v>25</v>
      </c>
      <c r="AF40" s="63">
        <v>17</v>
      </c>
      <c r="AG40" s="69">
        <v>69</v>
      </c>
      <c r="AH40" s="56">
        <f t="shared" si="2"/>
        <v>70</v>
      </c>
      <c r="AI40" s="57">
        <f t="shared" si="3"/>
        <v>16.7</v>
      </c>
      <c r="AK40" s="58"/>
    </row>
    <row r="41" spans="1:88" x14ac:dyDescent="0.25">
      <c r="A41" s="68" t="s">
        <v>48</v>
      </c>
      <c r="B41" s="63">
        <v>21.9</v>
      </c>
      <c r="C41" s="63">
        <v>22.2</v>
      </c>
      <c r="D41" s="63">
        <v>22.2</v>
      </c>
      <c r="E41" s="63">
        <v>22.2</v>
      </c>
      <c r="F41" s="63">
        <v>22.2</v>
      </c>
      <c r="G41" s="63">
        <v>29</v>
      </c>
      <c r="H41" s="63">
        <v>30.5</v>
      </c>
      <c r="I41" s="63">
        <v>30.5</v>
      </c>
      <c r="J41" s="63">
        <v>30.5</v>
      </c>
      <c r="K41" s="63">
        <v>30.5</v>
      </c>
      <c r="L41" s="63">
        <v>24.7</v>
      </c>
      <c r="M41" s="52">
        <v>25.4</v>
      </c>
      <c r="N41" s="52">
        <v>25.4</v>
      </c>
      <c r="O41" s="52">
        <v>9.6</v>
      </c>
      <c r="P41" s="52">
        <v>20</v>
      </c>
      <c r="Q41" s="52">
        <v>9.8000000000000007</v>
      </c>
      <c r="R41" s="52">
        <v>9.8000000000000007</v>
      </c>
      <c r="S41" s="52">
        <v>9.8000000000000007</v>
      </c>
      <c r="T41" s="52">
        <v>25.9</v>
      </c>
      <c r="U41" s="52">
        <v>41.6</v>
      </c>
      <c r="V41" s="52">
        <v>60.9</v>
      </c>
      <c r="W41" s="52">
        <v>61.2</v>
      </c>
      <c r="X41" s="52">
        <v>61.4</v>
      </c>
      <c r="Y41" s="52">
        <v>61.4</v>
      </c>
      <c r="Z41" s="52">
        <v>51.9</v>
      </c>
      <c r="AA41" s="52">
        <v>51.9</v>
      </c>
      <c r="AB41" s="52">
        <v>51.9</v>
      </c>
      <c r="AC41" s="52">
        <v>51.7</v>
      </c>
      <c r="AD41" s="52">
        <v>25.9</v>
      </c>
      <c r="AE41" s="63">
        <v>20</v>
      </c>
      <c r="AF41" s="63">
        <v>11</v>
      </c>
      <c r="AG41" s="69">
        <v>60</v>
      </c>
      <c r="AH41" s="56">
        <f t="shared" si="2"/>
        <v>61.4</v>
      </c>
      <c r="AI41" s="57">
        <f t="shared" si="3"/>
        <v>9.6</v>
      </c>
      <c r="AK41" s="58"/>
    </row>
    <row r="42" spans="1:88" x14ac:dyDescent="0.25">
      <c r="A42" s="68" t="s">
        <v>49</v>
      </c>
      <c r="B42" s="63">
        <v>14.4</v>
      </c>
      <c r="C42" s="63">
        <v>14.3</v>
      </c>
      <c r="D42" s="63">
        <v>14.3</v>
      </c>
      <c r="E42" s="63">
        <v>14.3</v>
      </c>
      <c r="F42" s="63">
        <v>14.3</v>
      </c>
      <c r="G42" s="63">
        <v>14.3</v>
      </c>
      <c r="H42" s="63">
        <v>14.3</v>
      </c>
      <c r="I42" s="63">
        <v>14.3</v>
      </c>
      <c r="J42" s="63">
        <v>14.3</v>
      </c>
      <c r="K42" s="63">
        <v>14.3</v>
      </c>
      <c r="L42" s="63">
        <v>14.3</v>
      </c>
      <c r="M42" s="52">
        <v>14.3</v>
      </c>
      <c r="N42" s="52">
        <v>14.3</v>
      </c>
      <c r="O42" s="52">
        <v>14.3</v>
      </c>
      <c r="P42" s="50">
        <v>14.3</v>
      </c>
      <c r="Q42" s="50">
        <v>14.3</v>
      </c>
      <c r="R42" s="50">
        <v>14.3</v>
      </c>
      <c r="S42" s="50">
        <v>14.3</v>
      </c>
      <c r="T42" s="50">
        <v>14.3</v>
      </c>
      <c r="U42" s="50">
        <v>14.4</v>
      </c>
      <c r="V42" s="52">
        <v>25.1</v>
      </c>
      <c r="W42" s="50">
        <v>25</v>
      </c>
      <c r="X42" s="52">
        <v>30.2</v>
      </c>
      <c r="Y42" s="52">
        <v>29.5</v>
      </c>
      <c r="Z42" s="52">
        <v>29.5</v>
      </c>
      <c r="AA42" s="52">
        <v>29.5</v>
      </c>
      <c r="AB42" s="52">
        <v>29.5</v>
      </c>
      <c r="AC42" s="52">
        <v>29.5</v>
      </c>
      <c r="AD42" s="52">
        <v>29.5</v>
      </c>
      <c r="AE42" s="63">
        <v>15</v>
      </c>
      <c r="AF42" s="63">
        <v>13</v>
      </c>
      <c r="AG42" s="69">
        <v>30</v>
      </c>
      <c r="AH42" s="56">
        <f t="shared" si="2"/>
        <v>30.2</v>
      </c>
      <c r="AI42" s="57">
        <f t="shared" si="3"/>
        <v>13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52">
        <v>0</v>
      </c>
      <c r="N43" s="52">
        <v>0</v>
      </c>
      <c r="O43" s="52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75">
        <v>10</v>
      </c>
      <c r="C44" s="75">
        <v>10</v>
      </c>
      <c r="D44" s="75">
        <v>10</v>
      </c>
      <c r="E44" s="75">
        <v>10</v>
      </c>
      <c r="F44" s="75">
        <v>10</v>
      </c>
      <c r="G44" s="75">
        <v>10</v>
      </c>
      <c r="H44" s="75">
        <v>10</v>
      </c>
      <c r="I44" s="75">
        <v>10</v>
      </c>
      <c r="J44" s="75">
        <v>10</v>
      </c>
      <c r="K44" s="75">
        <v>10</v>
      </c>
      <c r="L44" s="75">
        <v>17</v>
      </c>
      <c r="M44" s="52">
        <v>12</v>
      </c>
      <c r="N44" s="52">
        <v>12</v>
      </c>
      <c r="O44" s="52">
        <v>12</v>
      </c>
      <c r="P44" s="50">
        <v>12</v>
      </c>
      <c r="Q44" s="50">
        <v>13</v>
      </c>
      <c r="R44" s="50">
        <v>13</v>
      </c>
      <c r="S44" s="50">
        <v>13</v>
      </c>
      <c r="T44" s="50">
        <v>13</v>
      </c>
      <c r="U44" s="50">
        <v>13</v>
      </c>
      <c r="V44" s="50">
        <v>12</v>
      </c>
      <c r="W44" s="50">
        <v>12</v>
      </c>
      <c r="X44" s="50">
        <v>12</v>
      </c>
      <c r="Y44" s="50">
        <v>12</v>
      </c>
      <c r="Z44" s="50">
        <v>12</v>
      </c>
      <c r="AA44" s="50">
        <v>12</v>
      </c>
      <c r="AB44" s="50">
        <v>12</v>
      </c>
      <c r="AC44" s="50">
        <v>12</v>
      </c>
      <c r="AD44" s="50">
        <v>12</v>
      </c>
      <c r="AE44" s="50">
        <v>12</v>
      </c>
      <c r="AF44" s="50">
        <v>12</v>
      </c>
      <c r="AG44" s="69">
        <v>24</v>
      </c>
      <c r="AH44" s="56">
        <f t="shared" si="2"/>
        <v>17</v>
      </c>
      <c r="AI44" s="57">
        <f t="shared" si="3"/>
        <v>10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52">
        <v>0</v>
      </c>
      <c r="N45" s="52">
        <v>0</v>
      </c>
      <c r="O45" s="52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10</v>
      </c>
      <c r="C46" s="63">
        <v>10</v>
      </c>
      <c r="D46" s="63">
        <v>10</v>
      </c>
      <c r="E46" s="63">
        <v>10</v>
      </c>
      <c r="F46" s="63">
        <v>10</v>
      </c>
      <c r="G46" s="63">
        <v>10</v>
      </c>
      <c r="H46" s="63">
        <v>10</v>
      </c>
      <c r="I46" s="63">
        <v>10</v>
      </c>
      <c r="J46" s="63">
        <v>10</v>
      </c>
      <c r="K46" s="63">
        <v>10</v>
      </c>
      <c r="L46" s="63">
        <v>10</v>
      </c>
      <c r="M46" s="52">
        <v>10</v>
      </c>
      <c r="N46" s="52">
        <v>10</v>
      </c>
      <c r="O46" s="52">
        <v>10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10</v>
      </c>
      <c r="V46" s="50">
        <v>10</v>
      </c>
      <c r="W46" s="50">
        <v>10</v>
      </c>
      <c r="X46" s="50">
        <v>10</v>
      </c>
      <c r="Y46" s="50">
        <v>10</v>
      </c>
      <c r="Z46" s="50">
        <v>10</v>
      </c>
      <c r="AA46" s="50">
        <v>10</v>
      </c>
      <c r="AB46" s="50">
        <v>10</v>
      </c>
      <c r="AC46" s="50">
        <v>10</v>
      </c>
      <c r="AD46" s="50">
        <v>10</v>
      </c>
      <c r="AE46" s="50">
        <v>10</v>
      </c>
      <c r="AF46" s="50">
        <v>10</v>
      </c>
      <c r="AG46" s="69">
        <v>14.1</v>
      </c>
      <c r="AH46" s="56">
        <f t="shared" si="2"/>
        <v>10</v>
      </c>
      <c r="AI46" s="57">
        <f t="shared" si="3"/>
        <v>10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75">
        <v>7</v>
      </c>
      <c r="C47" s="75">
        <v>7</v>
      </c>
      <c r="D47" s="75">
        <v>7</v>
      </c>
      <c r="E47" s="75">
        <v>7</v>
      </c>
      <c r="F47" s="75">
        <v>7</v>
      </c>
      <c r="G47" s="75">
        <v>7</v>
      </c>
      <c r="H47" s="75">
        <v>7</v>
      </c>
      <c r="I47" s="75">
        <v>7</v>
      </c>
      <c r="J47" s="75">
        <v>7</v>
      </c>
      <c r="K47" s="75">
        <v>7</v>
      </c>
      <c r="L47" s="75">
        <v>7</v>
      </c>
      <c r="M47" s="52">
        <v>7</v>
      </c>
      <c r="N47" s="52">
        <v>7</v>
      </c>
      <c r="O47" s="52">
        <v>7</v>
      </c>
      <c r="P47" s="50">
        <v>7</v>
      </c>
      <c r="Q47" s="50">
        <v>7</v>
      </c>
      <c r="R47" s="50">
        <v>7</v>
      </c>
      <c r="S47" s="50">
        <v>7</v>
      </c>
      <c r="T47" s="50">
        <v>7</v>
      </c>
      <c r="U47" s="50">
        <v>7</v>
      </c>
      <c r="V47" s="50">
        <v>7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14</v>
      </c>
      <c r="AG47" s="69">
        <v>14</v>
      </c>
      <c r="AH47" s="56">
        <f t="shared" si="2"/>
        <v>14</v>
      </c>
      <c r="AI47" s="57">
        <f t="shared" si="3"/>
        <v>7</v>
      </c>
      <c r="AK47" s="58"/>
    </row>
    <row r="48" spans="1:88" x14ac:dyDescent="0.25">
      <c r="A48" s="68" t="s">
        <v>55</v>
      </c>
      <c r="B48" s="63">
        <v>9.6</v>
      </c>
      <c r="C48" s="63">
        <v>9.6</v>
      </c>
      <c r="D48" s="63">
        <v>9.6</v>
      </c>
      <c r="E48" s="63">
        <v>9.6</v>
      </c>
      <c r="F48" s="63">
        <v>9.6</v>
      </c>
      <c r="G48" s="63">
        <v>9.6</v>
      </c>
      <c r="H48" s="63">
        <v>9.6</v>
      </c>
      <c r="I48" s="63">
        <v>9.6</v>
      </c>
      <c r="J48" s="63">
        <v>9.6</v>
      </c>
      <c r="K48" s="63">
        <v>9.6</v>
      </c>
      <c r="L48" s="63">
        <v>9.6</v>
      </c>
      <c r="M48" s="52">
        <v>9.6</v>
      </c>
      <c r="N48" s="52">
        <v>9.6</v>
      </c>
      <c r="O48" s="52">
        <v>9.6</v>
      </c>
      <c r="P48" s="50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0">
        <v>9.6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50">
        <v>9.6</v>
      </c>
      <c r="AF48" s="50">
        <v>9.6</v>
      </c>
      <c r="AG48" s="69">
        <v>10.050000000000001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63">
        <v>3.1</v>
      </c>
      <c r="C49" s="63">
        <v>3.1</v>
      </c>
      <c r="D49" s="63">
        <v>3.1</v>
      </c>
      <c r="E49" s="63">
        <v>3.1</v>
      </c>
      <c r="F49" s="63">
        <v>3.1</v>
      </c>
      <c r="G49" s="63">
        <v>3.1</v>
      </c>
      <c r="H49" s="63">
        <v>3.1</v>
      </c>
      <c r="I49" s="63">
        <v>3.1</v>
      </c>
      <c r="J49" s="63">
        <v>3.1</v>
      </c>
      <c r="K49" s="63">
        <v>3.1</v>
      </c>
      <c r="L49" s="63">
        <v>3.1</v>
      </c>
      <c r="M49" s="52">
        <v>3.1</v>
      </c>
      <c r="N49" s="52">
        <v>3.1</v>
      </c>
      <c r="O49" s="52">
        <v>3.1</v>
      </c>
      <c r="P49" s="50">
        <v>3.1</v>
      </c>
      <c r="Q49" s="50">
        <v>3.1</v>
      </c>
      <c r="R49" s="50">
        <v>3.1</v>
      </c>
      <c r="S49" s="50">
        <v>3.1</v>
      </c>
      <c r="T49" s="50">
        <v>3.1</v>
      </c>
      <c r="U49" s="50">
        <v>3.1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3.1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v>3.54</v>
      </c>
      <c r="W50" s="78">
        <v>3.5</v>
      </c>
      <c r="X50" s="78">
        <v>3.5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181.33999999999997</v>
      </c>
      <c r="C51" s="74">
        <f t="shared" si="6"/>
        <v>180.23999999999998</v>
      </c>
      <c r="D51" s="74">
        <f t="shared" si="6"/>
        <v>173.94</v>
      </c>
      <c r="E51" s="74">
        <f t="shared" si="6"/>
        <v>173.94</v>
      </c>
      <c r="F51" s="74">
        <f t="shared" si="6"/>
        <v>180.73999999999998</v>
      </c>
      <c r="G51" s="74">
        <f t="shared" si="6"/>
        <v>202.73999999999998</v>
      </c>
      <c r="H51" s="74">
        <f t="shared" si="6"/>
        <v>229.54</v>
      </c>
      <c r="I51" s="74">
        <f t="shared" si="6"/>
        <v>227.44</v>
      </c>
      <c r="J51" s="74">
        <f t="shared" si="6"/>
        <v>227.34</v>
      </c>
      <c r="K51" s="74">
        <f t="shared" si="6"/>
        <v>236.54</v>
      </c>
      <c r="L51" s="74">
        <f t="shared" si="6"/>
        <v>229.43999999999997</v>
      </c>
      <c r="M51" s="74">
        <f t="shared" si="6"/>
        <v>250.74</v>
      </c>
      <c r="N51" s="74">
        <f t="shared" si="6"/>
        <v>250.54</v>
      </c>
      <c r="O51" s="74">
        <f t="shared" si="6"/>
        <v>169.93999999999997</v>
      </c>
      <c r="P51" s="74">
        <f t="shared" si="6"/>
        <v>156.13999999999996</v>
      </c>
      <c r="Q51" s="74">
        <f t="shared" si="6"/>
        <v>141.63999999999999</v>
      </c>
      <c r="R51" s="74">
        <f t="shared" si="6"/>
        <v>144.93999999999997</v>
      </c>
      <c r="S51" s="74">
        <f t="shared" si="6"/>
        <v>147.73999999999998</v>
      </c>
      <c r="T51" s="74">
        <f t="shared" si="6"/>
        <v>180.64</v>
      </c>
      <c r="U51" s="74">
        <f t="shared" si="6"/>
        <v>237.53999999999996</v>
      </c>
      <c r="V51" s="74">
        <f t="shared" si="6"/>
        <v>348.94000000000005</v>
      </c>
      <c r="W51" s="74">
        <f t="shared" si="6"/>
        <v>392.4</v>
      </c>
      <c r="X51" s="74">
        <f t="shared" si="6"/>
        <v>409</v>
      </c>
      <c r="Y51" s="74">
        <f t="shared" si="6"/>
        <v>406.74</v>
      </c>
      <c r="Z51" s="74">
        <f t="shared" si="6"/>
        <v>372.34000000000003</v>
      </c>
      <c r="AA51" s="74">
        <f t="shared" si="6"/>
        <v>372.54</v>
      </c>
      <c r="AB51" s="74">
        <f t="shared" si="6"/>
        <v>373.24</v>
      </c>
      <c r="AC51" s="74">
        <f t="shared" si="6"/>
        <v>336.64000000000004</v>
      </c>
      <c r="AD51" s="74">
        <f t="shared" si="6"/>
        <v>250.93999999999997</v>
      </c>
      <c r="AE51" s="74">
        <f t="shared" si="6"/>
        <v>205.33999999999997</v>
      </c>
      <c r="AF51" s="74">
        <f t="shared" si="6"/>
        <v>176.33999999999997</v>
      </c>
      <c r="AG51" s="79">
        <f>SUM(AG38:AG50)</f>
        <v>489.91</v>
      </c>
      <c r="AH51" s="56">
        <f t="shared" si="2"/>
        <v>409</v>
      </c>
      <c r="AI51" s="57">
        <f t="shared" si="3"/>
        <v>141.63999999999999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0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52">
        <v>0</v>
      </c>
      <c r="Q53" s="52">
        <v>0</v>
      </c>
      <c r="R53" s="50">
        <v>0</v>
      </c>
      <c r="S53" s="50">
        <v>0</v>
      </c>
      <c r="T53" s="50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0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82">
        <v>0</v>
      </c>
      <c r="Q54" s="82">
        <v>0</v>
      </c>
      <c r="R54" s="50">
        <v>0</v>
      </c>
      <c r="S54" s="50">
        <v>0</v>
      </c>
      <c r="T54" s="50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0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 t="shared" si="7"/>
        <v>0</v>
      </c>
      <c r="X55" s="74">
        <f t="shared" si="7"/>
        <v>0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-75.7</v>
      </c>
      <c r="C58" s="52">
        <v>-78.3</v>
      </c>
      <c r="D58" s="52">
        <v>-70</v>
      </c>
      <c r="E58" s="52">
        <v>-72.5</v>
      </c>
      <c r="F58" s="52">
        <v>-42</v>
      </c>
      <c r="G58" s="50">
        <v>-45</v>
      </c>
      <c r="H58" s="50">
        <v>-62</v>
      </c>
      <c r="I58" s="50">
        <v>-68</v>
      </c>
      <c r="J58" s="50">
        <v>-42</v>
      </c>
      <c r="K58" s="50">
        <v>-46.9</v>
      </c>
      <c r="L58" s="50">
        <v>-32.6</v>
      </c>
      <c r="M58" s="50">
        <v>-69.3</v>
      </c>
      <c r="N58" s="50">
        <v>-74</v>
      </c>
      <c r="O58" s="50">
        <v>-49.8</v>
      </c>
      <c r="P58" s="52">
        <v>-47</v>
      </c>
      <c r="Q58" s="52">
        <v>-55</v>
      </c>
      <c r="R58" s="52">
        <v>-55.9</v>
      </c>
      <c r="S58" s="52">
        <v>-60</v>
      </c>
      <c r="T58" s="52">
        <v>-52.1</v>
      </c>
      <c r="U58" s="52">
        <v>-49.2</v>
      </c>
      <c r="V58" s="52">
        <v>-46.2</v>
      </c>
      <c r="W58" s="85">
        <v>-47.2</v>
      </c>
      <c r="X58" s="85">
        <v>-57.6</v>
      </c>
      <c r="Y58" s="85">
        <v>-79.599999999999994</v>
      </c>
      <c r="Z58" s="85">
        <v>-45.8</v>
      </c>
      <c r="AA58" s="52">
        <v>-57.1</v>
      </c>
      <c r="AB58" s="52">
        <v>-50</v>
      </c>
      <c r="AC58" s="52">
        <v>-48.5</v>
      </c>
      <c r="AD58" s="52">
        <v>-68.900000000000006</v>
      </c>
      <c r="AE58" s="52">
        <v>-48</v>
      </c>
      <c r="AF58" s="52">
        <v>-40</v>
      </c>
      <c r="AG58" s="86"/>
      <c r="AH58" s="56">
        <f t="shared" si="2"/>
        <v>-32.6</v>
      </c>
      <c r="AI58" s="57">
        <f t="shared" si="3"/>
        <v>-79.599999999999994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50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-75.7</v>
      </c>
      <c r="C67" s="74">
        <f t="shared" ref="C67:AF67" si="8">SUM(C56:C66)</f>
        <v>-78.3</v>
      </c>
      <c r="D67" s="74">
        <f t="shared" si="8"/>
        <v>-70</v>
      </c>
      <c r="E67" s="74">
        <f t="shared" si="8"/>
        <v>-72.5</v>
      </c>
      <c r="F67" s="74">
        <f t="shared" si="8"/>
        <v>-42</v>
      </c>
      <c r="G67" s="74">
        <f t="shared" si="8"/>
        <v>-45</v>
      </c>
      <c r="H67" s="74">
        <f t="shared" si="8"/>
        <v>-62</v>
      </c>
      <c r="I67" s="74">
        <f t="shared" si="8"/>
        <v>-68</v>
      </c>
      <c r="J67" s="74">
        <f t="shared" si="8"/>
        <v>-42</v>
      </c>
      <c r="K67" s="74">
        <f t="shared" si="8"/>
        <v>-46.9</v>
      </c>
      <c r="L67" s="74">
        <f t="shared" si="8"/>
        <v>-32.6</v>
      </c>
      <c r="M67" s="74">
        <f t="shared" si="8"/>
        <v>-69.3</v>
      </c>
      <c r="N67" s="74">
        <f t="shared" si="8"/>
        <v>-74</v>
      </c>
      <c r="O67" s="74">
        <f t="shared" si="8"/>
        <v>-49.8</v>
      </c>
      <c r="P67" s="74">
        <f t="shared" si="8"/>
        <v>-47</v>
      </c>
      <c r="Q67" s="74">
        <f t="shared" si="8"/>
        <v>-55</v>
      </c>
      <c r="R67" s="74">
        <f t="shared" si="8"/>
        <v>-55.9</v>
      </c>
      <c r="S67" s="74">
        <f t="shared" si="8"/>
        <v>-60</v>
      </c>
      <c r="T67" s="74">
        <f t="shared" si="8"/>
        <v>-52.1</v>
      </c>
      <c r="U67" s="74">
        <f t="shared" si="8"/>
        <v>-49.2</v>
      </c>
      <c r="V67" s="74">
        <f t="shared" si="8"/>
        <v>-46.2</v>
      </c>
      <c r="W67" s="74">
        <f t="shared" si="8"/>
        <v>-47.2</v>
      </c>
      <c r="X67" s="74">
        <f t="shared" si="8"/>
        <v>-57.6</v>
      </c>
      <c r="Y67" s="74">
        <f t="shared" si="8"/>
        <v>-79.599999999999994</v>
      </c>
      <c r="Z67" s="74">
        <f t="shared" si="8"/>
        <v>-45.8</v>
      </c>
      <c r="AA67" s="74">
        <f t="shared" si="8"/>
        <v>-57.1</v>
      </c>
      <c r="AB67" s="74">
        <f t="shared" si="8"/>
        <v>-50</v>
      </c>
      <c r="AC67" s="74">
        <f t="shared" si="8"/>
        <v>-48.5</v>
      </c>
      <c r="AD67" s="74">
        <f t="shared" si="8"/>
        <v>-68.900000000000006</v>
      </c>
      <c r="AE67" s="74">
        <f t="shared" si="8"/>
        <v>-48</v>
      </c>
      <c r="AF67" s="74">
        <f t="shared" si="8"/>
        <v>-40</v>
      </c>
      <c r="AG67" s="79">
        <f>SUM(AG56:AG66)</f>
        <v>0</v>
      </c>
      <c r="AH67" s="56">
        <f t="shared" si="2"/>
        <v>-32.6</v>
      </c>
      <c r="AI67" s="57">
        <f t="shared" si="3"/>
        <v>-79.599999999999994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737.24</v>
      </c>
      <c r="C72" s="90">
        <f t="shared" ref="C72:AG72" si="10">C67+C55+C51+C37+C71</f>
        <v>711.7399999999999</v>
      </c>
      <c r="D72" s="90">
        <f t="shared" si="10"/>
        <v>713.74</v>
      </c>
      <c r="E72" s="90">
        <f t="shared" si="10"/>
        <v>711.24</v>
      </c>
      <c r="F72" s="90">
        <f t="shared" si="10"/>
        <v>748.54</v>
      </c>
      <c r="G72" s="90">
        <f t="shared" si="10"/>
        <v>767.54</v>
      </c>
      <c r="H72" s="90">
        <f t="shared" si="10"/>
        <v>787.33999999999992</v>
      </c>
      <c r="I72" s="90">
        <f t="shared" si="10"/>
        <v>779.24</v>
      </c>
      <c r="J72" s="90">
        <f t="shared" si="10"/>
        <v>805.14</v>
      </c>
      <c r="K72" s="90">
        <f t="shared" si="10"/>
        <v>814.43999999999994</v>
      </c>
      <c r="L72" s="90">
        <f t="shared" si="10"/>
        <v>836.63999999999987</v>
      </c>
      <c r="M72" s="90">
        <f t="shared" si="10"/>
        <v>846.24</v>
      </c>
      <c r="N72" s="90">
        <f t="shared" si="10"/>
        <v>841.33999999999992</v>
      </c>
      <c r="O72" s="90">
        <f t="shared" si="10"/>
        <v>744.93999999999994</v>
      </c>
      <c r="P72" s="90">
        <f t="shared" si="10"/>
        <v>730.64</v>
      </c>
      <c r="Q72" s="90">
        <f t="shared" si="10"/>
        <v>698.14</v>
      </c>
      <c r="R72" s="90">
        <f t="shared" si="10"/>
        <v>700.54</v>
      </c>
      <c r="S72" s="90">
        <f t="shared" si="10"/>
        <v>699.24</v>
      </c>
      <c r="T72" s="90">
        <f t="shared" si="10"/>
        <v>740.04</v>
      </c>
      <c r="U72" s="90">
        <f t="shared" si="10"/>
        <v>827.13999999999987</v>
      </c>
      <c r="V72" s="90">
        <f t="shared" si="10"/>
        <v>1055.8399999999999</v>
      </c>
      <c r="W72" s="90">
        <f t="shared" si="10"/>
        <v>1212.4000000000001</v>
      </c>
      <c r="X72" s="90">
        <f t="shared" si="10"/>
        <v>1238.5999999999999</v>
      </c>
      <c r="Y72" s="90">
        <f t="shared" si="10"/>
        <v>1184.3400000000001</v>
      </c>
      <c r="Z72" s="90">
        <f t="shared" si="10"/>
        <v>1163.74</v>
      </c>
      <c r="AA72" s="90">
        <f t="shared" si="10"/>
        <v>1122.6400000000001</v>
      </c>
      <c r="AB72" s="90">
        <f t="shared" si="10"/>
        <v>1090.44</v>
      </c>
      <c r="AC72" s="90">
        <f t="shared" si="10"/>
        <v>1015.3400000000001</v>
      </c>
      <c r="AD72" s="90">
        <f t="shared" si="10"/>
        <v>896.24</v>
      </c>
      <c r="AE72" s="90">
        <f t="shared" si="10"/>
        <v>825.24</v>
      </c>
      <c r="AF72" s="90">
        <f t="shared" si="10"/>
        <v>784.24</v>
      </c>
      <c r="AG72" s="90">
        <f t="shared" si="10"/>
        <v>2133.14</v>
      </c>
      <c r="AH72" s="56">
        <f t="shared" si="2"/>
        <v>1238.5999999999999</v>
      </c>
      <c r="AI72" s="57">
        <f t="shared" si="3"/>
        <v>698.14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737.24</v>
      </c>
      <c r="C74" s="90">
        <f t="shared" ref="C74:AF74" si="11">C71+C67+C55+C51+C37+C73</f>
        <v>711.7399999999999</v>
      </c>
      <c r="D74" s="90">
        <f t="shared" si="11"/>
        <v>713.74</v>
      </c>
      <c r="E74" s="90">
        <f t="shared" si="11"/>
        <v>711.24</v>
      </c>
      <c r="F74" s="90">
        <f t="shared" si="11"/>
        <v>748.54</v>
      </c>
      <c r="G74" s="90">
        <f t="shared" si="11"/>
        <v>767.54</v>
      </c>
      <c r="H74" s="90">
        <f t="shared" si="11"/>
        <v>787.33999999999992</v>
      </c>
      <c r="I74" s="90">
        <f t="shared" si="11"/>
        <v>779.24</v>
      </c>
      <c r="J74" s="90">
        <f t="shared" si="11"/>
        <v>805.14</v>
      </c>
      <c r="K74" s="90">
        <f t="shared" si="11"/>
        <v>814.43999999999994</v>
      </c>
      <c r="L74" s="90">
        <f t="shared" si="11"/>
        <v>836.63999999999987</v>
      </c>
      <c r="M74" s="90">
        <f t="shared" si="11"/>
        <v>846.24</v>
      </c>
      <c r="N74" s="90">
        <f t="shared" si="11"/>
        <v>841.33999999999992</v>
      </c>
      <c r="O74" s="90">
        <f t="shared" si="11"/>
        <v>744.93999999999994</v>
      </c>
      <c r="P74" s="90">
        <f t="shared" si="11"/>
        <v>730.64</v>
      </c>
      <c r="Q74" s="90">
        <f t="shared" si="11"/>
        <v>698.14</v>
      </c>
      <c r="R74" s="90">
        <f t="shared" si="11"/>
        <v>700.54</v>
      </c>
      <c r="S74" s="90">
        <f t="shared" si="11"/>
        <v>699.24</v>
      </c>
      <c r="T74" s="90">
        <f t="shared" si="11"/>
        <v>740.04</v>
      </c>
      <c r="U74" s="90">
        <f t="shared" si="11"/>
        <v>827.13999999999987</v>
      </c>
      <c r="V74" s="90">
        <f t="shared" si="11"/>
        <v>1055.8399999999999</v>
      </c>
      <c r="W74" s="90">
        <f t="shared" si="11"/>
        <v>1212.4000000000001</v>
      </c>
      <c r="X74" s="90">
        <f t="shared" si="11"/>
        <v>1238.5999999999999</v>
      </c>
      <c r="Y74" s="90">
        <f t="shared" si="11"/>
        <v>1184.3400000000001</v>
      </c>
      <c r="Z74" s="90">
        <f t="shared" si="11"/>
        <v>1163.74</v>
      </c>
      <c r="AA74" s="90">
        <f t="shared" si="11"/>
        <v>1122.6400000000001</v>
      </c>
      <c r="AB74" s="90">
        <f t="shared" si="11"/>
        <v>1090.44</v>
      </c>
      <c r="AC74" s="90">
        <f t="shared" si="11"/>
        <v>1015.3400000000001</v>
      </c>
      <c r="AD74" s="90">
        <f t="shared" si="11"/>
        <v>896.24</v>
      </c>
      <c r="AE74" s="90">
        <f t="shared" si="11"/>
        <v>825.24</v>
      </c>
      <c r="AF74" s="90">
        <f t="shared" si="11"/>
        <v>784.24</v>
      </c>
      <c r="AG74" s="79">
        <f>AG71+AG67+AG55+AG51+AG37+AG73</f>
        <v>2133.14</v>
      </c>
      <c r="AH74" s="56">
        <f t="shared" si="2"/>
        <v>1238.5999999999999</v>
      </c>
      <c r="AI74" s="57">
        <f t="shared" si="3"/>
        <v>698.14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75.7</v>
      </c>
      <c r="C78" s="60">
        <f t="shared" ref="C78:AF78" si="15">IF(C58&lt;0,C58*-1,0)</f>
        <v>78.3</v>
      </c>
      <c r="D78" s="60">
        <f t="shared" si="15"/>
        <v>70</v>
      </c>
      <c r="E78" s="60">
        <f t="shared" si="15"/>
        <v>72.5</v>
      </c>
      <c r="F78" s="60">
        <f t="shared" si="15"/>
        <v>42</v>
      </c>
      <c r="G78" s="60">
        <f t="shared" si="15"/>
        <v>45</v>
      </c>
      <c r="H78" s="60">
        <f t="shared" si="15"/>
        <v>62</v>
      </c>
      <c r="I78" s="60">
        <f t="shared" si="15"/>
        <v>68</v>
      </c>
      <c r="J78" s="60">
        <f t="shared" si="15"/>
        <v>42</v>
      </c>
      <c r="K78" s="60">
        <f t="shared" si="15"/>
        <v>46.9</v>
      </c>
      <c r="L78" s="60">
        <f t="shared" si="15"/>
        <v>32.6</v>
      </c>
      <c r="M78" s="60">
        <f t="shared" si="15"/>
        <v>69.3</v>
      </c>
      <c r="N78" s="60">
        <f t="shared" si="15"/>
        <v>74</v>
      </c>
      <c r="O78" s="60">
        <f t="shared" si="15"/>
        <v>49.8</v>
      </c>
      <c r="P78" s="60">
        <f t="shared" si="15"/>
        <v>47</v>
      </c>
      <c r="Q78" s="60">
        <f t="shared" si="15"/>
        <v>55</v>
      </c>
      <c r="R78" s="60">
        <f t="shared" si="15"/>
        <v>55.9</v>
      </c>
      <c r="S78" s="60">
        <f t="shared" si="15"/>
        <v>60</v>
      </c>
      <c r="T78" s="60">
        <f t="shared" si="15"/>
        <v>52.1</v>
      </c>
      <c r="U78" s="60">
        <f t="shared" si="15"/>
        <v>49.2</v>
      </c>
      <c r="V78" s="60">
        <f t="shared" si="15"/>
        <v>46.2</v>
      </c>
      <c r="W78" s="60">
        <f t="shared" si="15"/>
        <v>47.2</v>
      </c>
      <c r="X78" s="60">
        <f t="shared" si="15"/>
        <v>57.6</v>
      </c>
      <c r="Y78" s="60">
        <f t="shared" si="15"/>
        <v>79.599999999999994</v>
      </c>
      <c r="Z78" s="60">
        <f t="shared" si="15"/>
        <v>45.8</v>
      </c>
      <c r="AA78" s="60">
        <f t="shared" si="15"/>
        <v>57.1</v>
      </c>
      <c r="AB78" s="60">
        <f t="shared" si="15"/>
        <v>50</v>
      </c>
      <c r="AC78" s="60">
        <f t="shared" si="15"/>
        <v>48.5</v>
      </c>
      <c r="AD78" s="60">
        <f t="shared" si="15"/>
        <v>68.900000000000006</v>
      </c>
      <c r="AE78" s="60">
        <f t="shared" si="15"/>
        <v>48</v>
      </c>
      <c r="AF78" s="60">
        <f t="shared" si="15"/>
        <v>40</v>
      </c>
      <c r="AG78" s="93"/>
      <c r="AH78" s="56">
        <f t="shared" ref="AH78:AH90" si="16">MAX(B78:AF78)</f>
        <v>79.599999999999994</v>
      </c>
      <c r="AI78" s="57">
        <f t="shared" ref="AI78:AI90" si="17">MIN(B78:AF78)</f>
        <v>32.6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75.7</v>
      </c>
      <c r="C81" s="74">
        <f t="shared" si="19"/>
        <v>78.3</v>
      </c>
      <c r="D81" s="74">
        <f t="shared" si="19"/>
        <v>70</v>
      </c>
      <c r="E81" s="74">
        <f t="shared" si="19"/>
        <v>72.5</v>
      </c>
      <c r="F81" s="74">
        <f t="shared" si="19"/>
        <v>42</v>
      </c>
      <c r="G81" s="74">
        <f t="shared" si="19"/>
        <v>45</v>
      </c>
      <c r="H81" s="74">
        <f t="shared" si="19"/>
        <v>62</v>
      </c>
      <c r="I81" s="74">
        <f t="shared" si="19"/>
        <v>68</v>
      </c>
      <c r="J81" s="74">
        <f t="shared" si="19"/>
        <v>42</v>
      </c>
      <c r="K81" s="74">
        <f t="shared" si="19"/>
        <v>46.9</v>
      </c>
      <c r="L81" s="74">
        <f t="shared" si="19"/>
        <v>32.6</v>
      </c>
      <c r="M81" s="74">
        <f t="shared" si="19"/>
        <v>69.3</v>
      </c>
      <c r="N81" s="74">
        <f t="shared" si="19"/>
        <v>74</v>
      </c>
      <c r="O81" s="74">
        <f t="shared" si="19"/>
        <v>49.8</v>
      </c>
      <c r="P81" s="74">
        <f t="shared" si="19"/>
        <v>47</v>
      </c>
      <c r="Q81" s="74">
        <f t="shared" si="19"/>
        <v>55</v>
      </c>
      <c r="R81" s="74">
        <f t="shared" si="19"/>
        <v>55.9</v>
      </c>
      <c r="S81" s="74">
        <f t="shared" si="19"/>
        <v>60</v>
      </c>
      <c r="T81" s="74">
        <f t="shared" si="19"/>
        <v>52.1</v>
      </c>
      <c r="U81" s="74">
        <f t="shared" si="19"/>
        <v>49.2</v>
      </c>
      <c r="V81" s="74">
        <f t="shared" si="19"/>
        <v>46.2</v>
      </c>
      <c r="W81" s="74">
        <f t="shared" si="19"/>
        <v>47.2</v>
      </c>
      <c r="X81" s="74">
        <f t="shared" si="19"/>
        <v>57.6</v>
      </c>
      <c r="Y81" s="74">
        <f t="shared" si="19"/>
        <v>79.599999999999994</v>
      </c>
      <c r="Z81" s="74">
        <f t="shared" si="19"/>
        <v>45.8</v>
      </c>
      <c r="AA81" s="74">
        <f t="shared" si="19"/>
        <v>57.1</v>
      </c>
      <c r="AB81" s="74">
        <f t="shared" si="19"/>
        <v>50</v>
      </c>
      <c r="AC81" s="74">
        <f t="shared" si="19"/>
        <v>48.5</v>
      </c>
      <c r="AD81" s="74">
        <f t="shared" si="19"/>
        <v>68.900000000000006</v>
      </c>
      <c r="AE81" s="74">
        <f t="shared" si="19"/>
        <v>48</v>
      </c>
      <c r="AF81" s="74">
        <f t="shared" si="19"/>
        <v>40</v>
      </c>
      <c r="AG81" s="79">
        <f t="shared" si="19"/>
        <v>0</v>
      </c>
      <c r="AH81" s="56">
        <f t="shared" si="16"/>
        <v>79.599999999999994</v>
      </c>
      <c r="AI81" s="57">
        <f t="shared" si="17"/>
        <v>32.6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1625.88</v>
      </c>
      <c r="C82" s="74">
        <f t="shared" si="20"/>
        <v>1580.0799999999997</v>
      </c>
      <c r="D82" s="74">
        <f t="shared" si="20"/>
        <v>1567.48</v>
      </c>
      <c r="E82" s="74">
        <f t="shared" si="20"/>
        <v>1567.48</v>
      </c>
      <c r="F82" s="74">
        <f t="shared" si="20"/>
        <v>1581.08</v>
      </c>
      <c r="G82" s="74">
        <f t="shared" si="20"/>
        <v>1625.08</v>
      </c>
      <c r="H82" s="74">
        <f t="shared" si="20"/>
        <v>1698.6799999999998</v>
      </c>
      <c r="I82" s="74">
        <f t="shared" si="20"/>
        <v>1694.48</v>
      </c>
      <c r="J82" s="74">
        <f t="shared" si="20"/>
        <v>1694.28</v>
      </c>
      <c r="K82" s="74">
        <f t="shared" si="20"/>
        <v>1722.68</v>
      </c>
      <c r="L82" s="74">
        <f t="shared" si="20"/>
        <v>1738.4799999999996</v>
      </c>
      <c r="M82" s="74">
        <f t="shared" si="20"/>
        <v>1831.08</v>
      </c>
      <c r="N82" s="74">
        <f t="shared" si="20"/>
        <v>1830.6799999999998</v>
      </c>
      <c r="O82" s="74">
        <f t="shared" si="20"/>
        <v>1589.4799999999998</v>
      </c>
      <c r="P82" s="74">
        <f t="shared" si="20"/>
        <v>1555.28</v>
      </c>
      <c r="Q82" s="74">
        <f t="shared" si="20"/>
        <v>1506.28</v>
      </c>
      <c r="R82" s="74">
        <f t="shared" si="20"/>
        <v>1512.88</v>
      </c>
      <c r="S82" s="74">
        <f t="shared" si="20"/>
        <v>1518.48</v>
      </c>
      <c r="T82" s="74">
        <f t="shared" si="20"/>
        <v>1584.2799999999997</v>
      </c>
      <c r="U82" s="74">
        <f t="shared" si="20"/>
        <v>1752.6799999999998</v>
      </c>
      <c r="V82" s="74">
        <f t="shared" si="20"/>
        <v>2204.0799999999995</v>
      </c>
      <c r="W82" s="74">
        <f t="shared" si="20"/>
        <v>2519.1999999999998</v>
      </c>
      <c r="X82" s="74">
        <f t="shared" si="20"/>
        <v>2592.3999999999996</v>
      </c>
      <c r="Y82" s="74">
        <f t="shared" si="20"/>
        <v>2527.88</v>
      </c>
      <c r="Z82" s="74">
        <f t="shared" si="20"/>
        <v>2419.0800000000004</v>
      </c>
      <c r="AA82" s="74">
        <f t="shared" si="20"/>
        <v>2359.48</v>
      </c>
      <c r="AB82" s="74">
        <f t="shared" si="20"/>
        <v>2280.88</v>
      </c>
      <c r="AC82" s="74">
        <f t="shared" si="20"/>
        <v>2127.6800000000003</v>
      </c>
      <c r="AD82" s="74">
        <f t="shared" si="20"/>
        <v>1930.2800000000002</v>
      </c>
      <c r="AE82" s="74">
        <f t="shared" si="20"/>
        <v>1746.48</v>
      </c>
      <c r="AF82" s="74">
        <f t="shared" si="20"/>
        <v>1648.48</v>
      </c>
      <c r="AG82" s="79">
        <f t="shared" si="20"/>
        <v>4338.08</v>
      </c>
      <c r="AH82" s="56">
        <f t="shared" si="16"/>
        <v>2592.3999999999996</v>
      </c>
      <c r="AI82" s="57">
        <f t="shared" si="17"/>
        <v>1506.28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50.015000000000001</v>
      </c>
      <c r="C83" s="96">
        <v>50.037999999999997</v>
      </c>
      <c r="D83" s="96">
        <v>50.005000000000003</v>
      </c>
      <c r="E83" s="96">
        <v>50.006999999999998</v>
      </c>
      <c r="F83" s="96">
        <v>49.975999999999999</v>
      </c>
      <c r="G83" s="96">
        <v>50.003</v>
      </c>
      <c r="H83" s="96">
        <v>50.067</v>
      </c>
      <c r="I83" s="96">
        <v>50.036999999999999</v>
      </c>
      <c r="J83" s="96">
        <v>50.055999999999997</v>
      </c>
      <c r="K83" s="96">
        <v>50.048999999999999</v>
      </c>
      <c r="L83" s="96">
        <v>50.07</v>
      </c>
      <c r="M83" s="96">
        <v>50.03</v>
      </c>
      <c r="N83" s="96">
        <v>49.99</v>
      </c>
      <c r="O83" s="96">
        <v>50.05</v>
      </c>
      <c r="P83" s="96">
        <v>50.06</v>
      </c>
      <c r="Q83" s="96">
        <v>50.03</v>
      </c>
      <c r="R83" s="96">
        <v>50.140999999999998</v>
      </c>
      <c r="S83" s="96">
        <v>49.948999999999998</v>
      </c>
      <c r="T83" s="96">
        <v>49.832999999999998</v>
      </c>
      <c r="U83" s="96">
        <v>49.875</v>
      </c>
      <c r="V83" s="96">
        <v>49.890999999999998</v>
      </c>
      <c r="W83" s="96">
        <v>49.88</v>
      </c>
      <c r="X83" s="96">
        <v>50.012</v>
      </c>
      <c r="Y83" s="96">
        <v>50.033000000000001</v>
      </c>
      <c r="Z83" s="96">
        <v>50.061</v>
      </c>
      <c r="AA83" s="96">
        <v>50.06</v>
      </c>
      <c r="AB83" s="96">
        <v>50.051000000000002</v>
      </c>
      <c r="AC83" s="96">
        <v>50.011000000000003</v>
      </c>
      <c r="AD83" s="96">
        <v>50.000999999999998</v>
      </c>
      <c r="AE83" s="96">
        <v>50.000999999999998</v>
      </c>
      <c r="AF83" s="97">
        <v>49.97</v>
      </c>
      <c r="AG83" s="98"/>
      <c r="AH83" s="56">
        <f t="shared" si="16"/>
        <v>50.140999999999998</v>
      </c>
      <c r="AI83" s="57">
        <f t="shared" si="17"/>
        <v>49.832999999999998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131.5</v>
      </c>
      <c r="C84" s="52">
        <v>131.6</v>
      </c>
      <c r="D84" s="52">
        <v>131.19999999999999</v>
      </c>
      <c r="E84" s="52">
        <v>131.19999999999999</v>
      </c>
      <c r="F84" s="52">
        <v>130.80000000000001</v>
      </c>
      <c r="G84" s="52">
        <v>130.4</v>
      </c>
      <c r="H84" s="52">
        <v>129.69999999999999</v>
      </c>
      <c r="I84" s="52">
        <v>129</v>
      </c>
      <c r="J84" s="52">
        <v>127.6</v>
      </c>
      <c r="K84" s="52">
        <v>128.1</v>
      </c>
      <c r="L84" s="52">
        <v>128.4</v>
      </c>
      <c r="M84" s="52">
        <v>127.1</v>
      </c>
      <c r="N84" s="52">
        <v>127.2</v>
      </c>
      <c r="O84" s="52">
        <v>127.5</v>
      </c>
      <c r="P84" s="52">
        <v>128</v>
      </c>
      <c r="Q84" s="52">
        <v>128.1</v>
      </c>
      <c r="R84" s="52">
        <v>127.6</v>
      </c>
      <c r="S84" s="52">
        <v>128.1</v>
      </c>
      <c r="T84" s="52">
        <v>127.9</v>
      </c>
      <c r="U84" s="100">
        <v>128.19999999999999</v>
      </c>
      <c r="V84" s="100">
        <v>128.19999999999999</v>
      </c>
      <c r="W84" s="100">
        <v>128</v>
      </c>
      <c r="X84" s="100">
        <v>125.6</v>
      </c>
      <c r="Y84" s="100">
        <v>126.9</v>
      </c>
      <c r="Z84" s="100">
        <v>127.9</v>
      </c>
      <c r="AA84" s="52">
        <v>128.9</v>
      </c>
      <c r="AB84" s="52">
        <v>128.9</v>
      </c>
      <c r="AC84" s="52">
        <v>128.80000000000001</v>
      </c>
      <c r="AD84" s="52">
        <v>128.19999999999999</v>
      </c>
      <c r="AE84" s="52">
        <v>128.19999999999999</v>
      </c>
      <c r="AF84" s="101">
        <v>129.1</v>
      </c>
      <c r="AG84" s="102"/>
      <c r="AH84" s="56">
        <f t="shared" si="16"/>
        <v>131.6</v>
      </c>
      <c r="AI84" s="57">
        <f t="shared" si="17"/>
        <v>125.6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133.6</v>
      </c>
      <c r="C85" s="52">
        <v>133.69999999999999</v>
      </c>
      <c r="D85" s="52">
        <v>133.30000000000001</v>
      </c>
      <c r="E85" s="52">
        <v>133.1</v>
      </c>
      <c r="F85" s="52">
        <v>132.80000000000001</v>
      </c>
      <c r="G85" s="52">
        <v>132.4</v>
      </c>
      <c r="H85" s="52">
        <v>131.6</v>
      </c>
      <c r="I85" s="52">
        <v>130.69999999999999</v>
      </c>
      <c r="J85" s="52">
        <v>129</v>
      </c>
      <c r="K85" s="52">
        <v>129.9</v>
      </c>
      <c r="L85" s="52">
        <v>130.19999999999999</v>
      </c>
      <c r="M85" s="52">
        <v>129.5</v>
      </c>
      <c r="N85" s="52">
        <v>129.4</v>
      </c>
      <c r="O85" s="52">
        <v>129.69999999999999</v>
      </c>
      <c r="P85" s="52">
        <v>130.19999999999999</v>
      </c>
      <c r="Q85" s="52">
        <v>130.6</v>
      </c>
      <c r="R85" s="52">
        <v>130.4</v>
      </c>
      <c r="S85" s="52">
        <v>130.6</v>
      </c>
      <c r="T85" s="52">
        <v>130.5</v>
      </c>
      <c r="U85" s="100">
        <v>130.9</v>
      </c>
      <c r="V85" s="100">
        <v>130.9</v>
      </c>
      <c r="W85" s="100">
        <v>130</v>
      </c>
      <c r="X85" s="100">
        <v>127.8</v>
      </c>
      <c r="Y85" s="100">
        <v>129.19999999999999</v>
      </c>
      <c r="Z85" s="100">
        <v>129.80000000000001</v>
      </c>
      <c r="AA85" s="52">
        <v>130.69999999999999</v>
      </c>
      <c r="AB85" s="52">
        <v>130.69999999999999</v>
      </c>
      <c r="AC85" s="52">
        <v>131.1</v>
      </c>
      <c r="AD85" s="52">
        <v>130.80000000000001</v>
      </c>
      <c r="AE85" s="52">
        <v>130.80000000000001</v>
      </c>
      <c r="AF85" s="101">
        <v>131.80000000000001</v>
      </c>
      <c r="AG85" s="102"/>
      <c r="AH85" s="56">
        <f t="shared" si="16"/>
        <v>133.69999999999999</v>
      </c>
      <c r="AI85" s="57">
        <f t="shared" si="17"/>
        <v>127.8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130.9</v>
      </c>
      <c r="C86" s="52">
        <v>129.5</v>
      </c>
      <c r="D86" s="52">
        <v>129.5</v>
      </c>
      <c r="E86" s="52">
        <v>129.5</v>
      </c>
      <c r="F86" s="52">
        <v>128.80000000000001</v>
      </c>
      <c r="G86" s="52">
        <v>1287</v>
      </c>
      <c r="H86" s="52">
        <v>1287</v>
      </c>
      <c r="I86" s="52">
        <v>128.19999999999999</v>
      </c>
      <c r="J86" s="52">
        <v>128.69999999999999</v>
      </c>
      <c r="K86" s="52">
        <v>128.69999999999999</v>
      </c>
      <c r="L86" s="52">
        <v>133.5</v>
      </c>
      <c r="M86" s="52">
        <v>128.9</v>
      </c>
      <c r="N86" s="52">
        <v>128.1</v>
      </c>
      <c r="O86" s="52">
        <v>128.19999999999999</v>
      </c>
      <c r="P86" s="52">
        <v>129.30000000000001</v>
      </c>
      <c r="Q86" s="52">
        <v>129.19999999999999</v>
      </c>
      <c r="R86" s="52">
        <v>130.4</v>
      </c>
      <c r="S86" s="52">
        <v>128.9</v>
      </c>
      <c r="T86" s="52">
        <v>128.80000000000001</v>
      </c>
      <c r="U86" s="52">
        <v>128.19999999999999</v>
      </c>
      <c r="V86" s="52">
        <v>128.19999999999999</v>
      </c>
      <c r="W86" s="100">
        <v>128.5</v>
      </c>
      <c r="X86" s="100">
        <v>130.1</v>
      </c>
      <c r="Y86" s="100">
        <v>129.4</v>
      </c>
      <c r="Z86" s="100">
        <v>130.69999999999999</v>
      </c>
      <c r="AA86" s="52">
        <v>131.69999999999999</v>
      </c>
      <c r="AB86" s="52">
        <v>131.69999999999999</v>
      </c>
      <c r="AC86" s="52">
        <v>130.5</v>
      </c>
      <c r="AD86" s="52">
        <v>130.5</v>
      </c>
      <c r="AE86" s="52">
        <v>130.5</v>
      </c>
      <c r="AF86" s="101">
        <v>129.1</v>
      </c>
      <c r="AG86" s="102"/>
      <c r="AH86" s="56">
        <f t="shared" si="16"/>
        <v>1287</v>
      </c>
      <c r="AI86" s="57">
        <f t="shared" si="17"/>
        <v>128.1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135.6</v>
      </c>
      <c r="C87" s="52">
        <v>132.9</v>
      </c>
      <c r="D87" s="52">
        <v>132.9</v>
      </c>
      <c r="E87" s="52">
        <v>132.9</v>
      </c>
      <c r="F87" s="52">
        <v>132</v>
      </c>
      <c r="G87" s="52">
        <v>131.9</v>
      </c>
      <c r="H87" s="52">
        <v>132.19999999999999</v>
      </c>
      <c r="I87" s="52">
        <v>131.69999999999999</v>
      </c>
      <c r="J87" s="52">
        <v>131.80000000000001</v>
      </c>
      <c r="K87" s="52">
        <v>131.80000000000001</v>
      </c>
      <c r="L87" s="52">
        <v>135</v>
      </c>
      <c r="M87" s="52">
        <v>131.69999999999999</v>
      </c>
      <c r="N87" s="52">
        <v>130.9</v>
      </c>
      <c r="O87" s="52">
        <v>131.19999999999999</v>
      </c>
      <c r="P87" s="52">
        <v>132.30000000000001</v>
      </c>
      <c r="Q87" s="52">
        <v>132.30000000000001</v>
      </c>
      <c r="R87" s="52">
        <v>130.80000000000001</v>
      </c>
      <c r="S87" s="52">
        <v>132.19999999999999</v>
      </c>
      <c r="T87" s="52">
        <v>131.9</v>
      </c>
      <c r="U87" s="52">
        <v>131.1</v>
      </c>
      <c r="V87" s="52">
        <v>131.1</v>
      </c>
      <c r="W87" s="100">
        <v>131</v>
      </c>
      <c r="X87" s="100">
        <v>134.1</v>
      </c>
      <c r="Y87" s="100">
        <v>134</v>
      </c>
      <c r="Z87" s="100">
        <v>135.19999999999999</v>
      </c>
      <c r="AA87" s="52">
        <v>136.69999999999999</v>
      </c>
      <c r="AB87" s="52">
        <v>136.69999999999999</v>
      </c>
      <c r="AC87" s="52">
        <v>134.80000000000001</v>
      </c>
      <c r="AD87" s="52">
        <v>133</v>
      </c>
      <c r="AE87" s="52">
        <v>133</v>
      </c>
      <c r="AF87" s="101">
        <v>132.30000000000001</v>
      </c>
      <c r="AG87" s="102"/>
      <c r="AH87" s="56">
        <f t="shared" si="16"/>
        <v>136.69999999999999</v>
      </c>
      <c r="AI87" s="57">
        <f t="shared" si="17"/>
        <v>130.80000000000001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134.6</v>
      </c>
      <c r="C88" s="104">
        <v>135.9</v>
      </c>
      <c r="D88" s="104">
        <v>135.19999999999999</v>
      </c>
      <c r="E88" s="104">
        <v>135.19999999999999</v>
      </c>
      <c r="F88" s="104">
        <v>134.19999999999999</v>
      </c>
      <c r="G88" s="104">
        <v>134.1</v>
      </c>
      <c r="H88" s="104">
        <v>133.5</v>
      </c>
      <c r="I88" s="104">
        <v>131.9</v>
      </c>
      <c r="J88" s="104">
        <v>132.1</v>
      </c>
      <c r="K88" s="104">
        <v>132.5</v>
      </c>
      <c r="L88" s="104">
        <v>134.5</v>
      </c>
      <c r="M88" s="104">
        <v>134.19999999999999</v>
      </c>
      <c r="N88" s="104">
        <v>133.69999999999999</v>
      </c>
      <c r="O88" s="104">
        <v>133.5</v>
      </c>
      <c r="P88" s="104">
        <v>133.1</v>
      </c>
      <c r="Q88" s="104">
        <v>134.4</v>
      </c>
      <c r="R88" s="104">
        <v>134.4</v>
      </c>
      <c r="S88" s="104">
        <v>133.4</v>
      </c>
      <c r="T88" s="104">
        <v>133.69999999999999</v>
      </c>
      <c r="U88" s="104">
        <v>135.5</v>
      </c>
      <c r="V88" s="104">
        <v>135.5</v>
      </c>
      <c r="W88" s="100">
        <v>133.19999999999999</v>
      </c>
      <c r="X88" s="100">
        <v>135.30000000000001</v>
      </c>
      <c r="Y88" s="100">
        <v>135.4</v>
      </c>
      <c r="Z88" s="100">
        <v>133.80000000000001</v>
      </c>
      <c r="AA88" s="104">
        <v>135.69999999999999</v>
      </c>
      <c r="AB88" s="104">
        <v>135.69999999999999</v>
      </c>
      <c r="AC88" s="104">
        <v>131.80000000000001</v>
      </c>
      <c r="AD88" s="104">
        <v>132.4</v>
      </c>
      <c r="AE88" s="104">
        <v>132.4</v>
      </c>
      <c r="AF88" s="105">
        <v>133.6</v>
      </c>
      <c r="AG88" s="106"/>
      <c r="AH88" s="56">
        <f t="shared" si="16"/>
        <v>135.9</v>
      </c>
      <c r="AI88" s="57">
        <f t="shared" si="17"/>
        <v>131.80000000000001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135.4</v>
      </c>
      <c r="C89" s="52">
        <v>136.5</v>
      </c>
      <c r="D89" s="52">
        <v>136</v>
      </c>
      <c r="E89" s="52">
        <v>136.1</v>
      </c>
      <c r="F89" s="52">
        <v>135.19999999999999</v>
      </c>
      <c r="G89" s="52">
        <v>134.6</v>
      </c>
      <c r="H89" s="52">
        <v>133.30000000000001</v>
      </c>
      <c r="I89" s="52">
        <v>131.6</v>
      </c>
      <c r="J89" s="52">
        <v>131.69999999999999</v>
      </c>
      <c r="K89" s="52">
        <v>133.4</v>
      </c>
      <c r="L89" s="52">
        <v>134.9</v>
      </c>
      <c r="M89" s="52">
        <v>134.69999999999999</v>
      </c>
      <c r="N89" s="52">
        <v>134.19999999999999</v>
      </c>
      <c r="O89" s="52">
        <v>134.4</v>
      </c>
      <c r="P89" s="52">
        <v>134.6</v>
      </c>
      <c r="Q89" s="52">
        <v>134.9</v>
      </c>
      <c r="R89" s="52">
        <v>134.69999999999999</v>
      </c>
      <c r="S89" s="52">
        <v>133.1</v>
      </c>
      <c r="T89" s="52">
        <v>132.69999999999999</v>
      </c>
      <c r="U89" s="52">
        <v>133.80000000000001</v>
      </c>
      <c r="V89" s="52">
        <v>133.80000000000001</v>
      </c>
      <c r="W89" s="100">
        <v>131.19999999999999</v>
      </c>
      <c r="X89" s="100">
        <v>132.9</v>
      </c>
      <c r="Y89" s="100">
        <v>133</v>
      </c>
      <c r="Z89" s="100">
        <v>134.4</v>
      </c>
      <c r="AA89" s="52">
        <v>133.4</v>
      </c>
      <c r="AB89" s="52">
        <v>133.4</v>
      </c>
      <c r="AC89" s="52">
        <v>130.80000000000001</v>
      </c>
      <c r="AD89" s="52">
        <v>133.1</v>
      </c>
      <c r="AE89" s="52">
        <v>133.1</v>
      </c>
      <c r="AF89" s="101">
        <v>135.5</v>
      </c>
      <c r="AG89" s="102"/>
      <c r="AH89" s="56">
        <f t="shared" si="16"/>
        <v>136.5</v>
      </c>
      <c r="AI89" s="57">
        <f t="shared" si="17"/>
        <v>130.80000000000001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68</v>
      </c>
      <c r="C90" s="107">
        <v>68.099999999999994</v>
      </c>
      <c r="D90" s="107">
        <v>67.900000000000006</v>
      </c>
      <c r="E90" s="107">
        <v>67.900000000000006</v>
      </c>
      <c r="F90" s="107">
        <v>67.5</v>
      </c>
      <c r="G90" s="107">
        <v>67.400000000000006</v>
      </c>
      <c r="H90" s="107">
        <v>67</v>
      </c>
      <c r="I90" s="107">
        <v>66.400000000000006</v>
      </c>
      <c r="J90" s="107">
        <v>65.7</v>
      </c>
      <c r="K90" s="107">
        <v>66.099999999999994</v>
      </c>
      <c r="L90" s="107">
        <v>66.2</v>
      </c>
      <c r="M90" s="107">
        <v>66</v>
      </c>
      <c r="N90" s="107">
        <v>65.599999999999994</v>
      </c>
      <c r="O90" s="107">
        <v>65.5</v>
      </c>
      <c r="P90" s="107">
        <v>66.2</v>
      </c>
      <c r="Q90" s="107">
        <v>66.5</v>
      </c>
      <c r="R90" s="107">
        <v>66.3</v>
      </c>
      <c r="S90" s="107">
        <v>66.400000000000006</v>
      </c>
      <c r="T90" s="107">
        <v>66.5</v>
      </c>
      <c r="U90" s="107">
        <v>66.599999999999994</v>
      </c>
      <c r="V90" s="107">
        <v>66.599999999999994</v>
      </c>
      <c r="W90" s="107">
        <v>66</v>
      </c>
      <c r="X90" s="107">
        <v>64.900000000000006</v>
      </c>
      <c r="Y90" s="107">
        <v>65.7</v>
      </c>
      <c r="Z90" s="107">
        <v>66.2</v>
      </c>
      <c r="AA90" s="107">
        <v>66</v>
      </c>
      <c r="AB90" s="107">
        <v>66.5</v>
      </c>
      <c r="AC90" s="107">
        <v>66.900000000000006</v>
      </c>
      <c r="AD90" s="107">
        <v>66.599999999999994</v>
      </c>
      <c r="AE90" s="107">
        <v>66.599999999999994</v>
      </c>
      <c r="AF90" s="108">
        <v>67.099999999999994</v>
      </c>
      <c r="AG90" s="109"/>
      <c r="AH90" s="56">
        <f t="shared" si="16"/>
        <v>68.099999999999994</v>
      </c>
      <c r="AI90" s="57">
        <f t="shared" si="17"/>
        <v>64.900000000000006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159.33999999999995</v>
      </c>
      <c r="C92" s="114">
        <f t="shared" ref="C92:AF92" si="21">SUM(C15,C18,C21:C22,C41,C43:C44,C46,C48,C93:C96,C101,C107,C113,C122,C124,C136,C143,C146:C147,C154,C156,C158,C162:C164,C166:C168,C173,C179:C180,C182:C184,C192,C197)</f>
        <v>150.93999999999997</v>
      </c>
      <c r="D92" s="114">
        <f t="shared" si="21"/>
        <v>162.24</v>
      </c>
      <c r="E92" s="114">
        <f t="shared" si="21"/>
        <v>159.74</v>
      </c>
      <c r="F92" s="115">
        <f t="shared" si="21"/>
        <v>173.43999999999997</v>
      </c>
      <c r="G92" s="115">
        <f t="shared" si="21"/>
        <v>181.43999999999997</v>
      </c>
      <c r="H92" s="115">
        <f t="shared" si="21"/>
        <v>196.73999999999995</v>
      </c>
      <c r="I92" s="115">
        <f t="shared" si="21"/>
        <v>206.23999999999995</v>
      </c>
      <c r="J92" s="115">
        <f t="shared" si="21"/>
        <v>219.43999999999997</v>
      </c>
      <c r="K92" s="115">
        <f t="shared" si="21"/>
        <v>225.53999999999996</v>
      </c>
      <c r="L92" s="115">
        <f t="shared" si="21"/>
        <v>193.44</v>
      </c>
      <c r="M92" s="115">
        <f t="shared" si="21"/>
        <v>223.93999999999997</v>
      </c>
      <c r="N92" s="115">
        <f t="shared" si="21"/>
        <v>225.43999999999994</v>
      </c>
      <c r="O92" s="115">
        <f t="shared" si="21"/>
        <v>198.03999999999994</v>
      </c>
      <c r="P92" s="115">
        <f t="shared" si="21"/>
        <v>184.94</v>
      </c>
      <c r="Q92" s="115">
        <f t="shared" si="21"/>
        <v>171.54</v>
      </c>
      <c r="R92" s="115">
        <f t="shared" si="21"/>
        <v>172.03999999999996</v>
      </c>
      <c r="S92" s="115">
        <f t="shared" si="21"/>
        <v>171.53999999999996</v>
      </c>
      <c r="T92" s="115">
        <f t="shared" si="21"/>
        <v>185.23999999999998</v>
      </c>
      <c r="U92" s="115">
        <f t="shared" si="21"/>
        <v>202.83999999999997</v>
      </c>
      <c r="V92" s="115">
        <f t="shared" si="21"/>
        <v>281.64</v>
      </c>
      <c r="W92" s="115">
        <f t="shared" si="21"/>
        <v>310.84000000000003</v>
      </c>
      <c r="X92" s="115">
        <f t="shared" si="21"/>
        <v>317.04000000000002</v>
      </c>
      <c r="Y92" s="115">
        <f t="shared" si="21"/>
        <v>308.84000000000003</v>
      </c>
      <c r="Z92" s="115">
        <f t="shared" si="21"/>
        <v>295.83999999999997</v>
      </c>
      <c r="AA92" s="115">
        <f t="shared" si="21"/>
        <v>290.33999999999997</v>
      </c>
      <c r="AB92" s="115">
        <f t="shared" si="21"/>
        <v>272.14</v>
      </c>
      <c r="AC92" s="115">
        <f t="shared" si="21"/>
        <v>254.93999999999997</v>
      </c>
      <c r="AD92" s="115">
        <f t="shared" si="21"/>
        <v>213.43999999999994</v>
      </c>
      <c r="AE92" s="115">
        <f t="shared" si="21"/>
        <v>204.53999999999996</v>
      </c>
      <c r="AF92" s="115">
        <f t="shared" si="21"/>
        <v>157.23999999999998</v>
      </c>
      <c r="AG92" s="116"/>
      <c r="AH92" s="56">
        <f>MAX(B92:AF92)</f>
        <v>317.04000000000002</v>
      </c>
      <c r="AI92" s="57">
        <f>MIN(B92:AF92)</f>
        <v>150.93999999999997</v>
      </c>
    </row>
    <row r="93" spans="1:88" x14ac:dyDescent="0.25">
      <c r="A93" s="117" t="s">
        <v>96</v>
      </c>
      <c r="B93" s="60">
        <v>40.299999999999997</v>
      </c>
      <c r="C93" s="60">
        <v>44.4</v>
      </c>
      <c r="D93" s="60">
        <v>38.700000000000003</v>
      </c>
      <c r="E93" s="60">
        <v>38.700000000000003</v>
      </c>
      <c r="F93" s="118">
        <v>36.6</v>
      </c>
      <c r="G93" s="118">
        <v>38.1</v>
      </c>
      <c r="H93" s="118">
        <v>47.6</v>
      </c>
      <c r="I93" s="118">
        <v>42.2</v>
      </c>
      <c r="J93" s="118">
        <v>40.5</v>
      </c>
      <c r="K93" s="118">
        <v>43.7</v>
      </c>
      <c r="L93" s="118" t="s">
        <v>264</v>
      </c>
      <c r="M93" s="118">
        <v>46.6</v>
      </c>
      <c r="N93" s="118">
        <v>45.8</v>
      </c>
      <c r="O93" s="118">
        <v>31.6</v>
      </c>
      <c r="P93" s="118">
        <v>19.8</v>
      </c>
      <c r="Q93" s="118">
        <v>27</v>
      </c>
      <c r="R93" s="118">
        <v>31.5</v>
      </c>
      <c r="S93" s="118">
        <v>29.7</v>
      </c>
      <c r="T93" s="54">
        <v>27.5</v>
      </c>
      <c r="U93" s="54">
        <v>37.9</v>
      </c>
      <c r="V93" s="118">
        <v>52.3</v>
      </c>
      <c r="W93" s="118">
        <v>47.4</v>
      </c>
      <c r="X93" s="118">
        <v>56.1</v>
      </c>
      <c r="Y93" s="118">
        <v>65</v>
      </c>
      <c r="Z93" s="118">
        <v>50.3</v>
      </c>
      <c r="AA93" s="54">
        <v>61.6</v>
      </c>
      <c r="AB93" s="54">
        <v>64.599999999999994</v>
      </c>
      <c r="AC93" s="54">
        <v>58.1</v>
      </c>
      <c r="AD93" s="54">
        <v>50.3</v>
      </c>
      <c r="AE93" s="54">
        <v>50.3</v>
      </c>
      <c r="AF93" s="119">
        <v>35</v>
      </c>
      <c r="AG93" s="120">
        <v>75</v>
      </c>
      <c r="AH93" s="56">
        <f t="shared" ref="AH93:AH98" si="22">IF(ABS(MAX(B93:AF93))&gt;ABS(MIN(B93:AF93)),MAX(B93:AF93),MIN(B93:AF93))</f>
        <v>65</v>
      </c>
      <c r="AI93" s="121">
        <f t="shared" ref="AI93:AI98" si="23">INDEX($B$9:$AF$9,1,MATCH(AH93,B93:AF93,0))</f>
        <v>0.79166666666666663</v>
      </c>
    </row>
    <row r="94" spans="1:88" x14ac:dyDescent="0.25">
      <c r="A94" s="122" t="s">
        <v>97</v>
      </c>
      <c r="B94" s="62">
        <v>-44</v>
      </c>
      <c r="C94" s="62">
        <v>-45.8</v>
      </c>
      <c r="D94" s="62">
        <v>-51</v>
      </c>
      <c r="E94" s="62">
        <v>-55</v>
      </c>
      <c r="F94" s="62">
        <v>-44</v>
      </c>
      <c r="G94" s="62">
        <v>-45</v>
      </c>
      <c r="H94" s="62">
        <v>-42</v>
      </c>
      <c r="I94" s="62">
        <v>-30</v>
      </c>
      <c r="J94" s="62">
        <v>-24</v>
      </c>
      <c r="K94" s="62">
        <v>-25.7</v>
      </c>
      <c r="L94" s="62">
        <f>-10-12.3</f>
        <v>-22.3</v>
      </c>
      <c r="M94" s="62">
        <f>-11.2-14.1</f>
        <v>-25.299999999999997</v>
      </c>
      <c r="N94" s="62">
        <f>-11.7-13.6</f>
        <v>-25.299999999999997</v>
      </c>
      <c r="O94" s="62">
        <f>-10.2-12.8</f>
        <v>-23</v>
      </c>
      <c r="P94" s="62">
        <f>-13.8-16.9</f>
        <v>-30.7</v>
      </c>
      <c r="Q94" s="62">
        <f>-14-16.9</f>
        <v>-30.9</v>
      </c>
      <c r="R94" s="62">
        <v>-33</v>
      </c>
      <c r="S94" s="62">
        <v>-30</v>
      </c>
      <c r="T94" s="62">
        <v>-37.4</v>
      </c>
      <c r="U94" s="62">
        <v>-42</v>
      </c>
      <c r="V94" s="62">
        <v>-39</v>
      </c>
      <c r="W94" s="62">
        <v>-29</v>
      </c>
      <c r="X94" s="62">
        <v>-28.4</v>
      </c>
      <c r="Y94" s="62">
        <v>-33</v>
      </c>
      <c r="Z94" s="62">
        <v>-30</v>
      </c>
      <c r="AA94" s="52">
        <v>-33</v>
      </c>
      <c r="AB94" s="52">
        <v>-40</v>
      </c>
      <c r="AC94" s="52">
        <v>-38</v>
      </c>
      <c r="AD94" s="52">
        <v>-36</v>
      </c>
      <c r="AE94" s="52">
        <v>-36</v>
      </c>
      <c r="AF94" s="123">
        <v>-48</v>
      </c>
      <c r="AG94" s="120">
        <v>240</v>
      </c>
      <c r="AH94" s="56">
        <f t="shared" si="22"/>
        <v>-55</v>
      </c>
      <c r="AI94" s="121">
        <f t="shared" si="23"/>
        <v>0.16666666666666699</v>
      </c>
    </row>
    <row r="95" spans="1:88" x14ac:dyDescent="0.25">
      <c r="A95" s="122" t="s">
        <v>98</v>
      </c>
      <c r="B95" s="62">
        <v>12.7</v>
      </c>
      <c r="C95" s="62">
        <v>10.6</v>
      </c>
      <c r="D95" s="62">
        <v>6.8</v>
      </c>
      <c r="E95" s="62">
        <v>8.3000000000000007</v>
      </c>
      <c r="F95" s="62">
        <v>13.1</v>
      </c>
      <c r="G95" s="62">
        <v>13.8</v>
      </c>
      <c r="H95" s="62">
        <v>15.1</v>
      </c>
      <c r="I95" s="62">
        <v>18</v>
      </c>
      <c r="J95" s="62">
        <v>15.6</v>
      </c>
      <c r="K95" s="62">
        <v>15.3</v>
      </c>
      <c r="L95" s="62">
        <v>16.600000000000001</v>
      </c>
      <c r="M95" s="62">
        <v>12.3</v>
      </c>
      <c r="N95" s="62">
        <v>5.5</v>
      </c>
      <c r="O95" s="62">
        <v>9.6</v>
      </c>
      <c r="P95" s="62">
        <v>5.6</v>
      </c>
      <c r="Q95" s="62">
        <v>4.4000000000000004</v>
      </c>
      <c r="R95" s="62">
        <v>2.1</v>
      </c>
      <c r="S95" s="62">
        <v>6</v>
      </c>
      <c r="T95" s="62">
        <v>8.4</v>
      </c>
      <c r="U95" s="62">
        <v>7.8</v>
      </c>
      <c r="V95" s="62">
        <v>13.5</v>
      </c>
      <c r="W95" s="62">
        <v>15.6</v>
      </c>
      <c r="X95" s="62">
        <v>12.8</v>
      </c>
      <c r="Y95" s="62">
        <v>12.6</v>
      </c>
      <c r="Z95" s="62">
        <v>14.5</v>
      </c>
      <c r="AA95" s="52">
        <v>15.6</v>
      </c>
      <c r="AB95" s="52">
        <v>13.4</v>
      </c>
      <c r="AC95" s="52">
        <v>14.4</v>
      </c>
      <c r="AD95" s="52">
        <v>5.7</v>
      </c>
      <c r="AE95" s="52">
        <v>5.7</v>
      </c>
      <c r="AF95" s="123">
        <v>2</v>
      </c>
      <c r="AG95" s="120">
        <v>60</v>
      </c>
      <c r="AH95" s="56">
        <f t="shared" si="22"/>
        <v>18</v>
      </c>
      <c r="AI95" s="121">
        <f t="shared" si="23"/>
        <v>0.27083333333333331</v>
      </c>
    </row>
    <row r="96" spans="1:88" x14ac:dyDescent="0.25">
      <c r="A96" s="124" t="s">
        <v>99</v>
      </c>
      <c r="B96" s="65">
        <v>-22.1</v>
      </c>
      <c r="C96" s="65">
        <v>-26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11.3</v>
      </c>
      <c r="K96" s="65">
        <v>11.2</v>
      </c>
      <c r="L96" s="65">
        <v>16.899999999999999</v>
      </c>
      <c r="M96" s="65">
        <v>12.4</v>
      </c>
      <c r="N96" s="65">
        <v>21.5</v>
      </c>
      <c r="O96" s="65">
        <v>17.7</v>
      </c>
      <c r="P96" s="65">
        <v>17.8</v>
      </c>
      <c r="Q96" s="65">
        <v>7.8</v>
      </c>
      <c r="R96" s="65">
        <v>8.1999999999999993</v>
      </c>
      <c r="S96" s="65">
        <v>2.6</v>
      </c>
      <c r="T96" s="65">
        <v>7.4</v>
      </c>
      <c r="U96" s="65">
        <v>4</v>
      </c>
      <c r="V96" s="65">
        <v>39.1</v>
      </c>
      <c r="W96" s="65">
        <v>55.4</v>
      </c>
      <c r="X96" s="65">
        <v>54.9</v>
      </c>
      <c r="Y96" s="65">
        <v>42.6</v>
      </c>
      <c r="Z96" s="65">
        <v>48.9</v>
      </c>
      <c r="AA96" s="125">
        <v>34</v>
      </c>
      <c r="AB96" s="125">
        <v>22</v>
      </c>
      <c r="AC96" s="125">
        <v>8.5</v>
      </c>
      <c r="AD96" s="125">
        <v>7.3</v>
      </c>
      <c r="AE96" s="125">
        <v>7.3</v>
      </c>
      <c r="AF96" s="126">
        <v>0</v>
      </c>
      <c r="AG96" s="127">
        <v>120</v>
      </c>
      <c r="AH96" s="56">
        <f t="shared" si="22"/>
        <v>55.4</v>
      </c>
      <c r="AI96" s="121">
        <f t="shared" si="23"/>
        <v>0.75</v>
      </c>
    </row>
    <row r="97" spans="1:37" x14ac:dyDescent="0.25">
      <c r="A97" s="124" t="s">
        <v>100</v>
      </c>
      <c r="B97" s="65">
        <v>-4.8</v>
      </c>
      <c r="C97" s="65">
        <v>-8.5</v>
      </c>
      <c r="D97" s="65">
        <v>-17.8</v>
      </c>
      <c r="E97" s="65">
        <v>-15.8</v>
      </c>
      <c r="F97" s="65">
        <v>-4.0999999999999996</v>
      </c>
      <c r="G97" s="65">
        <v>-4.3</v>
      </c>
      <c r="H97" s="65">
        <v>-3.4</v>
      </c>
      <c r="I97" s="65">
        <v>5.9</v>
      </c>
      <c r="J97" s="65">
        <v>17.899999999999999</v>
      </c>
      <c r="K97" s="65">
        <v>17.7</v>
      </c>
      <c r="L97" s="65">
        <v>23</v>
      </c>
      <c r="M97" s="65">
        <v>20.399999999999999</v>
      </c>
      <c r="N97" s="65">
        <v>26</v>
      </c>
      <c r="O97" s="65">
        <v>26</v>
      </c>
      <c r="P97" s="65">
        <v>28.5</v>
      </c>
      <c r="Q97" s="65">
        <v>23.9</v>
      </c>
      <c r="R97" s="65">
        <v>24.5</v>
      </c>
      <c r="S97" s="65">
        <v>19.100000000000001</v>
      </c>
      <c r="T97" s="65">
        <v>23.9</v>
      </c>
      <c r="U97" s="65">
        <v>18.399999999999999</v>
      </c>
      <c r="V97" s="65">
        <v>35.9</v>
      </c>
      <c r="W97" s="65">
        <v>46.9</v>
      </c>
      <c r="X97" s="65">
        <v>45.2</v>
      </c>
      <c r="Y97" s="65">
        <v>32.700000000000003</v>
      </c>
      <c r="Z97" s="65">
        <v>42.4</v>
      </c>
      <c r="AA97" s="125">
        <v>31.3</v>
      </c>
      <c r="AB97" s="125">
        <v>24.8</v>
      </c>
      <c r="AC97" s="125">
        <v>21.3</v>
      </c>
      <c r="AD97" s="125">
        <v>24</v>
      </c>
      <c r="AE97" s="125">
        <v>24</v>
      </c>
      <c r="AF97" s="126">
        <v>22</v>
      </c>
      <c r="AG97" s="127"/>
      <c r="AH97" s="56">
        <f t="shared" si="22"/>
        <v>46.9</v>
      </c>
      <c r="AI97" s="121">
        <f t="shared" si="23"/>
        <v>0.75</v>
      </c>
    </row>
    <row r="98" spans="1:37" ht="15.75" thickBot="1" x14ac:dyDescent="0.3">
      <c r="A98" s="124" t="s">
        <v>101</v>
      </c>
      <c r="B98" s="65">
        <v>14.2</v>
      </c>
      <c r="C98" s="65">
        <v>7.7</v>
      </c>
      <c r="D98" s="65">
        <v>13.2</v>
      </c>
      <c r="E98" s="65">
        <v>13.6</v>
      </c>
      <c r="F98" s="65">
        <v>18.5</v>
      </c>
      <c r="G98" s="65">
        <v>20.7</v>
      </c>
      <c r="H98" s="65">
        <v>17.8</v>
      </c>
      <c r="I98" s="65">
        <v>24.7</v>
      </c>
      <c r="J98" s="65">
        <v>25.3</v>
      </c>
      <c r="K98" s="65">
        <v>25.7</v>
      </c>
      <c r="L98" s="65">
        <v>26.8</v>
      </c>
      <c r="M98" s="65">
        <v>16.2</v>
      </c>
      <c r="N98" s="65">
        <v>20.2</v>
      </c>
      <c r="O98" s="65">
        <v>22.9</v>
      </c>
      <c r="P98" s="65">
        <v>43</v>
      </c>
      <c r="Q98" s="65">
        <v>30.8</v>
      </c>
      <c r="R98" s="65">
        <v>32.700000000000003</v>
      </c>
      <c r="S98" s="65">
        <v>31.4</v>
      </c>
      <c r="T98" s="65">
        <v>32.700000000000003</v>
      </c>
      <c r="U98" s="65">
        <v>29.7</v>
      </c>
      <c r="V98" s="65">
        <v>38</v>
      </c>
      <c r="W98" s="65">
        <v>42.8</v>
      </c>
      <c r="X98" s="65">
        <v>40.4</v>
      </c>
      <c r="Y98" s="65">
        <v>33.200000000000003</v>
      </c>
      <c r="Z98" s="65">
        <v>40.4</v>
      </c>
      <c r="AA98" s="125">
        <v>27.2</v>
      </c>
      <c r="AB98" s="125">
        <v>30.8</v>
      </c>
      <c r="AC98" s="125">
        <v>31</v>
      </c>
      <c r="AD98" s="125">
        <v>20.100000000000001</v>
      </c>
      <c r="AE98" s="125">
        <v>20.100000000000001</v>
      </c>
      <c r="AF98" s="126">
        <v>25.7</v>
      </c>
      <c r="AG98" s="128"/>
      <c r="AH98" s="56">
        <f t="shared" si="22"/>
        <v>43</v>
      </c>
      <c r="AI98" s="121">
        <f t="shared" si="23"/>
        <v>0.5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846.24</v>
      </c>
      <c r="C207" s="164">
        <f>INDEX(F9:M9,1,MATCH(MAX(F74:M74),F74:M74,0))</f>
        <v>0.375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19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2078/07/19)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2078/07/19)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737.24</v>
      </c>
      <c r="U212" s="173">
        <f t="shared" si="52"/>
        <v>711.7399999999999</v>
      </c>
      <c r="V212" s="173">
        <f t="shared" si="52"/>
        <v>713.74</v>
      </c>
      <c r="W212" s="173">
        <f t="shared" si="52"/>
        <v>711.24</v>
      </c>
      <c r="X212" s="173">
        <f t="shared" si="52"/>
        <v>748.54</v>
      </c>
      <c r="Y212" s="173">
        <f t="shared" si="52"/>
        <v>767.54</v>
      </c>
      <c r="Z212" s="173">
        <f t="shared" si="52"/>
        <v>787.33999999999992</v>
      </c>
      <c r="AA212" s="173">
        <f t="shared" si="52"/>
        <v>779.24</v>
      </c>
      <c r="AB212" s="173">
        <f t="shared" si="52"/>
        <v>805.14</v>
      </c>
      <c r="AC212" s="173">
        <f t="shared" si="52"/>
        <v>814.43999999999994</v>
      </c>
      <c r="AD212" s="173">
        <f t="shared" si="52"/>
        <v>836.63999999999987</v>
      </c>
      <c r="AE212" s="173">
        <f t="shared" si="52"/>
        <v>846.24</v>
      </c>
      <c r="AF212" s="173">
        <f t="shared" si="52"/>
        <v>841.33999999999992</v>
      </c>
      <c r="AG212" s="173">
        <f t="shared" si="52"/>
        <v>744.93999999999994</v>
      </c>
      <c r="AH212" s="173">
        <f t="shared" si="52"/>
        <v>730.64</v>
      </c>
      <c r="AI212" s="173">
        <f t="shared" si="52"/>
        <v>698.14</v>
      </c>
      <c r="AJ212" s="173">
        <f t="shared" si="52"/>
        <v>700.54</v>
      </c>
      <c r="AK212" s="173">
        <f t="shared" si="52"/>
        <v>699.24</v>
      </c>
      <c r="AL212" s="173">
        <f t="shared" si="52"/>
        <v>740.04</v>
      </c>
      <c r="AM212" s="173">
        <f t="shared" si="52"/>
        <v>827.13999999999987</v>
      </c>
      <c r="AN212" s="173">
        <f t="shared" si="52"/>
        <v>1055.8399999999999</v>
      </c>
      <c r="AO212" s="173">
        <f t="shared" si="52"/>
        <v>1212.4000000000001</v>
      </c>
      <c r="AP212" s="173">
        <f t="shared" si="52"/>
        <v>1238.5999999999999</v>
      </c>
      <c r="AQ212" s="173">
        <f t="shared" si="52"/>
        <v>1184.3400000000001</v>
      </c>
      <c r="AR212" s="173">
        <f t="shared" si="52"/>
        <v>1163.74</v>
      </c>
      <c r="AS212" s="173">
        <f t="shared" si="52"/>
        <v>1122.6400000000001</v>
      </c>
      <c r="AT212" s="173">
        <f t="shared" si="52"/>
        <v>1090.44</v>
      </c>
      <c r="AU212" s="173">
        <f t="shared" si="52"/>
        <v>1015.3400000000001</v>
      </c>
      <c r="AV212" s="173">
        <f t="shared" si="52"/>
        <v>896.24</v>
      </c>
      <c r="AW212" s="173">
        <f t="shared" si="52"/>
        <v>825.24</v>
      </c>
      <c r="AX212" s="173">
        <f t="shared" si="52"/>
        <v>784.24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7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594" priority="472">
      <formula>S$9&gt;=20/24</formula>
    </cfRule>
    <cfRule type="expression" dxfId="4593" priority="473">
      <formula>AND(S$9&gt;=14/24,S$9&lt;20/24)</formula>
    </cfRule>
    <cfRule type="expression" dxfId="4592" priority="474">
      <formula>AND(S$9&gt;=8/24,S$9&lt;14/24)</formula>
    </cfRule>
    <cfRule type="expression" dxfId="4591" priority="475">
      <formula>S$9&lt;8/24</formula>
    </cfRule>
  </conditionalFormatting>
  <conditionalFormatting sqref="B8:AF10 AA80:AF80 B80:Q80 B55:AF55 B81:AF81 C192:AF198 Q36 B67:AF71 T211:AX211 B62:C66 P38:Q38 P39:P41 Q41 P44:Q47 Q12:Q14 P57:V58 U39:U41 B73:AF77 B79:AF79 P59:Q66 B56:O60 R18:V30 M11:V11 Q39:T40 Z11:AD11 W84:Z90 AB12:AD12 Y39:AD42 AA83:AF90 L52:AF54">
    <cfRule type="expression" dxfId="4590" priority="468">
      <formula>B$9&gt;=20/24</formula>
    </cfRule>
    <cfRule type="expression" dxfId="4589" priority="469">
      <formula>AND(B$9&gt;=14/24,B$9&lt;20/24)</formula>
    </cfRule>
    <cfRule type="expression" dxfId="4588" priority="470">
      <formula>AND(B$9&gt;=8/24,B$9&lt;14/24)</formula>
    </cfRule>
    <cfRule type="expression" dxfId="4587" priority="471">
      <formula>B$9&lt;8/24</formula>
    </cfRule>
  </conditionalFormatting>
  <conditionalFormatting sqref="B190:AF190">
    <cfRule type="expression" dxfId="4586" priority="464">
      <formula>B$9&gt;=20/24</formula>
    </cfRule>
    <cfRule type="expression" dxfId="4585" priority="465">
      <formula>AND(B$9&gt;=14/24,B$9&lt;20/24)</formula>
    </cfRule>
    <cfRule type="expression" dxfId="4584" priority="466">
      <formula>AND(B$9&gt;=8/24,B$9&lt;14/24)</formula>
    </cfRule>
    <cfRule type="expression" dxfId="4583" priority="467">
      <formula>B$9&lt;8/24</formula>
    </cfRule>
  </conditionalFormatting>
  <conditionalFormatting sqref="AL4:AL6">
    <cfRule type="iconSet" priority="463">
      <iconSet iconSet="3TrafficLights2" reverse="1">
        <cfvo type="percent" val="0"/>
        <cfvo type="num" val="1"/>
        <cfvo type="num" val="1"/>
      </iconSet>
    </cfRule>
  </conditionalFormatting>
  <conditionalFormatting sqref="P56:Q56">
    <cfRule type="expression" dxfId="4582" priority="459">
      <formula>P$9&gt;=20/24</formula>
    </cfRule>
    <cfRule type="expression" dxfId="4581" priority="460">
      <formula>AND(P$9&gt;=14/24,P$9&lt;20/24)</formula>
    </cfRule>
    <cfRule type="expression" dxfId="4580" priority="461">
      <formula>AND(P$9&gt;=8/24,P$9&lt;14/24)</formula>
    </cfRule>
    <cfRule type="expression" dxfId="4579" priority="462">
      <formula>P$9&lt;8/24</formula>
    </cfRule>
  </conditionalFormatting>
  <conditionalFormatting sqref="P42:Q42">
    <cfRule type="expression" dxfId="4578" priority="455">
      <formula>P$9&gt;=20/24</formula>
    </cfRule>
    <cfRule type="expression" dxfId="4577" priority="456">
      <formula>AND(P$9&gt;=14/24,P$9&lt;20/24)</formula>
    </cfRule>
    <cfRule type="expression" dxfId="4576" priority="457">
      <formula>AND(P$9&gt;=8/24,P$9&lt;14/24)</formula>
    </cfRule>
    <cfRule type="expression" dxfId="4575" priority="458">
      <formula>P$9&lt;8/24</formula>
    </cfRule>
  </conditionalFormatting>
  <conditionalFormatting sqref="R38:U38 Y38:AD38">
    <cfRule type="expression" dxfId="4574" priority="447">
      <formula>R$9&gt;=20/24</formula>
    </cfRule>
    <cfRule type="expression" dxfId="4573" priority="448">
      <formula>AND(R$9&gt;=14/24,R$9&lt;20/24)</formula>
    </cfRule>
    <cfRule type="expression" dxfId="4572" priority="449">
      <formula>AND(R$9&gt;=8/24,R$9&lt;14/24)</formula>
    </cfRule>
    <cfRule type="expression" dxfId="4571" priority="450">
      <formula>R$9&lt;8/24</formula>
    </cfRule>
  </conditionalFormatting>
  <conditionalFormatting sqref="R56:AF56">
    <cfRule type="expression" dxfId="4570" priority="443">
      <formula>R$9&gt;=20/24</formula>
    </cfRule>
    <cfRule type="expression" dxfId="4569" priority="444">
      <formula>AND(R$9&gt;=14/24,R$9&lt;20/24)</formula>
    </cfRule>
    <cfRule type="expression" dxfId="4568" priority="445">
      <formula>AND(R$9&gt;=8/24,R$9&lt;14/24)</formula>
    </cfRule>
    <cfRule type="expression" dxfId="4567" priority="446">
      <formula>R$9&lt;8/24</formula>
    </cfRule>
  </conditionalFormatting>
  <conditionalFormatting sqref="R80:Z80">
    <cfRule type="expression" dxfId="4566" priority="439">
      <formula>R$9&gt;=20/24</formula>
    </cfRule>
    <cfRule type="expression" dxfId="4565" priority="440">
      <formula>AND(R$9&gt;=14/24,R$9&lt;20/24)</formula>
    </cfRule>
    <cfRule type="expression" dxfId="4564" priority="441">
      <formula>AND(R$9&gt;=8/24,R$9&lt;14/24)</formula>
    </cfRule>
    <cfRule type="expression" dxfId="4563" priority="442">
      <formula>R$9&lt;8/24</formula>
    </cfRule>
  </conditionalFormatting>
  <conditionalFormatting sqref="U83:Z83">
    <cfRule type="expression" dxfId="4562" priority="435">
      <formula>U$9&gt;=20/24</formula>
    </cfRule>
    <cfRule type="expression" dxfId="4561" priority="436">
      <formula>AND(U$9&gt;=14/24,U$9&lt;20/24)</formula>
    </cfRule>
    <cfRule type="expression" dxfId="4560" priority="437">
      <formula>AND(U$9&gt;=8/24,U$9&lt;14/24)</formula>
    </cfRule>
    <cfRule type="expression" dxfId="4559" priority="438">
      <formula>U$9&lt;8/24</formula>
    </cfRule>
  </conditionalFormatting>
  <conditionalFormatting sqref="P48:T48">
    <cfRule type="expression" dxfId="4558" priority="427">
      <formula>P$9&gt;=20/24</formula>
    </cfRule>
    <cfRule type="expression" dxfId="4557" priority="428">
      <formula>AND(P$9&gt;=14/24,P$9&lt;20/24)</formula>
    </cfRule>
    <cfRule type="expression" dxfId="4556" priority="429">
      <formula>AND(P$9&gt;=8/24,P$9&lt;14/24)</formula>
    </cfRule>
    <cfRule type="expression" dxfId="4555" priority="430">
      <formula>P$9&lt;8/24</formula>
    </cfRule>
  </conditionalFormatting>
  <conditionalFormatting sqref="P49:Q49">
    <cfRule type="expression" dxfId="4554" priority="423">
      <formula>P$9&gt;=20/24</formula>
    </cfRule>
    <cfRule type="expression" dxfId="4553" priority="424">
      <formula>AND(P$9&gt;=14/24,P$9&lt;20/24)</formula>
    </cfRule>
    <cfRule type="expression" dxfId="4552" priority="425">
      <formula>AND(P$9&gt;=8/24,P$9&lt;14/24)</formula>
    </cfRule>
    <cfRule type="expression" dxfId="4551" priority="426">
      <formula>P$9&lt;8/24</formula>
    </cfRule>
  </conditionalFormatting>
  <conditionalFormatting sqref="P44:Q47">
    <cfRule type="expression" dxfId="4550" priority="419">
      <formula>P$9&gt;=20/24</formula>
    </cfRule>
    <cfRule type="expression" dxfId="4549" priority="420">
      <formula>AND(P$9&gt;=14/24,P$9&lt;20/24)</formula>
    </cfRule>
    <cfRule type="expression" dxfId="4548" priority="421">
      <formula>AND(P$9&gt;=8/24,P$9&lt;14/24)</formula>
    </cfRule>
    <cfRule type="expression" dxfId="4547" priority="422">
      <formula>P$9&lt;8/24</formula>
    </cfRule>
  </conditionalFormatting>
  <conditionalFormatting sqref="R36:V36 Y36:AD36">
    <cfRule type="expression" dxfId="4546" priority="415">
      <formula>R$9&gt;=20/24</formula>
    </cfRule>
    <cfRule type="expression" dxfId="4545" priority="416">
      <formula>AND(R$9&gt;=14/24,R$9&lt;20/24)</formula>
    </cfRule>
    <cfRule type="expression" dxfId="4544" priority="417">
      <formula>AND(R$9&gt;=8/24,R$9&lt;14/24)</formula>
    </cfRule>
    <cfRule type="expression" dxfId="4543" priority="418">
      <formula>R$9&lt;8/24</formula>
    </cfRule>
  </conditionalFormatting>
  <conditionalFormatting sqref="R31:V32 R34:V34">
    <cfRule type="expression" dxfId="4542" priority="411">
      <formula>R$9&gt;=20/24</formula>
    </cfRule>
    <cfRule type="expression" dxfId="4541" priority="412">
      <formula>AND(R$9&gt;=14/24,R$9&lt;20/24)</formula>
    </cfRule>
    <cfRule type="expression" dxfId="4540" priority="413">
      <formula>AND(R$9&gt;=8/24,R$9&lt;14/24)</formula>
    </cfRule>
    <cfRule type="expression" dxfId="4539" priority="414">
      <formula>R$9&lt;8/24</formula>
    </cfRule>
  </conditionalFormatting>
  <conditionalFormatting sqref="U42 R41:T42 R44:U47">
    <cfRule type="expression" dxfId="4538" priority="407">
      <formula>R$9&gt;=20/24</formula>
    </cfRule>
    <cfRule type="expression" dxfId="4537" priority="408">
      <formula>AND(R$9&gt;=14/24,R$9&lt;20/24)</formula>
    </cfRule>
    <cfRule type="expression" dxfId="4536" priority="409">
      <formula>AND(R$9&gt;=8/24,R$9&lt;14/24)</formula>
    </cfRule>
    <cfRule type="expression" dxfId="4535" priority="410">
      <formula>R$9&lt;8/24</formula>
    </cfRule>
  </conditionalFormatting>
  <conditionalFormatting sqref="R48:U48">
    <cfRule type="expression" dxfId="4534" priority="403">
      <formula>R$9&gt;=20/24</formula>
    </cfRule>
    <cfRule type="expression" dxfId="4533" priority="404">
      <formula>AND(R$9&gt;=14/24,R$9&lt;20/24)</formula>
    </cfRule>
    <cfRule type="expression" dxfId="4532" priority="405">
      <formula>AND(R$9&gt;=8/24,R$9&lt;14/24)</formula>
    </cfRule>
    <cfRule type="expression" dxfId="4531" priority="406">
      <formula>R$9&lt;8/24</formula>
    </cfRule>
  </conditionalFormatting>
  <conditionalFormatting sqref="R49:U49">
    <cfRule type="expression" dxfId="4530" priority="399">
      <formula>R$9&gt;=20/24</formula>
    </cfRule>
    <cfRule type="expression" dxfId="4529" priority="400">
      <formula>AND(R$9&gt;=14/24,R$9&lt;20/24)</formula>
    </cfRule>
    <cfRule type="expression" dxfId="4528" priority="401">
      <formula>AND(R$9&gt;=8/24,R$9&lt;14/24)</formula>
    </cfRule>
    <cfRule type="expression" dxfId="4527" priority="402">
      <formula>R$9&lt;8/24</formula>
    </cfRule>
  </conditionalFormatting>
  <conditionalFormatting sqref="R59:S66 W59:AF66">
    <cfRule type="expression" dxfId="4526" priority="395">
      <formula>R$9&gt;=20/24</formula>
    </cfRule>
    <cfRule type="expression" dxfId="4525" priority="396">
      <formula>AND(R$9&gt;=14/24,R$9&lt;20/24)</formula>
    </cfRule>
    <cfRule type="expression" dxfId="4524" priority="397">
      <formula>AND(R$9&gt;=8/24,R$9&lt;14/24)</formula>
    </cfRule>
    <cfRule type="expression" dxfId="4523" priority="398">
      <formula>R$9&lt;8/24</formula>
    </cfRule>
  </conditionalFormatting>
  <conditionalFormatting sqref="AA93:AF96">
    <cfRule type="expression" dxfId="4522" priority="391">
      <formula>AA$9&gt;=20/24</formula>
    </cfRule>
    <cfRule type="expression" dxfId="4521" priority="392">
      <formula>AND(AA$9&gt;=14/24,AA$9&lt;20/24)</formula>
    </cfRule>
    <cfRule type="expression" dxfId="4520" priority="393">
      <formula>AND(AA$9&gt;=8/24,AA$9&lt;14/24)</formula>
    </cfRule>
    <cfRule type="expression" dxfId="4519" priority="394">
      <formula>AA$9&lt;8/24</formula>
    </cfRule>
  </conditionalFormatting>
  <conditionalFormatting sqref="B61:H61 H62:H66 I61:O66">
    <cfRule type="expression" dxfId="4518" priority="387">
      <formula>B$9&gt;=20/24</formula>
    </cfRule>
    <cfRule type="expression" dxfId="4517" priority="388">
      <formula>AND(B$9&gt;=14/24,B$9&lt;20/24)</formula>
    </cfRule>
    <cfRule type="expression" dxfId="4516" priority="389">
      <formula>AND(B$9&gt;=8/24,B$9&lt;14/24)</formula>
    </cfRule>
    <cfRule type="expression" dxfId="4515" priority="390">
      <formula>B$9&lt;8/24</formula>
    </cfRule>
  </conditionalFormatting>
  <conditionalFormatting sqref="T93:U96 W93:Z96">
    <cfRule type="expression" dxfId="4514" priority="383">
      <formula>T$9&gt;=20/24</formula>
    </cfRule>
    <cfRule type="expression" dxfId="4513" priority="384">
      <formula>AND(T$9&gt;=14/24,T$9&lt;20/24)</formula>
    </cfRule>
    <cfRule type="expression" dxfId="4512" priority="385">
      <formula>AND(T$9&gt;=8/24,T$9&lt;14/24)</formula>
    </cfRule>
    <cfRule type="expression" dxfId="4511" priority="386">
      <formula>T$9&lt;8/24</formula>
    </cfRule>
  </conditionalFormatting>
  <conditionalFormatting sqref="B11:L14 B16:L32 Q12:Q14 B37:AF37 B34:L36 Q36:S36 B44:L49 B38:L42 R34 Q35:R35 S34:S35 R18:V32 M11:V11 T34:V36 P44:U49 P38:U42 Z11:AF11 B50:U50 Y50:AG50 AB12:AD12 AE16:AF25 Y36:AF36 AE12:AF14 Y38:AF42 B51:AF55">
    <cfRule type="expression" dxfId="4510" priority="382">
      <formula>B11&gt;$AG11</formula>
    </cfRule>
  </conditionalFormatting>
  <conditionalFormatting sqref="A99:A155 A83:A96 A11:A14 A16:A32 A44:A71 A79:A81 A73:A77 A34:A42 A168:A199">
    <cfRule type="expression" dxfId="4509" priority="381">
      <formula>$AH11=0</formula>
    </cfRule>
  </conditionalFormatting>
  <conditionalFormatting sqref="AA97:AF97">
    <cfRule type="expression" dxfId="4508" priority="377">
      <formula>AA$9&gt;=20/24</formula>
    </cfRule>
    <cfRule type="expression" dxfId="4507" priority="378">
      <formula>AND(AA$9&gt;=14/24,AA$9&lt;20/24)</formula>
    </cfRule>
    <cfRule type="expression" dxfId="4506" priority="379">
      <formula>AND(AA$9&gt;=8/24,AA$9&lt;14/24)</formula>
    </cfRule>
    <cfRule type="expression" dxfId="4505" priority="380">
      <formula>AA$9&lt;8/24</formula>
    </cfRule>
  </conditionalFormatting>
  <conditionalFormatting sqref="T97:U97 W97:Z97">
    <cfRule type="expression" dxfId="4504" priority="373">
      <formula>T$9&gt;=20/24</formula>
    </cfRule>
    <cfRule type="expression" dxfId="4503" priority="374">
      <formula>AND(T$9&gt;=14/24,T$9&lt;20/24)</formula>
    </cfRule>
    <cfRule type="expression" dxfId="4502" priority="375">
      <formula>AND(T$9&gt;=8/24,T$9&lt;14/24)</formula>
    </cfRule>
    <cfRule type="expression" dxfId="4501" priority="376">
      <formula>T$9&lt;8/24</formula>
    </cfRule>
  </conditionalFormatting>
  <conditionalFormatting sqref="A97">
    <cfRule type="expression" dxfId="4500" priority="372">
      <formula>$AH97=0</formula>
    </cfRule>
  </conditionalFormatting>
  <conditionalFormatting sqref="C35:L35 Q35:V35">
    <cfRule type="expression" dxfId="4499" priority="368">
      <formula>C$9&gt;=20/24</formula>
    </cfRule>
    <cfRule type="expression" dxfId="4498" priority="369">
      <formula>AND(C$9&gt;=14/24,C$9&lt;20/24)</formula>
    </cfRule>
    <cfRule type="expression" dxfId="4497" priority="370">
      <formula>AND(C$9&gt;=8/24,C$9&lt;14/24)</formula>
    </cfRule>
    <cfRule type="expression" dxfId="4496" priority="371">
      <formula>C$9&lt;8/24</formula>
    </cfRule>
  </conditionalFormatting>
  <conditionalFormatting sqref="R35:V35">
    <cfRule type="expression" dxfId="4495" priority="364">
      <formula>R$9&gt;=20/24</formula>
    </cfRule>
    <cfRule type="expression" dxfId="4494" priority="365">
      <formula>AND(R$9&gt;=14/24,R$9&lt;20/24)</formula>
    </cfRule>
    <cfRule type="expression" dxfId="4493" priority="366">
      <formula>AND(R$9&gt;=8/24,R$9&lt;14/24)</formula>
    </cfRule>
    <cfRule type="expression" dxfId="4492" priority="367">
      <formula>R$9&lt;8/24</formula>
    </cfRule>
  </conditionalFormatting>
  <conditionalFormatting sqref="B35">
    <cfRule type="expression" dxfId="4491" priority="360">
      <formula>B$9&gt;=20/24</formula>
    </cfRule>
    <cfRule type="expression" dxfId="4490" priority="361">
      <formula>AND(B$9&gt;=14/24,B$9&lt;20/24)</formula>
    </cfRule>
    <cfRule type="expression" dxfId="4489" priority="362">
      <formula>AND(B$9&gt;=8/24,B$9&lt;14/24)</formula>
    </cfRule>
    <cfRule type="expression" dxfId="4488" priority="363">
      <formula>B$9&lt;8/24</formula>
    </cfRule>
  </conditionalFormatting>
  <conditionalFormatting sqref="D62:G66">
    <cfRule type="expression" dxfId="4487" priority="356">
      <formula>D$9&gt;=20/24</formula>
    </cfRule>
    <cfRule type="expression" dxfId="4486" priority="357">
      <formula>AND(D$9&gt;=14/24,D$9&lt;20/24)</formula>
    </cfRule>
    <cfRule type="expression" dxfId="4485" priority="358">
      <formula>AND(D$9&gt;=8/24,D$9&lt;14/24)</formula>
    </cfRule>
    <cfRule type="expression" dxfId="4484" priority="359">
      <formula>D$9&lt;8/24</formula>
    </cfRule>
  </conditionalFormatting>
  <conditionalFormatting sqref="AL32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R33:V33">
    <cfRule type="expression" dxfId="4483" priority="339">
      <formula>R$9&gt;=20/24</formula>
    </cfRule>
    <cfRule type="expression" dxfId="4482" priority="340">
      <formula>AND(R$9&gt;=14/24,R$9&lt;20/24)</formula>
    </cfRule>
    <cfRule type="expression" dxfId="4481" priority="341">
      <formula>AND(R$9&gt;=8/24,R$9&lt;14/24)</formula>
    </cfRule>
    <cfRule type="expression" dxfId="4480" priority="342">
      <formula>R$9&lt;8/24</formula>
    </cfRule>
  </conditionalFormatting>
  <conditionalFormatting sqref="B33:L33 R33:V33">
    <cfRule type="expression" dxfId="4479" priority="338">
      <formula>B33&gt;$AG33</formula>
    </cfRule>
  </conditionalFormatting>
  <conditionalFormatting sqref="A33">
    <cfRule type="expression" dxfId="4478" priority="337">
      <formula>$AH33=0</formula>
    </cfRule>
  </conditionalFormatting>
  <conditionalFormatting sqref="B82:AF82">
    <cfRule type="expression" dxfId="4477" priority="333">
      <formula>B$9&gt;=20/24</formula>
    </cfRule>
    <cfRule type="expression" dxfId="4476" priority="334">
      <formula>AND(B$9&gt;=14/24,B$9&lt;20/24)</formula>
    </cfRule>
    <cfRule type="expression" dxfId="4475" priority="335">
      <formula>AND(B$9&gt;=8/24,B$9&lt;14/24)</formula>
    </cfRule>
    <cfRule type="expression" dxfId="4474" priority="336">
      <formula>B$9&lt;8/24</formula>
    </cfRule>
  </conditionalFormatting>
  <conditionalFormatting sqref="A82">
    <cfRule type="expression" dxfId="4473" priority="332">
      <formula>$AH82=0</formula>
    </cfRule>
  </conditionalFormatting>
  <conditionalFormatting sqref="B15:L15 AE15:AF15">
    <cfRule type="expression" dxfId="4472" priority="323">
      <formula>B15&gt;$AG15</formula>
    </cfRule>
  </conditionalFormatting>
  <conditionalFormatting sqref="A15">
    <cfRule type="expression" dxfId="4471" priority="322">
      <formula>$AH15=0</formula>
    </cfRule>
  </conditionalFormatting>
  <conditionalFormatting sqref="A162:A167">
    <cfRule type="expression" dxfId="4470" priority="321">
      <formula>$AH162=0</formula>
    </cfRule>
  </conditionalFormatting>
  <conditionalFormatting sqref="A156:A161">
    <cfRule type="expression" dxfId="4469" priority="320">
      <formula>$AH156=0</formula>
    </cfRule>
  </conditionalFormatting>
  <conditionalFormatting sqref="Y43:AF43">
    <cfRule type="expression" dxfId="4468" priority="316">
      <formula>Y$9&gt;=20/24</formula>
    </cfRule>
    <cfRule type="expression" dxfId="4467" priority="317">
      <formula>AND(Y$9&gt;=14/24,Y$9&lt;20/24)</formula>
    </cfRule>
    <cfRule type="expression" dxfId="4466" priority="318">
      <formula>AND(Y$9&gt;=8/24,Y$9&lt;14/24)</formula>
    </cfRule>
    <cfRule type="expression" dxfId="4465" priority="319">
      <formula>Y$9&lt;8/24</formula>
    </cfRule>
  </conditionalFormatting>
  <conditionalFormatting sqref="P43:Q43">
    <cfRule type="expression" dxfId="4464" priority="312">
      <formula>P$9&gt;=20/24</formula>
    </cfRule>
    <cfRule type="expression" dxfId="4463" priority="313">
      <formula>AND(P$9&gt;=14/24,P$9&lt;20/24)</formula>
    </cfRule>
    <cfRule type="expression" dxfId="4462" priority="314">
      <formula>AND(P$9&gt;=8/24,P$9&lt;14/24)</formula>
    </cfRule>
    <cfRule type="expression" dxfId="4461" priority="315">
      <formula>P$9&lt;8/24</formula>
    </cfRule>
  </conditionalFormatting>
  <conditionalFormatting sqref="R43:U43">
    <cfRule type="expression" dxfId="4460" priority="308">
      <formula>R$9&gt;=20/24</formula>
    </cfRule>
    <cfRule type="expression" dxfId="4459" priority="309">
      <formula>AND(R$9&gt;=14/24,R$9&lt;20/24)</formula>
    </cfRule>
    <cfRule type="expression" dxfId="4458" priority="310">
      <formula>AND(R$9&gt;=8/24,R$9&lt;14/24)</formula>
    </cfRule>
    <cfRule type="expression" dxfId="4457" priority="311">
      <formula>R$9&lt;8/24</formula>
    </cfRule>
  </conditionalFormatting>
  <conditionalFormatting sqref="B43:L43 P43:U43 Y43:AF43">
    <cfRule type="expression" dxfId="4456" priority="307">
      <formula>B43&gt;$AG43</formula>
    </cfRule>
  </conditionalFormatting>
  <conditionalFormatting sqref="A43">
    <cfRule type="expression" dxfId="4455" priority="306">
      <formula>$AH43=0</formula>
    </cfRule>
  </conditionalFormatting>
  <conditionalFormatting sqref="B78:AF78">
    <cfRule type="expression" dxfId="4454" priority="302">
      <formula>B$9&gt;=20/24</formula>
    </cfRule>
    <cfRule type="expression" dxfId="4453" priority="303">
      <formula>AND(B$9&gt;=14/24,B$9&lt;20/24)</formula>
    </cfRule>
    <cfRule type="expression" dxfId="4452" priority="304">
      <formula>AND(B$9&gt;=8/24,B$9&lt;14/24)</formula>
    </cfRule>
    <cfRule type="expression" dxfId="4451" priority="305">
      <formula>B$9&lt;8/24</formula>
    </cfRule>
  </conditionalFormatting>
  <conditionalFormatting sqref="A78">
    <cfRule type="expression" dxfId="4450" priority="301">
      <formula>$AH78=0</formula>
    </cfRule>
  </conditionalFormatting>
  <conditionalFormatting sqref="B72:AG72">
    <cfRule type="expression" dxfId="4449" priority="297">
      <formula>B$9&gt;=20/24</formula>
    </cfRule>
    <cfRule type="expression" dxfId="4448" priority="298">
      <formula>AND(B$9&gt;=14/24,B$9&lt;20/24)</formula>
    </cfRule>
    <cfRule type="expression" dxfId="4447" priority="299">
      <formula>AND(B$9&gt;=8/24,B$9&lt;14/24)</formula>
    </cfRule>
    <cfRule type="expression" dxfId="4446" priority="300">
      <formula>B$9&lt;8/24</formula>
    </cfRule>
  </conditionalFormatting>
  <conditionalFormatting sqref="A72">
    <cfRule type="expression" dxfId="4445" priority="296">
      <formula>$AH72=0</formula>
    </cfRule>
  </conditionalFormatting>
  <conditionalFormatting sqref="AL33:AL34 AL7:AL31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T59:V66">
    <cfRule type="expression" dxfId="4444" priority="292">
      <formula>T$9&gt;=20/24</formula>
    </cfRule>
    <cfRule type="expression" dxfId="4443" priority="293">
      <formula>AND(T$9&gt;=14/24,T$9&lt;20/24)</formula>
    </cfRule>
    <cfRule type="expression" dxfId="4442" priority="294">
      <formula>AND(T$9&gt;=8/24,T$9&lt;14/24)</formula>
    </cfRule>
    <cfRule type="expression" dxfId="4441" priority="295">
      <formula>T$9&lt;8/24</formula>
    </cfRule>
  </conditionalFormatting>
  <conditionalFormatting sqref="U84:V90">
    <cfRule type="expression" dxfId="4440" priority="288">
      <formula>U$9&gt;=20/24</formula>
    </cfRule>
    <cfRule type="expression" dxfId="4439" priority="289">
      <formula>AND(U$9&gt;=14/24,U$9&lt;20/24)</formula>
    </cfRule>
    <cfRule type="expression" dxfId="4438" priority="290">
      <formula>AND(U$9&gt;=8/24,U$9&lt;14/24)</formula>
    </cfRule>
    <cfRule type="expression" dxfId="4437" priority="291">
      <formula>U$9&lt;8/24</formula>
    </cfRule>
  </conditionalFormatting>
  <conditionalFormatting sqref="B83:Q90 R84:T90">
    <cfRule type="expression" dxfId="4436" priority="284">
      <formula>B$9&gt;=20/24</formula>
    </cfRule>
    <cfRule type="expression" dxfId="4435" priority="285">
      <formula>AND(B$9&gt;=14/24,B$9&lt;20/24)</formula>
    </cfRule>
    <cfRule type="expression" dxfId="4434" priority="286">
      <formula>AND(B$9&gt;=8/24,B$9&lt;14/24)</formula>
    </cfRule>
    <cfRule type="expression" dxfId="4433" priority="287">
      <formula>B$9&lt;8/24</formula>
    </cfRule>
  </conditionalFormatting>
  <conditionalFormatting sqref="R83:T83">
    <cfRule type="expression" dxfId="4432" priority="280">
      <formula>R$9&gt;=20/24</formula>
    </cfRule>
    <cfRule type="expression" dxfId="4431" priority="281">
      <formula>AND(R$9&gt;=14/24,R$9&lt;20/24)</formula>
    </cfRule>
    <cfRule type="expression" dxfId="4430" priority="282">
      <formula>AND(R$9&gt;=8/24,R$9&lt;14/24)</formula>
    </cfRule>
    <cfRule type="expression" dxfId="4429" priority="283">
      <formula>R$9&lt;8/24</formula>
    </cfRule>
  </conditionalFormatting>
  <conditionalFormatting sqref="B93:E93 B94:O96">
    <cfRule type="expression" dxfId="4428" priority="276">
      <formula>B$9&gt;=20/24</formula>
    </cfRule>
    <cfRule type="expression" dxfId="4427" priority="277">
      <formula>AND(B$9&gt;=14/24,B$9&lt;20/24)</formula>
    </cfRule>
    <cfRule type="expression" dxfId="4426" priority="278">
      <formula>AND(B$9&gt;=8/24,B$9&lt;14/24)</formula>
    </cfRule>
    <cfRule type="expression" dxfId="4425" priority="279">
      <formula>B$9&lt;8/24</formula>
    </cfRule>
  </conditionalFormatting>
  <conditionalFormatting sqref="P93:Q96">
    <cfRule type="expression" dxfId="4424" priority="272">
      <formula>P$9&gt;=20/24</formula>
    </cfRule>
    <cfRule type="expression" dxfId="4423" priority="273">
      <formula>AND(P$9&gt;=14/24,P$9&lt;20/24)</formula>
    </cfRule>
    <cfRule type="expression" dxfId="4422" priority="274">
      <formula>AND(P$9&gt;=8/24,P$9&lt;14/24)</formula>
    </cfRule>
    <cfRule type="expression" dxfId="4421" priority="275">
      <formula>P$9&lt;8/24</formula>
    </cfRule>
  </conditionalFormatting>
  <conditionalFormatting sqref="R93:S96">
    <cfRule type="expression" dxfId="4420" priority="268">
      <formula>R$9&gt;=20/24</formula>
    </cfRule>
    <cfRule type="expression" dxfId="4419" priority="269">
      <formula>AND(R$9&gt;=14/24,R$9&lt;20/24)</formula>
    </cfRule>
    <cfRule type="expression" dxfId="4418" priority="270">
      <formula>AND(R$9&gt;=8/24,R$9&lt;14/24)</formula>
    </cfRule>
    <cfRule type="expression" dxfId="4417" priority="271">
      <formula>R$9&lt;8/24</formula>
    </cfRule>
  </conditionalFormatting>
  <conditionalFormatting sqref="B97:O97">
    <cfRule type="expression" dxfId="4416" priority="264">
      <formula>B$9&gt;=20/24</formula>
    </cfRule>
    <cfRule type="expression" dxfId="4415" priority="265">
      <formula>AND(B$9&gt;=14/24,B$9&lt;20/24)</formula>
    </cfRule>
    <cfRule type="expression" dxfId="4414" priority="266">
      <formula>AND(B$9&gt;=8/24,B$9&lt;14/24)</formula>
    </cfRule>
    <cfRule type="expression" dxfId="4413" priority="267">
      <formula>B$9&lt;8/24</formula>
    </cfRule>
  </conditionalFormatting>
  <conditionalFormatting sqref="P97:Q97">
    <cfRule type="expression" dxfId="4412" priority="260">
      <formula>P$9&gt;=20/24</formula>
    </cfRule>
    <cfRule type="expression" dxfId="4411" priority="261">
      <formula>AND(P$9&gt;=14/24,P$9&lt;20/24)</formula>
    </cfRule>
    <cfRule type="expression" dxfId="4410" priority="262">
      <formula>AND(P$9&gt;=8/24,P$9&lt;14/24)</formula>
    </cfRule>
    <cfRule type="expression" dxfId="4409" priority="263">
      <formula>P$9&lt;8/24</formula>
    </cfRule>
  </conditionalFormatting>
  <conditionalFormatting sqref="R97:S97">
    <cfRule type="expression" dxfId="4408" priority="256">
      <formula>R$9&gt;=20/24</formula>
    </cfRule>
    <cfRule type="expression" dxfId="4407" priority="257">
      <formula>AND(R$9&gt;=14/24,R$9&lt;20/24)</formula>
    </cfRule>
    <cfRule type="expression" dxfId="4406" priority="258">
      <formula>AND(R$9&gt;=8/24,R$9&lt;14/24)</formula>
    </cfRule>
    <cfRule type="expression" dxfId="4405" priority="259">
      <formula>R$9&lt;8/24</formula>
    </cfRule>
  </conditionalFormatting>
  <conditionalFormatting sqref="F93:O93">
    <cfRule type="expression" dxfId="4404" priority="248">
      <formula>F$9&gt;=20/24</formula>
    </cfRule>
    <cfRule type="expression" dxfId="4403" priority="249">
      <formula>AND(F$9&gt;=14/24,F$9&lt;20/24)</formula>
    </cfRule>
    <cfRule type="expression" dxfId="4402" priority="250">
      <formula>AND(F$9&gt;=8/24,F$9&lt;14/24)</formula>
    </cfRule>
    <cfRule type="expression" dxfId="4401" priority="251">
      <formula>F$9&lt;8/24</formula>
    </cfRule>
  </conditionalFormatting>
  <conditionalFormatting sqref="T93:U93">
    <cfRule type="expression" dxfId="4400" priority="244">
      <formula>T$9&gt;=20/24</formula>
    </cfRule>
    <cfRule type="expression" dxfId="4399" priority="245">
      <formula>AND(T$9&gt;=14/24,T$9&lt;20/24)</formula>
    </cfRule>
    <cfRule type="expression" dxfId="4398" priority="246">
      <formula>AND(T$9&gt;=8/24,T$9&lt;14/24)</formula>
    </cfRule>
    <cfRule type="expression" dxfId="4397" priority="247">
      <formula>T$9&lt;8/24</formula>
    </cfRule>
  </conditionalFormatting>
  <conditionalFormatting sqref="P93:S93">
    <cfRule type="expression" dxfId="4396" priority="240">
      <formula>P$9&gt;=20/24</formula>
    </cfRule>
    <cfRule type="expression" dxfId="4395" priority="241">
      <formula>AND(P$9&gt;=14/24,P$9&lt;20/24)</formula>
    </cfRule>
    <cfRule type="expression" dxfId="4394" priority="242">
      <formula>AND(P$9&gt;=8/24,P$9&lt;14/24)</formula>
    </cfRule>
    <cfRule type="expression" dxfId="4393" priority="243">
      <formula>P$9&lt;8/24</formula>
    </cfRule>
  </conditionalFormatting>
  <conditionalFormatting sqref="AA98:AF98">
    <cfRule type="expression" dxfId="4392" priority="236">
      <formula>AA$9&gt;=20/24</formula>
    </cfRule>
    <cfRule type="expression" dxfId="4391" priority="237">
      <formula>AND(AA$9&gt;=14/24,AA$9&lt;20/24)</formula>
    </cfRule>
    <cfRule type="expression" dxfId="4390" priority="238">
      <formula>AND(AA$9&gt;=8/24,AA$9&lt;14/24)</formula>
    </cfRule>
    <cfRule type="expression" dxfId="4389" priority="239">
      <formula>AA$9&lt;8/24</formula>
    </cfRule>
  </conditionalFormatting>
  <conditionalFormatting sqref="T98:U98 W98:Z98">
    <cfRule type="expression" dxfId="4388" priority="232">
      <formula>T$9&gt;=20/24</formula>
    </cfRule>
    <cfRule type="expression" dxfId="4387" priority="233">
      <formula>AND(T$9&gt;=14/24,T$9&lt;20/24)</formula>
    </cfRule>
    <cfRule type="expression" dxfId="4386" priority="234">
      <formula>AND(T$9&gt;=8/24,T$9&lt;14/24)</formula>
    </cfRule>
    <cfRule type="expression" dxfId="4385" priority="235">
      <formula>T$9&lt;8/24</formula>
    </cfRule>
  </conditionalFormatting>
  <conditionalFormatting sqref="A98">
    <cfRule type="expression" dxfId="4384" priority="231">
      <formula>$AH98=0</formula>
    </cfRule>
  </conditionalFormatting>
  <conditionalFormatting sqref="B98:O98">
    <cfRule type="expression" dxfId="4383" priority="227">
      <formula>B$9&gt;=20/24</formula>
    </cfRule>
    <cfRule type="expression" dxfId="4382" priority="228">
      <formula>AND(B$9&gt;=14/24,B$9&lt;20/24)</formula>
    </cfRule>
    <cfRule type="expression" dxfId="4381" priority="229">
      <formula>AND(B$9&gt;=8/24,B$9&lt;14/24)</formula>
    </cfRule>
    <cfRule type="expression" dxfId="4380" priority="230">
      <formula>B$9&lt;8/24</formula>
    </cfRule>
  </conditionalFormatting>
  <conditionalFormatting sqref="P98:Q98">
    <cfRule type="expression" dxfId="4379" priority="223">
      <formula>P$9&gt;=20/24</formula>
    </cfRule>
    <cfRule type="expression" dxfId="4378" priority="224">
      <formula>AND(P$9&gt;=14/24,P$9&lt;20/24)</formula>
    </cfRule>
    <cfRule type="expression" dxfId="4377" priority="225">
      <formula>AND(P$9&gt;=8/24,P$9&lt;14/24)</formula>
    </cfRule>
    <cfRule type="expression" dxfId="4376" priority="226">
      <formula>P$9&lt;8/24</formula>
    </cfRule>
  </conditionalFormatting>
  <conditionalFormatting sqref="R98:S98">
    <cfRule type="expression" dxfId="4375" priority="219">
      <formula>R$9&gt;=20/24</formula>
    </cfRule>
    <cfRule type="expression" dxfId="4374" priority="220">
      <formula>AND(R$9&gt;=14/24,R$9&lt;20/24)</formula>
    </cfRule>
    <cfRule type="expression" dxfId="4373" priority="221">
      <formula>AND(R$9&gt;=8/24,R$9&lt;14/24)</formula>
    </cfRule>
    <cfRule type="expression" dxfId="4372" priority="222">
      <formula>R$9&lt;8/24</formula>
    </cfRule>
  </conditionalFormatting>
  <conditionalFormatting sqref="R12:V16">
    <cfRule type="expression" dxfId="4371" priority="215">
      <formula>R$9&gt;=20/24</formula>
    </cfRule>
    <cfRule type="expression" dxfId="4370" priority="216">
      <formula>AND(R$9&gt;=14/24,R$9&lt;20/24)</formula>
    </cfRule>
    <cfRule type="expression" dxfId="4369" priority="217">
      <formula>AND(R$9&gt;=8/24,R$9&lt;14/24)</formula>
    </cfRule>
    <cfRule type="expression" dxfId="4368" priority="218">
      <formula>R$9&lt;8/24</formula>
    </cfRule>
  </conditionalFormatting>
  <conditionalFormatting sqref="R17:V17">
    <cfRule type="expression" dxfId="4367" priority="211">
      <formula>R$9&gt;=20/24</formula>
    </cfRule>
    <cfRule type="expression" dxfId="4366" priority="212">
      <formula>AND(R$9&gt;=14/24,R$9&lt;20/24)</formula>
    </cfRule>
    <cfRule type="expression" dxfId="4365" priority="213">
      <formula>AND(R$9&gt;=8/24,R$9&lt;14/24)</formula>
    </cfRule>
    <cfRule type="expression" dxfId="4364" priority="214">
      <formula>R$9&lt;8/24</formula>
    </cfRule>
  </conditionalFormatting>
  <conditionalFormatting sqref="R12:V13">
    <cfRule type="expression" dxfId="4363" priority="207">
      <formula>R$9&gt;=20/24</formula>
    </cfRule>
    <cfRule type="expression" dxfId="4362" priority="208">
      <formula>AND(R$9&gt;=14/24,R$9&lt;20/24)</formula>
    </cfRule>
    <cfRule type="expression" dxfId="4361" priority="209">
      <formula>AND(R$9&gt;=8/24,R$9&lt;14/24)</formula>
    </cfRule>
    <cfRule type="expression" dxfId="4360" priority="210">
      <formula>R$9&lt;8/24</formula>
    </cfRule>
  </conditionalFormatting>
  <conditionalFormatting sqref="AA57:AF58">
    <cfRule type="expression" dxfId="4359" priority="203">
      <formula>AA$9&gt;=20/24</formula>
    </cfRule>
    <cfRule type="expression" dxfId="4358" priority="204">
      <formula>AND(AA$9&gt;=14/24,AA$9&lt;20/24)</formula>
    </cfRule>
    <cfRule type="expression" dxfId="4357" priority="205">
      <formula>AND(AA$9&gt;=8/24,AA$9&lt;14/24)</formula>
    </cfRule>
    <cfRule type="expression" dxfId="4356" priority="206">
      <formula>AA$9&lt;8/24</formula>
    </cfRule>
  </conditionalFormatting>
  <conditionalFormatting sqref="M12:P36 Q15:Q34">
    <cfRule type="expression" dxfId="4355" priority="199">
      <formula>M$9&gt;=20/24</formula>
    </cfRule>
    <cfRule type="expression" dxfId="4354" priority="200">
      <formula>AND(M$9&gt;=14/24,M$9&lt;20/24)</formula>
    </cfRule>
    <cfRule type="expression" dxfId="4353" priority="201">
      <formula>AND(M$9&gt;=8/24,M$9&lt;14/24)</formula>
    </cfRule>
    <cfRule type="expression" dxfId="4352" priority="202">
      <formula>M$9&lt;8/24</formula>
    </cfRule>
  </conditionalFormatting>
  <conditionalFormatting sqref="M12:P36 Q15:Q34">
    <cfRule type="expression" dxfId="4351" priority="198">
      <formula>M12&gt;$AG12</formula>
    </cfRule>
  </conditionalFormatting>
  <conditionalFormatting sqref="M38:O49">
    <cfRule type="expression" dxfId="4350" priority="194">
      <formula>M$9&gt;=20/24</formula>
    </cfRule>
    <cfRule type="expression" dxfId="4349" priority="195">
      <formula>AND(M$9&gt;=14/24,M$9&lt;20/24)</formula>
    </cfRule>
    <cfRule type="expression" dxfId="4348" priority="196">
      <formula>AND(M$9&gt;=8/24,M$9&lt;14/24)</formula>
    </cfRule>
    <cfRule type="expression" dxfId="4347" priority="197">
      <formula>M$9&lt;8/24</formula>
    </cfRule>
  </conditionalFormatting>
  <conditionalFormatting sqref="M38:O49">
    <cfRule type="expression" dxfId="4346" priority="193">
      <formula>M38&gt;$AG38</formula>
    </cfRule>
  </conditionalFormatting>
  <conditionalFormatting sqref="W11 W18:W30">
    <cfRule type="expression" dxfId="4345" priority="179">
      <formula>W$9&gt;=20/24</formula>
    </cfRule>
    <cfRule type="expression" dxfId="4344" priority="180">
      <formula>AND(W$9&gt;=14/24,W$9&lt;20/24)</formula>
    </cfRule>
    <cfRule type="expression" dxfId="4343" priority="181">
      <formula>AND(W$9&gt;=8/24,W$9&lt;14/24)</formula>
    </cfRule>
    <cfRule type="expression" dxfId="4342" priority="182">
      <formula>W$9&lt;8/24</formula>
    </cfRule>
  </conditionalFormatting>
  <conditionalFormatting sqref="W36">
    <cfRule type="expression" dxfId="4341" priority="175">
      <formula>W$9&gt;=20/24</formula>
    </cfRule>
    <cfRule type="expression" dxfId="4340" priority="176">
      <formula>AND(W$9&gt;=14/24,W$9&lt;20/24)</formula>
    </cfRule>
    <cfRule type="expression" dxfId="4339" priority="177">
      <formula>AND(W$9&gt;=8/24,W$9&lt;14/24)</formula>
    </cfRule>
    <cfRule type="expression" dxfId="4338" priority="178">
      <formula>W$9&lt;8/24</formula>
    </cfRule>
  </conditionalFormatting>
  <conditionalFormatting sqref="W34 W31:W32">
    <cfRule type="expression" dxfId="4337" priority="171">
      <formula>W$9&gt;=20/24</formula>
    </cfRule>
    <cfRule type="expression" dxfId="4336" priority="172">
      <formula>AND(W$9&gt;=14/24,W$9&lt;20/24)</formula>
    </cfRule>
    <cfRule type="expression" dxfId="4335" priority="173">
      <formula>AND(W$9&gt;=8/24,W$9&lt;14/24)</formula>
    </cfRule>
    <cfRule type="expression" dxfId="4334" priority="174">
      <formula>W$9&lt;8/24</formula>
    </cfRule>
  </conditionalFormatting>
  <conditionalFormatting sqref="W34:W36 W11 W18:W32">
    <cfRule type="expression" dxfId="4333" priority="170">
      <formula>W11&gt;$AG11</formula>
    </cfRule>
  </conditionalFormatting>
  <conditionalFormatting sqref="W35">
    <cfRule type="expression" dxfId="4332" priority="166">
      <formula>W$9&gt;=20/24</formula>
    </cfRule>
    <cfRule type="expression" dxfId="4331" priority="167">
      <formula>AND(W$9&gt;=14/24,W$9&lt;20/24)</formula>
    </cfRule>
    <cfRule type="expression" dxfId="4330" priority="168">
      <formula>AND(W$9&gt;=8/24,W$9&lt;14/24)</formula>
    </cfRule>
    <cfRule type="expression" dxfId="4329" priority="169">
      <formula>W$9&lt;8/24</formula>
    </cfRule>
  </conditionalFormatting>
  <conditionalFormatting sqref="W35">
    <cfRule type="expression" dxfId="4328" priority="162">
      <formula>W$9&gt;=20/24</formula>
    </cfRule>
    <cfRule type="expression" dxfId="4327" priority="163">
      <formula>AND(W$9&gt;=14/24,W$9&lt;20/24)</formula>
    </cfRule>
    <cfRule type="expression" dxfId="4326" priority="164">
      <formula>AND(W$9&gt;=8/24,W$9&lt;14/24)</formula>
    </cfRule>
    <cfRule type="expression" dxfId="4325" priority="165">
      <formula>W$9&lt;8/24</formula>
    </cfRule>
  </conditionalFormatting>
  <conditionalFormatting sqref="W33">
    <cfRule type="expression" dxfId="4324" priority="158">
      <formula>W$9&gt;=20/24</formula>
    </cfRule>
    <cfRule type="expression" dxfId="4323" priority="159">
      <formula>AND(W$9&gt;=14/24,W$9&lt;20/24)</formula>
    </cfRule>
    <cfRule type="expression" dxfId="4322" priority="160">
      <formula>AND(W$9&gt;=8/24,W$9&lt;14/24)</formula>
    </cfRule>
    <cfRule type="expression" dxfId="4321" priority="161">
      <formula>W$9&lt;8/24</formula>
    </cfRule>
  </conditionalFormatting>
  <conditionalFormatting sqref="W33">
    <cfRule type="expression" dxfId="4320" priority="157">
      <formula>W33&gt;$AG33</formula>
    </cfRule>
  </conditionalFormatting>
  <conditionalFormatting sqref="W12:W16 X13:Z13">
    <cfRule type="expression" dxfId="4319" priority="153">
      <formula>W$9&gt;=20/24</formula>
    </cfRule>
    <cfRule type="expression" dxfId="4318" priority="154">
      <formula>AND(W$9&gt;=14/24,W$9&lt;20/24)</formula>
    </cfRule>
    <cfRule type="expression" dxfId="4317" priority="155">
      <formula>AND(W$9&gt;=8/24,W$9&lt;14/24)</formula>
    </cfRule>
    <cfRule type="expression" dxfId="4316" priority="156">
      <formula>W$9&lt;8/24</formula>
    </cfRule>
  </conditionalFormatting>
  <conditionalFormatting sqref="W17">
    <cfRule type="expression" dxfId="4315" priority="149">
      <formula>W$9&gt;=20/24</formula>
    </cfRule>
    <cfRule type="expression" dxfId="4314" priority="150">
      <formula>AND(W$9&gt;=14/24,W$9&lt;20/24)</formula>
    </cfRule>
    <cfRule type="expression" dxfId="4313" priority="151">
      <formula>AND(W$9&gt;=8/24,W$9&lt;14/24)</formula>
    </cfRule>
    <cfRule type="expression" dxfId="4312" priority="152">
      <formula>W$9&lt;8/24</formula>
    </cfRule>
  </conditionalFormatting>
  <conditionalFormatting sqref="W12:W13 X13:Z13">
    <cfRule type="expression" dxfId="4311" priority="145">
      <formula>W$9&gt;=20/24</formula>
    </cfRule>
    <cfRule type="expression" dxfId="4310" priority="146">
      <formula>AND(W$9&gt;=14/24,W$9&lt;20/24)</formula>
    </cfRule>
    <cfRule type="expression" dxfId="4309" priority="147">
      <formula>AND(W$9&gt;=8/24,W$9&lt;14/24)</formula>
    </cfRule>
    <cfRule type="expression" dxfId="4308" priority="148">
      <formula>W$9&lt;8/24</formula>
    </cfRule>
  </conditionalFormatting>
  <conditionalFormatting sqref="W39:W41">
    <cfRule type="expression" dxfId="4307" priority="141">
      <formula>W$9&gt;=20/24</formula>
    </cfRule>
    <cfRule type="expression" dxfId="4306" priority="142">
      <formula>AND(W$9&gt;=14/24,W$9&lt;20/24)</formula>
    </cfRule>
    <cfRule type="expression" dxfId="4305" priority="143">
      <formula>AND(W$9&gt;=8/24,W$9&lt;14/24)</formula>
    </cfRule>
    <cfRule type="expression" dxfId="4304" priority="144">
      <formula>W$9&lt;8/24</formula>
    </cfRule>
  </conditionalFormatting>
  <conditionalFormatting sqref="W38">
    <cfRule type="expression" dxfId="4303" priority="137">
      <formula>W$9&gt;=20/24</formula>
    </cfRule>
    <cfRule type="expression" dxfId="4302" priority="138">
      <formula>AND(W$9&gt;=14/24,W$9&lt;20/24)</formula>
    </cfRule>
    <cfRule type="expression" dxfId="4301" priority="139">
      <formula>AND(W$9&gt;=8/24,W$9&lt;14/24)</formula>
    </cfRule>
    <cfRule type="expression" dxfId="4300" priority="140">
      <formula>W$9&lt;8/24</formula>
    </cfRule>
  </conditionalFormatting>
  <conditionalFormatting sqref="W44:W47 W42">
    <cfRule type="expression" dxfId="4299" priority="133">
      <formula>W$9&gt;=20/24</formula>
    </cfRule>
    <cfRule type="expression" dxfId="4298" priority="134">
      <formula>AND(W$9&gt;=14/24,W$9&lt;20/24)</formula>
    </cfRule>
    <cfRule type="expression" dxfId="4297" priority="135">
      <formula>AND(W$9&gt;=8/24,W$9&lt;14/24)</formula>
    </cfRule>
    <cfRule type="expression" dxfId="4296" priority="136">
      <formula>W$9&lt;8/24</formula>
    </cfRule>
  </conditionalFormatting>
  <conditionalFormatting sqref="W48">
    <cfRule type="expression" dxfId="4295" priority="129">
      <formula>W$9&gt;=20/24</formula>
    </cfRule>
    <cfRule type="expression" dxfId="4294" priority="130">
      <formula>AND(W$9&gt;=14/24,W$9&lt;20/24)</formula>
    </cfRule>
    <cfRule type="expression" dxfId="4293" priority="131">
      <formula>AND(W$9&gt;=8/24,W$9&lt;14/24)</formula>
    </cfRule>
    <cfRule type="expression" dxfId="4292" priority="132">
      <formula>W$9&lt;8/24</formula>
    </cfRule>
  </conditionalFormatting>
  <conditionalFormatting sqref="W49">
    <cfRule type="expression" dxfId="4291" priority="125">
      <formula>W$9&gt;=20/24</formula>
    </cfRule>
    <cfRule type="expression" dxfId="4290" priority="126">
      <formula>AND(W$9&gt;=14/24,W$9&lt;20/24)</formula>
    </cfRule>
    <cfRule type="expression" dxfId="4289" priority="127">
      <formula>AND(W$9&gt;=8/24,W$9&lt;14/24)</formula>
    </cfRule>
    <cfRule type="expression" dxfId="4288" priority="128">
      <formula>W$9&lt;8/24</formula>
    </cfRule>
  </conditionalFormatting>
  <conditionalFormatting sqref="W38:W42 W44:W50">
    <cfRule type="expression" dxfId="4287" priority="124">
      <formula>W38&gt;$AG38</formula>
    </cfRule>
  </conditionalFormatting>
  <conditionalFormatting sqref="W43">
    <cfRule type="expression" dxfId="4286" priority="120">
      <formula>W$9&gt;=20/24</formula>
    </cfRule>
    <cfRule type="expression" dxfId="4285" priority="121">
      <formula>AND(W$9&gt;=14/24,W$9&lt;20/24)</formula>
    </cfRule>
    <cfRule type="expression" dxfId="4284" priority="122">
      <formula>AND(W$9&gt;=8/24,W$9&lt;14/24)</formula>
    </cfRule>
    <cfRule type="expression" dxfId="4283" priority="123">
      <formula>W$9&lt;8/24</formula>
    </cfRule>
  </conditionalFormatting>
  <conditionalFormatting sqref="W43">
    <cfRule type="expression" dxfId="4282" priority="119">
      <formula>W43&gt;$AG43</formula>
    </cfRule>
  </conditionalFormatting>
  <conditionalFormatting sqref="V93:V96">
    <cfRule type="expression" dxfId="4281" priority="113">
      <formula>V$9&gt;=20/24</formula>
    </cfRule>
    <cfRule type="expression" dxfId="4280" priority="114">
      <formula>AND(V$9&gt;=14/24,V$9&lt;20/24)</formula>
    </cfRule>
    <cfRule type="expression" dxfId="4279" priority="115">
      <formula>AND(V$9&gt;=8/24,V$9&lt;14/24)</formula>
    </cfRule>
    <cfRule type="expression" dxfId="4278" priority="116">
      <formula>V$9&lt;8/24</formula>
    </cfRule>
  </conditionalFormatting>
  <conditionalFormatting sqref="V97">
    <cfRule type="expression" dxfId="4277" priority="109">
      <formula>V$9&gt;=20/24</formula>
    </cfRule>
    <cfRule type="expression" dxfId="4276" priority="110">
      <formula>AND(V$9&gt;=14/24,V$9&lt;20/24)</formula>
    </cfRule>
    <cfRule type="expression" dxfId="4275" priority="111">
      <formula>AND(V$9&gt;=8/24,V$9&lt;14/24)</formula>
    </cfRule>
    <cfRule type="expression" dxfId="4274" priority="112">
      <formula>V$9&lt;8/24</formula>
    </cfRule>
  </conditionalFormatting>
  <conditionalFormatting sqref="V98">
    <cfRule type="expression" dxfId="4273" priority="105">
      <formula>V$9&gt;=20/24</formula>
    </cfRule>
    <cfRule type="expression" dxfId="4272" priority="106">
      <formula>AND(V$9&gt;=14/24,V$9&lt;20/24)</formula>
    </cfRule>
    <cfRule type="expression" dxfId="4271" priority="107">
      <formula>AND(V$9&gt;=8/24,V$9&lt;14/24)</formula>
    </cfRule>
    <cfRule type="expression" dxfId="4270" priority="108">
      <formula>V$9&lt;8/24</formula>
    </cfRule>
  </conditionalFormatting>
  <conditionalFormatting sqref="X50">
    <cfRule type="expression" dxfId="4269" priority="94">
      <formula>X50&gt;$AG50</formula>
    </cfRule>
  </conditionalFormatting>
  <conditionalFormatting sqref="V50">
    <cfRule type="expression" dxfId="4268" priority="93">
      <formula>V50&gt;$AG50</formula>
    </cfRule>
  </conditionalFormatting>
  <conditionalFormatting sqref="X39:X42">
    <cfRule type="expression" dxfId="4267" priority="89">
      <formula>X$9&gt;=20/24</formula>
    </cfRule>
    <cfRule type="expression" dxfId="4266" priority="90">
      <formula>AND(X$9&gt;=14/24,X$9&lt;20/24)</formula>
    </cfRule>
    <cfRule type="expression" dxfId="4265" priority="91">
      <formula>AND(X$9&gt;=8/24,X$9&lt;14/24)</formula>
    </cfRule>
    <cfRule type="expression" dxfId="4264" priority="92">
      <formula>X$9&lt;8/24</formula>
    </cfRule>
  </conditionalFormatting>
  <conditionalFormatting sqref="X38">
    <cfRule type="expression" dxfId="4263" priority="85">
      <formula>X$9&gt;=20/24</formula>
    </cfRule>
    <cfRule type="expression" dxfId="4262" priority="86">
      <formula>AND(X$9&gt;=14/24,X$9&lt;20/24)</formula>
    </cfRule>
    <cfRule type="expression" dxfId="4261" priority="87">
      <formula>AND(X$9&gt;=8/24,X$9&lt;14/24)</formula>
    </cfRule>
    <cfRule type="expression" dxfId="4260" priority="88">
      <formula>X$9&lt;8/24</formula>
    </cfRule>
  </conditionalFormatting>
  <conditionalFormatting sqref="X44:AF47">
    <cfRule type="expression" dxfId="4259" priority="81">
      <formula>X$9&gt;=20/24</formula>
    </cfRule>
    <cfRule type="expression" dxfId="4258" priority="82">
      <formula>AND(X$9&gt;=14/24,X$9&lt;20/24)</formula>
    </cfRule>
    <cfRule type="expression" dxfId="4257" priority="83">
      <formula>AND(X$9&gt;=8/24,X$9&lt;14/24)</formula>
    </cfRule>
    <cfRule type="expression" dxfId="4256" priority="84">
      <formula>X$9&lt;8/24</formula>
    </cfRule>
  </conditionalFormatting>
  <conditionalFormatting sqref="X48:AF48">
    <cfRule type="expression" dxfId="4255" priority="77">
      <formula>X$9&gt;=20/24</formula>
    </cfRule>
    <cfRule type="expression" dxfId="4254" priority="78">
      <formula>AND(X$9&gt;=14/24,X$9&lt;20/24)</formula>
    </cfRule>
    <cfRule type="expression" dxfId="4253" priority="79">
      <formula>AND(X$9&gt;=8/24,X$9&lt;14/24)</formula>
    </cfRule>
    <cfRule type="expression" dxfId="4252" priority="80">
      <formula>X$9&lt;8/24</formula>
    </cfRule>
  </conditionalFormatting>
  <conditionalFormatting sqref="X49:AF49">
    <cfRule type="expression" dxfId="4251" priority="73">
      <formula>X$9&gt;=20/24</formula>
    </cfRule>
    <cfRule type="expression" dxfId="4250" priority="74">
      <formula>AND(X$9&gt;=14/24,X$9&lt;20/24)</formula>
    </cfRule>
    <cfRule type="expression" dxfId="4249" priority="75">
      <formula>AND(X$9&gt;=8/24,X$9&lt;14/24)</formula>
    </cfRule>
    <cfRule type="expression" dxfId="4248" priority="76">
      <formula>X$9&lt;8/24</formula>
    </cfRule>
  </conditionalFormatting>
  <conditionalFormatting sqref="X38:X42 X44:AF49">
    <cfRule type="expression" dxfId="4247" priority="72">
      <formula>X38&gt;$AG38</formula>
    </cfRule>
  </conditionalFormatting>
  <conditionalFormatting sqref="X43">
    <cfRule type="expression" dxfId="4246" priority="68">
      <formula>X$9&gt;=20/24</formula>
    </cfRule>
    <cfRule type="expression" dxfId="4245" priority="69">
      <formula>AND(X$9&gt;=14/24,X$9&lt;20/24)</formula>
    </cfRule>
    <cfRule type="expression" dxfId="4244" priority="70">
      <formula>AND(X$9&gt;=8/24,X$9&lt;14/24)</formula>
    </cfRule>
    <cfRule type="expression" dxfId="4243" priority="71">
      <formula>X$9&lt;8/24</formula>
    </cfRule>
  </conditionalFormatting>
  <conditionalFormatting sqref="X43">
    <cfRule type="expression" dxfId="4242" priority="67">
      <formula>X43&gt;$AG43</formula>
    </cfRule>
  </conditionalFormatting>
  <conditionalFormatting sqref="V39:V42">
    <cfRule type="expression" dxfId="4241" priority="63">
      <formula>V$9&gt;=20/24</formula>
    </cfRule>
    <cfRule type="expression" dxfId="4240" priority="64">
      <formula>AND(V$9&gt;=14/24,V$9&lt;20/24)</formula>
    </cfRule>
    <cfRule type="expression" dxfId="4239" priority="65">
      <formula>AND(V$9&gt;=8/24,V$9&lt;14/24)</formula>
    </cfRule>
    <cfRule type="expression" dxfId="4238" priority="66">
      <formula>V$9&lt;8/24</formula>
    </cfRule>
  </conditionalFormatting>
  <conditionalFormatting sqref="V38">
    <cfRule type="expression" dxfId="4237" priority="59">
      <formula>V$9&gt;=20/24</formula>
    </cfRule>
    <cfRule type="expression" dxfId="4236" priority="60">
      <formula>AND(V$9&gt;=14/24,V$9&lt;20/24)</formula>
    </cfRule>
    <cfRule type="expression" dxfId="4235" priority="61">
      <formula>AND(V$9&gt;=8/24,V$9&lt;14/24)</formula>
    </cfRule>
    <cfRule type="expression" dxfId="4234" priority="62">
      <formula>V$9&lt;8/24</formula>
    </cfRule>
  </conditionalFormatting>
  <conditionalFormatting sqref="V44:V47">
    <cfRule type="expression" dxfId="4233" priority="55">
      <formula>V$9&gt;=20/24</formula>
    </cfRule>
    <cfRule type="expression" dxfId="4232" priority="56">
      <formula>AND(V$9&gt;=14/24,V$9&lt;20/24)</formula>
    </cfRule>
    <cfRule type="expression" dxfId="4231" priority="57">
      <formula>AND(V$9&gt;=8/24,V$9&lt;14/24)</formula>
    </cfRule>
    <cfRule type="expression" dxfId="4230" priority="58">
      <formula>V$9&lt;8/24</formula>
    </cfRule>
  </conditionalFormatting>
  <conditionalFormatting sqref="V48">
    <cfRule type="expression" dxfId="4229" priority="51">
      <formula>V$9&gt;=20/24</formula>
    </cfRule>
    <cfRule type="expression" dxfId="4228" priority="52">
      <formula>AND(V$9&gt;=14/24,V$9&lt;20/24)</formula>
    </cfRule>
    <cfRule type="expression" dxfId="4227" priority="53">
      <formula>AND(V$9&gt;=8/24,V$9&lt;14/24)</formula>
    </cfRule>
    <cfRule type="expression" dxfId="4226" priority="54">
      <formula>V$9&lt;8/24</formula>
    </cfRule>
  </conditionalFormatting>
  <conditionalFormatting sqref="V49">
    <cfRule type="expression" dxfId="4225" priority="47">
      <formula>V$9&gt;=20/24</formula>
    </cfRule>
    <cfRule type="expression" dxfId="4224" priority="48">
      <formula>AND(V$9&gt;=14/24,V$9&lt;20/24)</formula>
    </cfRule>
    <cfRule type="expression" dxfId="4223" priority="49">
      <formula>AND(V$9&gt;=8/24,V$9&lt;14/24)</formula>
    </cfRule>
    <cfRule type="expression" dxfId="4222" priority="50">
      <formula>V$9&lt;8/24</formula>
    </cfRule>
  </conditionalFormatting>
  <conditionalFormatting sqref="V38:V42 V44:V49">
    <cfRule type="expression" dxfId="4221" priority="46">
      <formula>V38&gt;$AG38</formula>
    </cfRule>
  </conditionalFormatting>
  <conditionalFormatting sqref="V43">
    <cfRule type="expression" dxfId="4220" priority="42">
      <formula>V$9&gt;=20/24</formula>
    </cfRule>
    <cfRule type="expression" dxfId="4219" priority="43">
      <formula>AND(V$9&gt;=14/24,V$9&lt;20/24)</formula>
    </cfRule>
    <cfRule type="expression" dxfId="4218" priority="44">
      <formula>AND(V$9&gt;=8/24,V$9&lt;14/24)</formula>
    </cfRule>
    <cfRule type="expression" dxfId="4217" priority="45">
      <formula>V$9&lt;8/24</formula>
    </cfRule>
  </conditionalFormatting>
  <conditionalFormatting sqref="V43">
    <cfRule type="expression" dxfId="4216" priority="41">
      <formula>V43&gt;$AG43</formula>
    </cfRule>
  </conditionalFormatting>
  <conditionalFormatting sqref="X11:Y12 Z12:AA12 AA13 X14:AA14 X16:AD31 AB13:AD14 AE26:AF31">
    <cfRule type="expression" dxfId="4215" priority="32">
      <formula>X$9&gt;=20/24</formula>
    </cfRule>
    <cfRule type="expression" dxfId="4214" priority="33">
      <formula>AND(X$9&gt;=14/24,X$9&lt;20/24)</formula>
    </cfRule>
    <cfRule type="expression" dxfId="4213" priority="34">
      <formula>AND(X$9&gt;=8/24,X$9&lt;14/24)</formula>
    </cfRule>
    <cfRule type="expression" dxfId="4212" priority="35">
      <formula>X$9&lt;8/24</formula>
    </cfRule>
  </conditionalFormatting>
  <conditionalFormatting sqref="X32:AF32">
    <cfRule type="expression" dxfId="4211" priority="28">
      <formula>X$9&gt;=20/24</formula>
    </cfRule>
    <cfRule type="expression" dxfId="4210" priority="29">
      <formula>AND(X$9&gt;=14/24,X$9&lt;20/24)</formula>
    </cfRule>
    <cfRule type="expression" dxfId="4209" priority="30">
      <formula>AND(X$9&gt;=8/24,X$9&lt;14/24)</formula>
    </cfRule>
    <cfRule type="expression" dxfId="4208" priority="31">
      <formula>X$9&lt;8/24</formula>
    </cfRule>
  </conditionalFormatting>
  <conditionalFormatting sqref="X36">
    <cfRule type="expression" dxfId="4207" priority="24">
      <formula>X$9&gt;=20/24</formula>
    </cfRule>
    <cfRule type="expression" dxfId="4206" priority="25">
      <formula>AND(X$9&gt;=14/24,X$9&lt;20/24)</formula>
    </cfRule>
    <cfRule type="expression" dxfId="4205" priority="26">
      <formula>AND(X$9&gt;=8/24,X$9&lt;14/24)</formula>
    </cfRule>
    <cfRule type="expression" dxfId="4204" priority="27">
      <formula>X$9&lt;8/24</formula>
    </cfRule>
  </conditionalFormatting>
  <conditionalFormatting sqref="X34:AF34">
    <cfRule type="expression" dxfId="4203" priority="20">
      <formula>X$9&gt;=20/24</formula>
    </cfRule>
    <cfRule type="expression" dxfId="4202" priority="21">
      <formula>AND(X$9&gt;=14/24,X$9&lt;20/24)</formula>
    </cfRule>
    <cfRule type="expression" dxfId="4201" priority="22">
      <formula>AND(X$9&gt;=8/24,X$9&lt;14/24)</formula>
    </cfRule>
    <cfRule type="expression" dxfId="4200" priority="23">
      <formula>X$9&lt;8/24</formula>
    </cfRule>
  </conditionalFormatting>
  <conditionalFormatting sqref="X34:X36 X11:Y12 Z12:AA12 AA13 X14:AA14 AB13:AD14 X16:AD32 Y34:AF35 AE26:AF32">
    <cfRule type="expression" dxfId="4199" priority="19">
      <formula>X11&gt;$AG11</formula>
    </cfRule>
  </conditionalFormatting>
  <conditionalFormatting sqref="X35:AF35">
    <cfRule type="expression" dxfId="4198" priority="15">
      <formula>X$9&gt;=20/24</formula>
    </cfRule>
    <cfRule type="expression" dxfId="4197" priority="16">
      <formula>AND(X$9&gt;=14/24,X$9&lt;20/24)</formula>
    </cfRule>
    <cfRule type="expression" dxfId="4196" priority="17">
      <formula>AND(X$9&gt;=8/24,X$9&lt;14/24)</formula>
    </cfRule>
    <cfRule type="expression" dxfId="4195" priority="18">
      <formula>X$9&lt;8/24</formula>
    </cfRule>
  </conditionalFormatting>
  <conditionalFormatting sqref="X35:AF35">
    <cfRule type="expression" dxfId="4194" priority="11">
      <formula>X$9&gt;=20/24</formula>
    </cfRule>
    <cfRule type="expression" dxfId="4193" priority="12">
      <formula>AND(X$9&gt;=14/24,X$9&lt;20/24)</formula>
    </cfRule>
    <cfRule type="expression" dxfId="4192" priority="13">
      <formula>AND(X$9&gt;=8/24,X$9&lt;14/24)</formula>
    </cfRule>
    <cfRule type="expression" dxfId="4191" priority="14">
      <formula>X$9&lt;8/24</formula>
    </cfRule>
  </conditionalFormatting>
  <conditionalFormatting sqref="X33:AF33">
    <cfRule type="expression" dxfId="4190" priority="7">
      <formula>X$9&gt;=20/24</formula>
    </cfRule>
    <cfRule type="expression" dxfId="4189" priority="8">
      <formula>AND(X$9&gt;=14/24,X$9&lt;20/24)</formula>
    </cfRule>
    <cfRule type="expression" dxfId="4188" priority="9">
      <formula>AND(X$9&gt;=8/24,X$9&lt;14/24)</formula>
    </cfRule>
    <cfRule type="expression" dxfId="4187" priority="10">
      <formula>X$9&lt;8/24</formula>
    </cfRule>
  </conditionalFormatting>
  <conditionalFormatting sqref="X33:AF33">
    <cfRule type="expression" dxfId="4186" priority="6">
      <formula>X33&gt;$AG33</formula>
    </cfRule>
  </conditionalFormatting>
  <conditionalFormatting sqref="X15:AD15">
    <cfRule type="expression" dxfId="4185" priority="2">
      <formula>X$9&gt;=20/24</formula>
    </cfRule>
    <cfRule type="expression" dxfId="4184" priority="3">
      <formula>AND(X$9&gt;=14/24,X$9&lt;20/24)</formula>
    </cfRule>
    <cfRule type="expression" dxfId="4183" priority="4">
      <formula>AND(X$9&gt;=8/24,X$9&lt;14/24)</formula>
    </cfRule>
    <cfRule type="expression" dxfId="4182" priority="5">
      <formula>X$9&lt;8/24</formula>
    </cfRule>
  </conditionalFormatting>
  <conditionalFormatting sqref="X15:AD15">
    <cfRule type="expression" dxfId="4181" priority="1">
      <formula>X15&gt;$AG15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9" sqref="Y9:Y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2078/07/20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-74</v>
      </c>
      <c r="C5" s="32">
        <f t="shared" ref="C5:AF5" si="0">C67</f>
        <v>-42</v>
      </c>
      <c r="D5" s="32">
        <f t="shared" si="0"/>
        <v>-49</v>
      </c>
      <c r="E5" s="32">
        <f t="shared" si="0"/>
        <v>-51</v>
      </c>
      <c r="F5" s="32">
        <f t="shared" si="0"/>
        <v>-48</v>
      </c>
      <c r="G5" s="32">
        <f t="shared" si="0"/>
        <v>-48.5</v>
      </c>
      <c r="H5" s="32">
        <f t="shared" si="0"/>
        <v>-47</v>
      </c>
      <c r="I5" s="32">
        <f t="shared" si="0"/>
        <v>-53</v>
      </c>
      <c r="J5" s="32">
        <f t="shared" si="0"/>
        <v>-49.5</v>
      </c>
      <c r="K5" s="32">
        <f t="shared" si="0"/>
        <v>-52</v>
      </c>
      <c r="L5" s="32">
        <f t="shared" si="0"/>
        <v>-51.3</v>
      </c>
      <c r="M5" s="32">
        <f t="shared" si="0"/>
        <v>-68</v>
      </c>
      <c r="N5" s="32">
        <f t="shared" si="0"/>
        <v>-69.5</v>
      </c>
      <c r="O5" s="32">
        <f t="shared" si="0"/>
        <v>-79</v>
      </c>
      <c r="P5" s="32">
        <f t="shared" si="0"/>
        <v>-60</v>
      </c>
      <c r="Q5" s="32">
        <f t="shared" si="0"/>
        <v>-65.900000000000006</v>
      </c>
      <c r="R5" s="32">
        <f t="shared" si="0"/>
        <v>-46.1</v>
      </c>
      <c r="S5" s="32">
        <f t="shared" si="0"/>
        <v>-46.9</v>
      </c>
      <c r="T5" s="32">
        <f t="shared" si="0"/>
        <v>-76</v>
      </c>
      <c r="U5" s="32">
        <f t="shared" si="0"/>
        <v>-47.7</v>
      </c>
      <c r="V5" s="32">
        <f t="shared" si="0"/>
        <v>-35</v>
      </c>
      <c r="W5" s="32">
        <f t="shared" si="0"/>
        <v>-55</v>
      </c>
      <c r="X5" s="32">
        <f t="shared" si="0"/>
        <v>-50.5</v>
      </c>
      <c r="Y5" s="32">
        <f t="shared" si="0"/>
        <v>-51.2</v>
      </c>
      <c r="Z5" s="32">
        <f t="shared" si="0"/>
        <v>-62.4</v>
      </c>
      <c r="AA5" s="32">
        <f t="shared" si="0"/>
        <v>-63.2</v>
      </c>
      <c r="AB5" s="32">
        <f t="shared" si="0"/>
        <v>-41</v>
      </c>
      <c r="AC5" s="32">
        <f t="shared" si="0"/>
        <v>-48.5</v>
      </c>
      <c r="AD5" s="32">
        <f t="shared" si="0"/>
        <v>-45.8</v>
      </c>
      <c r="AE5" s="32">
        <f t="shared" si="0"/>
        <v>-50</v>
      </c>
      <c r="AF5" s="32">
        <f t="shared" si="0"/>
        <v>-54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907MW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Load=651</v>
      </c>
      <c r="B7" s="37">
        <f t="shared" ref="B7:AF7" si="1">B74</f>
        <v>744.74</v>
      </c>
      <c r="C7" s="37">
        <f t="shared" si="1"/>
        <v>748.83999999999992</v>
      </c>
      <c r="D7" s="37">
        <f t="shared" si="1"/>
        <v>750.83999999999992</v>
      </c>
      <c r="E7" s="37">
        <f t="shared" si="1"/>
        <v>735.74</v>
      </c>
      <c r="F7" s="37">
        <f t="shared" si="1"/>
        <v>794.34</v>
      </c>
      <c r="G7" s="37">
        <f t="shared" si="1"/>
        <v>855.44</v>
      </c>
      <c r="H7" s="37">
        <f t="shared" si="1"/>
        <v>906.13999999999987</v>
      </c>
      <c r="I7" s="37">
        <f t="shared" si="1"/>
        <v>894.24</v>
      </c>
      <c r="J7" s="37">
        <f t="shared" si="1"/>
        <v>907.13999999999987</v>
      </c>
      <c r="K7" s="37">
        <f t="shared" si="1"/>
        <v>902.24</v>
      </c>
      <c r="L7" s="37">
        <f>L74</f>
        <v>872.93999999999983</v>
      </c>
      <c r="M7" s="37">
        <f t="shared" si="1"/>
        <v>855.84</v>
      </c>
      <c r="N7" s="37">
        <f t="shared" si="1"/>
        <v>798.74</v>
      </c>
      <c r="O7" s="37">
        <f t="shared" si="1"/>
        <v>744.04</v>
      </c>
      <c r="P7" s="37">
        <f t="shared" si="1"/>
        <v>671.34</v>
      </c>
      <c r="Q7" s="37">
        <f t="shared" si="1"/>
        <v>661.54</v>
      </c>
      <c r="R7" s="37">
        <f t="shared" si="1"/>
        <v>671.34</v>
      </c>
      <c r="S7" s="37">
        <f t="shared" si="1"/>
        <v>687.93999999999994</v>
      </c>
      <c r="T7" s="37">
        <f t="shared" si="1"/>
        <v>650.94000000000005</v>
      </c>
      <c r="U7" s="37">
        <f t="shared" si="1"/>
        <v>748.54</v>
      </c>
      <c r="V7" s="37">
        <f t="shared" si="1"/>
        <v>997.33999999999992</v>
      </c>
      <c r="W7" s="37">
        <f t="shared" si="1"/>
        <v>1207.04</v>
      </c>
      <c r="X7" s="37">
        <f t="shared" si="1"/>
        <v>1226.44</v>
      </c>
      <c r="Y7" s="37">
        <f t="shared" si="1"/>
        <v>1194.94</v>
      </c>
      <c r="Z7" s="37">
        <f t="shared" si="1"/>
        <v>1131.24</v>
      </c>
      <c r="AA7" s="37">
        <f t="shared" si="1"/>
        <v>1096.6400000000001</v>
      </c>
      <c r="AB7" s="37">
        <f t="shared" si="1"/>
        <v>1052.6399999999999</v>
      </c>
      <c r="AC7" s="37">
        <f t="shared" si="1"/>
        <v>1031.44</v>
      </c>
      <c r="AD7" s="37">
        <f t="shared" si="1"/>
        <v>889.04</v>
      </c>
      <c r="AE7" s="37">
        <f t="shared" si="1"/>
        <v>842.03999999999985</v>
      </c>
      <c r="AF7" s="37">
        <f t="shared" si="1"/>
        <v>783.63999999999987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50</v>
      </c>
      <c r="D11" s="49">
        <v>50</v>
      </c>
      <c r="E11" s="49">
        <v>50</v>
      </c>
      <c r="F11" s="49">
        <v>60</v>
      </c>
      <c r="G11" s="49">
        <v>60</v>
      </c>
      <c r="H11" s="49">
        <v>70</v>
      </c>
      <c r="I11" s="49">
        <v>80</v>
      </c>
      <c r="J11" s="49">
        <v>70</v>
      </c>
      <c r="K11" s="49">
        <v>70</v>
      </c>
      <c r="L11" s="50">
        <v>70</v>
      </c>
      <c r="M11" s="50">
        <v>70</v>
      </c>
      <c r="N11" s="50">
        <v>70</v>
      </c>
      <c r="O11" s="50">
        <v>70</v>
      </c>
      <c r="P11" s="50">
        <v>40</v>
      </c>
      <c r="Q11" s="51">
        <v>40</v>
      </c>
      <c r="R11" s="51">
        <v>40</v>
      </c>
      <c r="S11" s="51">
        <v>40</v>
      </c>
      <c r="T11" s="51">
        <v>70</v>
      </c>
      <c r="U11" s="52">
        <v>80</v>
      </c>
      <c r="V11" s="52">
        <v>120</v>
      </c>
      <c r="W11" s="52">
        <v>220</v>
      </c>
      <c r="X11" s="52">
        <v>220</v>
      </c>
      <c r="Y11" s="53">
        <v>200</v>
      </c>
      <c r="Z11" s="54">
        <v>180</v>
      </c>
      <c r="AA11" s="54">
        <v>160</v>
      </c>
      <c r="AB11" s="54">
        <v>140</v>
      </c>
      <c r="AC11" s="54">
        <v>120</v>
      </c>
      <c r="AD11" s="54">
        <v>80</v>
      </c>
      <c r="AE11" s="54">
        <v>70</v>
      </c>
      <c r="AF11" s="54">
        <v>70</v>
      </c>
      <c r="AG11" s="55">
        <v>456</v>
      </c>
      <c r="AH11" s="56">
        <f>MAX(B11:AF11)</f>
        <v>220</v>
      </c>
      <c r="AI11" s="57">
        <f>MIN(B11:AF11)</f>
        <v>40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50</v>
      </c>
      <c r="L12" s="49">
        <v>50</v>
      </c>
      <c r="M12" s="49">
        <v>50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60">
        <v>40</v>
      </c>
      <c r="V12" s="60">
        <v>40</v>
      </c>
      <c r="W12" s="60">
        <v>50</v>
      </c>
      <c r="X12" s="60">
        <v>50</v>
      </c>
      <c r="Y12" s="50">
        <v>50</v>
      </c>
      <c r="Z12" s="50">
        <v>50</v>
      </c>
      <c r="AA12" s="50">
        <v>50</v>
      </c>
      <c r="AB12" s="50">
        <v>50</v>
      </c>
      <c r="AC12" s="50">
        <v>50</v>
      </c>
      <c r="AD12" s="50">
        <v>50</v>
      </c>
      <c r="AE12" s="50">
        <v>50</v>
      </c>
      <c r="AF12" s="50">
        <v>40</v>
      </c>
      <c r="AG12" s="61">
        <v>60</v>
      </c>
      <c r="AH12" s="56">
        <f t="shared" ref="AH12:AH77" si="2">MAX(B12:AF12)</f>
        <v>50</v>
      </c>
      <c r="AI12" s="57">
        <f t="shared" ref="AI12:AI77" si="3">MIN(B12:AF12)</f>
        <v>40</v>
      </c>
      <c r="AK12" s="58">
        <v>70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13</v>
      </c>
      <c r="C13" s="49">
        <v>13</v>
      </c>
      <c r="D13" s="49">
        <v>13</v>
      </c>
      <c r="E13" s="49">
        <v>13</v>
      </c>
      <c r="F13" s="49">
        <v>13</v>
      </c>
      <c r="G13" s="49">
        <v>13</v>
      </c>
      <c r="H13" s="49">
        <v>13</v>
      </c>
      <c r="I13" s="49">
        <v>13</v>
      </c>
      <c r="J13" s="49">
        <v>13</v>
      </c>
      <c r="K13" s="49">
        <v>13</v>
      </c>
      <c r="L13" s="49">
        <v>13</v>
      </c>
      <c r="M13" s="49">
        <v>13</v>
      </c>
      <c r="N13" s="49">
        <v>13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60">
        <v>0</v>
      </c>
      <c r="V13" s="60">
        <v>13</v>
      </c>
      <c r="W13" s="60">
        <v>13</v>
      </c>
      <c r="X13" s="60">
        <v>13</v>
      </c>
      <c r="Y13" s="60">
        <v>13</v>
      </c>
      <c r="Z13" s="60">
        <v>13</v>
      </c>
      <c r="AA13" s="60">
        <v>13</v>
      </c>
      <c r="AB13" s="60">
        <v>13</v>
      </c>
      <c r="AC13" s="60">
        <v>13</v>
      </c>
      <c r="AD13" s="60">
        <v>13</v>
      </c>
      <c r="AE13" s="60">
        <v>13</v>
      </c>
      <c r="AF13" s="60">
        <v>13</v>
      </c>
      <c r="AG13" s="61">
        <v>52.4</v>
      </c>
      <c r="AH13" s="56">
        <f>MAX(B13:AF13)</f>
        <v>13</v>
      </c>
      <c r="AI13" s="57">
        <f>MIN(B13:AF13)</f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25.4</v>
      </c>
      <c r="C14" s="49">
        <v>25.4</v>
      </c>
      <c r="D14" s="49">
        <v>25.4</v>
      </c>
      <c r="E14" s="49">
        <v>25.4</v>
      </c>
      <c r="F14" s="49">
        <v>25.4</v>
      </c>
      <c r="G14" s="49">
        <v>25.4</v>
      </c>
      <c r="H14" s="49">
        <v>25.4</v>
      </c>
      <c r="I14" s="49">
        <v>25.4</v>
      </c>
      <c r="J14" s="49">
        <v>25.4</v>
      </c>
      <c r="K14" s="49">
        <v>25.4</v>
      </c>
      <c r="L14" s="49">
        <v>25.4</v>
      </c>
      <c r="M14" s="50">
        <v>25.6</v>
      </c>
      <c r="N14" s="50">
        <v>25.6</v>
      </c>
      <c r="O14" s="50">
        <v>25.3</v>
      </c>
      <c r="P14" s="50">
        <v>25.3</v>
      </c>
      <c r="Q14" s="50">
        <v>25.3</v>
      </c>
      <c r="R14" s="50">
        <v>25.3</v>
      </c>
      <c r="S14" s="50">
        <v>25.3</v>
      </c>
      <c r="T14" s="50">
        <v>25.3</v>
      </c>
      <c r="U14" s="62">
        <v>25.5</v>
      </c>
      <c r="V14" s="62">
        <v>25.5</v>
      </c>
      <c r="W14" s="62">
        <v>25.5</v>
      </c>
      <c r="X14" s="62">
        <v>25.5</v>
      </c>
      <c r="Y14" s="62">
        <v>25.5</v>
      </c>
      <c r="Z14" s="62">
        <v>25.5</v>
      </c>
      <c r="AA14" s="62">
        <v>25.2</v>
      </c>
      <c r="AB14" s="62">
        <v>25.2</v>
      </c>
      <c r="AC14" s="62">
        <v>25.2</v>
      </c>
      <c r="AD14" s="62">
        <v>25.2</v>
      </c>
      <c r="AE14" s="62">
        <v>25.2</v>
      </c>
      <c r="AF14" s="62">
        <v>25.2</v>
      </c>
      <c r="AG14" s="61">
        <v>50</v>
      </c>
      <c r="AH14" s="56">
        <f t="shared" si="2"/>
        <v>25.6</v>
      </c>
      <c r="AI14" s="57">
        <f t="shared" si="3"/>
        <v>25.2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41.8</v>
      </c>
      <c r="C15" s="63">
        <v>41.8</v>
      </c>
      <c r="D15" s="63">
        <v>41.8</v>
      </c>
      <c r="E15" s="63">
        <v>36</v>
      </c>
      <c r="F15" s="63">
        <v>36</v>
      </c>
      <c r="G15" s="63">
        <v>36</v>
      </c>
      <c r="H15" s="63">
        <v>36</v>
      </c>
      <c r="I15" s="63">
        <v>36</v>
      </c>
      <c r="J15" s="63">
        <v>36</v>
      </c>
      <c r="K15" s="63">
        <v>36</v>
      </c>
      <c r="L15" s="63">
        <v>37</v>
      </c>
      <c r="M15" s="50">
        <v>36.9</v>
      </c>
      <c r="N15" s="50">
        <v>36.9</v>
      </c>
      <c r="O15" s="50">
        <v>37</v>
      </c>
      <c r="P15" s="50">
        <v>37</v>
      </c>
      <c r="Q15" s="50">
        <v>37</v>
      </c>
      <c r="R15" s="50">
        <v>37</v>
      </c>
      <c r="S15" s="50">
        <v>37</v>
      </c>
      <c r="T15" s="50">
        <v>36.9</v>
      </c>
      <c r="U15" s="62">
        <v>36.9</v>
      </c>
      <c r="V15" s="62">
        <v>36.9</v>
      </c>
      <c r="W15" s="62">
        <v>36.9</v>
      </c>
      <c r="X15" s="62">
        <v>36.9</v>
      </c>
      <c r="Y15" s="62">
        <v>36.9</v>
      </c>
      <c r="Z15" s="62">
        <v>36.9</v>
      </c>
      <c r="AA15" s="62">
        <v>36.9</v>
      </c>
      <c r="AB15" s="62">
        <v>36.9</v>
      </c>
      <c r="AC15" s="62">
        <v>36.9</v>
      </c>
      <c r="AD15" s="62">
        <v>36.9</v>
      </c>
      <c r="AE15" s="62">
        <v>37</v>
      </c>
      <c r="AF15" s="62">
        <v>37</v>
      </c>
      <c r="AG15" s="64">
        <v>45</v>
      </c>
      <c r="AH15" s="56">
        <f t="shared" si="2"/>
        <v>41.8</v>
      </c>
      <c r="AI15" s="57">
        <f t="shared" si="3"/>
        <v>36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18</v>
      </c>
      <c r="C16" s="49">
        <v>18</v>
      </c>
      <c r="D16" s="49">
        <v>18</v>
      </c>
      <c r="E16" s="49">
        <v>18</v>
      </c>
      <c r="F16" s="49">
        <v>18</v>
      </c>
      <c r="G16" s="49">
        <v>18</v>
      </c>
      <c r="H16" s="49">
        <v>22</v>
      </c>
      <c r="I16" s="49">
        <v>22</v>
      </c>
      <c r="J16" s="49">
        <v>22</v>
      </c>
      <c r="K16" s="49">
        <v>22</v>
      </c>
      <c r="L16" s="49">
        <v>22</v>
      </c>
      <c r="M16" s="50">
        <v>22</v>
      </c>
      <c r="N16" s="50">
        <v>22</v>
      </c>
      <c r="O16" s="50">
        <v>22</v>
      </c>
      <c r="P16" s="50">
        <v>22</v>
      </c>
      <c r="Q16" s="50">
        <v>18</v>
      </c>
      <c r="R16" s="50">
        <v>18</v>
      </c>
      <c r="S16" s="50">
        <v>18</v>
      </c>
      <c r="T16" s="50">
        <v>10</v>
      </c>
      <c r="U16" s="65">
        <v>10</v>
      </c>
      <c r="V16" s="65">
        <v>20</v>
      </c>
      <c r="W16" s="65">
        <v>22</v>
      </c>
      <c r="X16" s="65">
        <v>22</v>
      </c>
      <c r="Y16" s="65">
        <v>22</v>
      </c>
      <c r="Z16" s="65">
        <v>22</v>
      </c>
      <c r="AA16" s="65">
        <v>22</v>
      </c>
      <c r="AB16" s="65">
        <v>22</v>
      </c>
      <c r="AC16" s="65">
        <v>22</v>
      </c>
      <c r="AD16" s="65">
        <v>22</v>
      </c>
      <c r="AE16" s="65">
        <v>22</v>
      </c>
      <c r="AF16" s="65">
        <v>22</v>
      </c>
      <c r="AG16" s="61">
        <v>45</v>
      </c>
      <c r="AH16" s="56">
        <f t="shared" si="2"/>
        <v>22</v>
      </c>
      <c r="AI16" s="57">
        <f t="shared" si="3"/>
        <v>10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20</v>
      </c>
      <c r="C17" s="49">
        <v>20</v>
      </c>
      <c r="D17" s="49">
        <v>20</v>
      </c>
      <c r="E17" s="49">
        <v>20</v>
      </c>
      <c r="F17" s="49">
        <v>20</v>
      </c>
      <c r="G17" s="49">
        <v>20</v>
      </c>
      <c r="H17" s="49">
        <v>20</v>
      </c>
      <c r="I17" s="49">
        <v>20</v>
      </c>
      <c r="J17" s="49">
        <v>20</v>
      </c>
      <c r="K17" s="49">
        <v>20</v>
      </c>
      <c r="L17" s="49">
        <v>20</v>
      </c>
      <c r="M17" s="50">
        <v>20</v>
      </c>
      <c r="N17" s="50">
        <v>20</v>
      </c>
      <c r="O17" s="50">
        <v>20</v>
      </c>
      <c r="P17" s="50">
        <v>20</v>
      </c>
      <c r="Q17" s="50">
        <v>20</v>
      </c>
      <c r="R17" s="50">
        <v>20</v>
      </c>
      <c r="S17" s="50">
        <v>20</v>
      </c>
      <c r="T17" s="50">
        <v>15</v>
      </c>
      <c r="U17" s="62">
        <v>15</v>
      </c>
      <c r="V17" s="62">
        <v>15</v>
      </c>
      <c r="W17" s="62">
        <v>25</v>
      </c>
      <c r="X17" s="62">
        <v>25</v>
      </c>
      <c r="Y17" s="62">
        <v>25</v>
      </c>
      <c r="Z17" s="62">
        <v>25</v>
      </c>
      <c r="AA17" s="62">
        <v>25</v>
      </c>
      <c r="AB17" s="62">
        <v>25</v>
      </c>
      <c r="AC17" s="62">
        <v>25</v>
      </c>
      <c r="AD17" s="62">
        <v>25</v>
      </c>
      <c r="AE17" s="62">
        <v>25</v>
      </c>
      <c r="AF17" s="62">
        <v>25</v>
      </c>
      <c r="AG17" s="61">
        <v>42</v>
      </c>
      <c r="AH17" s="56">
        <f t="shared" si="2"/>
        <v>25</v>
      </c>
      <c r="AI17" s="57">
        <f t="shared" si="3"/>
        <v>15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49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25</v>
      </c>
      <c r="X18" s="50">
        <v>25</v>
      </c>
      <c r="Y18" s="50">
        <v>25</v>
      </c>
      <c r="Z18" s="50">
        <v>25</v>
      </c>
      <c r="AA18" s="50">
        <v>25</v>
      </c>
      <c r="AB18" s="50">
        <v>25</v>
      </c>
      <c r="AC18" s="50">
        <v>25</v>
      </c>
      <c r="AD18" s="50">
        <v>25</v>
      </c>
      <c r="AE18" s="50">
        <v>25</v>
      </c>
      <c r="AF18" s="50">
        <v>25</v>
      </c>
      <c r="AG18" s="61">
        <v>36</v>
      </c>
      <c r="AH18" s="56">
        <f t="shared" si="2"/>
        <v>25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23</v>
      </c>
      <c r="C19" s="49">
        <v>23</v>
      </c>
      <c r="D19" s="49">
        <v>23</v>
      </c>
      <c r="E19" s="49">
        <v>23</v>
      </c>
      <c r="F19" s="49">
        <v>23</v>
      </c>
      <c r="G19" s="49">
        <v>23</v>
      </c>
      <c r="H19" s="49">
        <v>23</v>
      </c>
      <c r="I19" s="49">
        <v>23</v>
      </c>
      <c r="J19" s="49">
        <v>23</v>
      </c>
      <c r="K19" s="49">
        <v>23</v>
      </c>
      <c r="L19" s="49">
        <v>23</v>
      </c>
      <c r="M19" s="50">
        <v>23.5</v>
      </c>
      <c r="N19" s="50">
        <v>23.5</v>
      </c>
      <c r="O19" s="50">
        <v>20</v>
      </c>
      <c r="P19" s="50">
        <v>20</v>
      </c>
      <c r="Q19" s="50">
        <v>20</v>
      </c>
      <c r="R19" s="50">
        <v>20</v>
      </c>
      <c r="S19" s="50">
        <v>20</v>
      </c>
      <c r="T19" s="50">
        <v>20.8</v>
      </c>
      <c r="U19" s="50">
        <v>20.7</v>
      </c>
      <c r="V19" s="50">
        <v>20.7</v>
      </c>
      <c r="W19" s="50">
        <v>20.8</v>
      </c>
      <c r="X19" s="50">
        <v>20.8</v>
      </c>
      <c r="Y19" s="50">
        <v>20.8</v>
      </c>
      <c r="Z19" s="50">
        <v>20.8</v>
      </c>
      <c r="AA19" s="50">
        <v>20.7</v>
      </c>
      <c r="AB19" s="50">
        <v>20.7</v>
      </c>
      <c r="AC19" s="50">
        <v>20.7</v>
      </c>
      <c r="AD19" s="50">
        <v>20.7</v>
      </c>
      <c r="AE19" s="50">
        <v>20.7</v>
      </c>
      <c r="AF19" s="50">
        <v>20.7</v>
      </c>
      <c r="AG19" s="61">
        <v>30</v>
      </c>
      <c r="AH19" s="56">
        <f t="shared" si="2"/>
        <v>23.5</v>
      </c>
      <c r="AI19" s="57">
        <f t="shared" si="3"/>
        <v>20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49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18</v>
      </c>
      <c r="C22" s="49">
        <v>18</v>
      </c>
      <c r="D22" s="49">
        <v>18</v>
      </c>
      <c r="E22" s="49">
        <v>18</v>
      </c>
      <c r="F22" s="49">
        <v>18</v>
      </c>
      <c r="G22" s="49">
        <v>18</v>
      </c>
      <c r="H22" s="49">
        <v>18</v>
      </c>
      <c r="I22" s="49">
        <v>18</v>
      </c>
      <c r="J22" s="49">
        <v>18</v>
      </c>
      <c r="K22" s="49">
        <v>20</v>
      </c>
      <c r="L22" s="49">
        <v>20</v>
      </c>
      <c r="M22" s="50">
        <v>20</v>
      </c>
      <c r="N22" s="50">
        <v>20</v>
      </c>
      <c r="O22" s="50">
        <v>20</v>
      </c>
      <c r="P22" s="50">
        <v>20</v>
      </c>
      <c r="Q22" s="50">
        <v>20</v>
      </c>
      <c r="R22" s="50">
        <v>20</v>
      </c>
      <c r="S22" s="50">
        <v>20</v>
      </c>
      <c r="T22" s="50">
        <v>20</v>
      </c>
      <c r="U22" s="50">
        <v>20</v>
      </c>
      <c r="V22" s="50">
        <v>20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18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16</v>
      </c>
      <c r="C23" s="49">
        <v>16</v>
      </c>
      <c r="D23" s="49">
        <v>16</v>
      </c>
      <c r="E23" s="49">
        <v>16</v>
      </c>
      <c r="F23" s="49">
        <v>16</v>
      </c>
      <c r="G23" s="49">
        <v>16</v>
      </c>
      <c r="H23" s="49">
        <v>16</v>
      </c>
      <c r="I23" s="49">
        <v>16</v>
      </c>
      <c r="J23" s="49">
        <v>16</v>
      </c>
      <c r="K23" s="49">
        <v>16</v>
      </c>
      <c r="L23" s="49">
        <v>16</v>
      </c>
      <c r="M23" s="50">
        <v>16</v>
      </c>
      <c r="N23" s="50">
        <v>16</v>
      </c>
      <c r="O23" s="50">
        <v>16</v>
      </c>
      <c r="P23" s="50">
        <v>16</v>
      </c>
      <c r="Q23" s="50">
        <v>16</v>
      </c>
      <c r="R23" s="50">
        <v>16</v>
      </c>
      <c r="S23" s="50">
        <v>16</v>
      </c>
      <c r="T23" s="50">
        <v>10</v>
      </c>
      <c r="U23" s="50">
        <v>16</v>
      </c>
      <c r="V23" s="50">
        <v>16</v>
      </c>
      <c r="W23" s="50">
        <v>22.1</v>
      </c>
      <c r="X23" s="50">
        <v>22.1</v>
      </c>
      <c r="Y23" s="50">
        <v>22.1</v>
      </c>
      <c r="Z23" s="50">
        <v>22.1</v>
      </c>
      <c r="AA23" s="50">
        <v>22.1</v>
      </c>
      <c r="AB23" s="50">
        <v>22.1</v>
      </c>
      <c r="AC23" s="50">
        <v>22.1</v>
      </c>
      <c r="AD23" s="50">
        <v>22.1</v>
      </c>
      <c r="AE23" s="50">
        <v>22.1</v>
      </c>
      <c r="AF23" s="50">
        <v>22.1</v>
      </c>
      <c r="AG23" s="61">
        <v>25</v>
      </c>
      <c r="AH23" s="56">
        <f t="shared" si="2"/>
        <v>22.1</v>
      </c>
      <c r="AI23" s="57">
        <f t="shared" si="3"/>
        <v>10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18</v>
      </c>
      <c r="C24" s="49">
        <v>18</v>
      </c>
      <c r="D24" s="49">
        <v>18</v>
      </c>
      <c r="E24" s="49">
        <v>18</v>
      </c>
      <c r="F24" s="49">
        <v>18</v>
      </c>
      <c r="G24" s="49">
        <v>18</v>
      </c>
      <c r="H24" s="49">
        <v>18</v>
      </c>
      <c r="I24" s="49">
        <v>18</v>
      </c>
      <c r="J24" s="49">
        <v>18</v>
      </c>
      <c r="K24" s="49">
        <v>18</v>
      </c>
      <c r="L24" s="49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18</v>
      </c>
      <c r="T24" s="50">
        <v>18</v>
      </c>
      <c r="U24" s="50">
        <v>18</v>
      </c>
      <c r="V24" s="50">
        <v>18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1">
        <v>25</v>
      </c>
      <c r="AH24" s="56">
        <f t="shared" si="2"/>
        <v>22</v>
      </c>
      <c r="AI24" s="57">
        <f t="shared" si="3"/>
        <v>18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18</v>
      </c>
      <c r="C25" s="49">
        <v>18</v>
      </c>
      <c r="D25" s="49">
        <v>18</v>
      </c>
      <c r="E25" s="49">
        <v>18</v>
      </c>
      <c r="F25" s="49">
        <v>18</v>
      </c>
      <c r="G25" s="49">
        <v>18</v>
      </c>
      <c r="H25" s="49">
        <v>18</v>
      </c>
      <c r="I25" s="49">
        <v>18</v>
      </c>
      <c r="J25" s="49">
        <v>18</v>
      </c>
      <c r="K25" s="49">
        <v>18</v>
      </c>
      <c r="L25" s="49">
        <v>18</v>
      </c>
      <c r="M25" s="50">
        <v>18</v>
      </c>
      <c r="N25" s="50">
        <v>18</v>
      </c>
      <c r="O25" s="50">
        <v>18</v>
      </c>
      <c r="P25" s="50">
        <v>18</v>
      </c>
      <c r="Q25" s="50">
        <v>18</v>
      </c>
      <c r="R25" s="50">
        <v>18</v>
      </c>
      <c r="S25" s="50">
        <v>18</v>
      </c>
      <c r="T25" s="50">
        <v>18</v>
      </c>
      <c r="U25" s="50">
        <v>18</v>
      </c>
      <c r="V25" s="50">
        <v>18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22</v>
      </c>
      <c r="AE25" s="50">
        <v>22</v>
      </c>
      <c r="AF25" s="50">
        <v>22</v>
      </c>
      <c r="AG25" s="61">
        <v>24.2</v>
      </c>
      <c r="AH25" s="56">
        <f t="shared" si="2"/>
        <v>22</v>
      </c>
      <c r="AI25" s="57">
        <f t="shared" si="3"/>
        <v>18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49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20</v>
      </c>
      <c r="X26" s="50">
        <v>20</v>
      </c>
      <c r="Y26" s="50">
        <v>20</v>
      </c>
      <c r="Z26" s="50">
        <v>20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20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49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14.9</v>
      </c>
      <c r="X27" s="50">
        <v>14.9</v>
      </c>
      <c r="Y27" s="50">
        <v>14.9</v>
      </c>
      <c r="Z27" s="50">
        <v>14.9</v>
      </c>
      <c r="AA27" s="50">
        <v>14.9</v>
      </c>
      <c r="AB27" s="50">
        <v>14.9</v>
      </c>
      <c r="AC27" s="50">
        <v>14.9</v>
      </c>
      <c r="AD27" s="50">
        <v>14.9</v>
      </c>
      <c r="AE27" s="50">
        <v>14.9</v>
      </c>
      <c r="AF27" s="50">
        <v>14.9</v>
      </c>
      <c r="AG27" s="61">
        <v>23.5</v>
      </c>
      <c r="AH27" s="56">
        <f t="shared" si="2"/>
        <v>14.9</v>
      </c>
      <c r="AI27" s="57">
        <f t="shared" si="3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4.5</v>
      </c>
      <c r="C28" s="49">
        <v>4.5</v>
      </c>
      <c r="D28" s="49">
        <v>4.5</v>
      </c>
      <c r="E28" s="49">
        <v>4.5</v>
      </c>
      <c r="F28" s="49">
        <v>4.5</v>
      </c>
      <c r="G28" s="49">
        <v>4.5</v>
      </c>
      <c r="H28" s="49">
        <v>4.5</v>
      </c>
      <c r="I28" s="49">
        <v>4.5</v>
      </c>
      <c r="J28" s="49">
        <v>4.5</v>
      </c>
      <c r="K28" s="49">
        <v>4.5</v>
      </c>
      <c r="L28" s="49">
        <v>4.5</v>
      </c>
      <c r="M28" s="50">
        <v>4.5</v>
      </c>
      <c r="N28" s="50">
        <v>4.5</v>
      </c>
      <c r="O28" s="50">
        <v>4.5</v>
      </c>
      <c r="P28" s="50">
        <v>4.5</v>
      </c>
      <c r="Q28" s="50">
        <v>4.5</v>
      </c>
      <c r="R28" s="50">
        <v>4.5</v>
      </c>
      <c r="S28" s="50">
        <v>4.5</v>
      </c>
      <c r="T28" s="50">
        <v>4.5</v>
      </c>
      <c r="U28" s="50">
        <v>4.5</v>
      </c>
      <c r="V28" s="50">
        <v>4.5</v>
      </c>
      <c r="W28" s="50">
        <v>10</v>
      </c>
      <c r="X28" s="50">
        <v>10</v>
      </c>
      <c r="Y28" s="50">
        <v>10</v>
      </c>
      <c r="Z28" s="50">
        <v>10</v>
      </c>
      <c r="AA28" s="50">
        <v>10</v>
      </c>
      <c r="AB28" s="50">
        <v>10</v>
      </c>
      <c r="AC28" s="50">
        <v>10</v>
      </c>
      <c r="AD28" s="50">
        <v>10</v>
      </c>
      <c r="AE28" s="50">
        <v>10</v>
      </c>
      <c r="AF28" s="50">
        <v>10</v>
      </c>
      <c r="AG28" s="61">
        <v>22.2</v>
      </c>
      <c r="AH28" s="56">
        <f t="shared" si="2"/>
        <v>10</v>
      </c>
      <c r="AI28" s="57">
        <f t="shared" si="3"/>
        <v>4.5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12.3</v>
      </c>
      <c r="X29" s="50">
        <v>12.3</v>
      </c>
      <c r="Y29" s="50">
        <v>12.3</v>
      </c>
      <c r="Z29" s="50">
        <v>12.3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12.3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12</v>
      </c>
      <c r="X31" s="50">
        <v>12</v>
      </c>
      <c r="Y31" s="50">
        <v>12</v>
      </c>
      <c r="Z31" s="50">
        <v>12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12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</v>
      </c>
      <c r="C33" s="63">
        <v>9</v>
      </c>
      <c r="D33" s="63">
        <v>9</v>
      </c>
      <c r="E33" s="63">
        <v>9</v>
      </c>
      <c r="F33" s="63">
        <v>9</v>
      </c>
      <c r="G33" s="63">
        <v>9</v>
      </c>
      <c r="H33" s="63">
        <v>9</v>
      </c>
      <c r="I33" s="63">
        <v>9</v>
      </c>
      <c r="J33" s="63">
        <v>9</v>
      </c>
      <c r="K33" s="63">
        <v>9</v>
      </c>
      <c r="L33" s="63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0</v>
      </c>
      <c r="X33" s="50">
        <v>0</v>
      </c>
      <c r="Y33" s="50">
        <v>0</v>
      </c>
      <c r="Z33" s="50">
        <v>0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250</v>
      </c>
      <c r="C35" s="63">
        <v>250</v>
      </c>
      <c r="D35" s="63">
        <v>250</v>
      </c>
      <c r="E35" s="63">
        <v>250</v>
      </c>
      <c r="F35" s="63">
        <v>250</v>
      </c>
      <c r="G35" s="63">
        <v>250</v>
      </c>
      <c r="H35" s="63">
        <v>250</v>
      </c>
      <c r="I35" s="63">
        <v>250</v>
      </c>
      <c r="J35" s="63">
        <v>250</v>
      </c>
      <c r="K35" s="63">
        <v>250</v>
      </c>
      <c r="L35" s="63">
        <v>250</v>
      </c>
      <c r="M35" s="63">
        <v>250</v>
      </c>
      <c r="N35" s="63">
        <v>250</v>
      </c>
      <c r="O35" s="63">
        <v>250</v>
      </c>
      <c r="P35" s="63">
        <v>250</v>
      </c>
      <c r="Q35" s="63">
        <v>250</v>
      </c>
      <c r="R35" s="63">
        <v>250</v>
      </c>
      <c r="S35" s="63">
        <v>250</v>
      </c>
      <c r="T35" s="63">
        <v>250</v>
      </c>
      <c r="U35" s="63">
        <v>250</v>
      </c>
      <c r="V35" s="63">
        <v>250</v>
      </c>
      <c r="W35" s="63">
        <v>250</v>
      </c>
      <c r="X35" s="63">
        <v>250</v>
      </c>
      <c r="Y35" s="63">
        <v>250</v>
      </c>
      <c r="Z35" s="63">
        <v>250</v>
      </c>
      <c r="AA35" s="63">
        <v>250</v>
      </c>
      <c r="AB35" s="63">
        <v>250</v>
      </c>
      <c r="AC35" s="63">
        <v>250</v>
      </c>
      <c r="AD35" s="63">
        <v>250</v>
      </c>
      <c r="AE35" s="63">
        <v>250</v>
      </c>
      <c r="AF35" s="63">
        <v>250</v>
      </c>
      <c r="AG35" s="69">
        <v>85</v>
      </c>
      <c r="AH35" s="56">
        <f t="shared" si="2"/>
        <v>250</v>
      </c>
      <c r="AI35" s="57">
        <f t="shared" si="3"/>
        <v>250</v>
      </c>
      <c r="AK35" s="58"/>
    </row>
    <row r="36" spans="1:88" ht="15.75" thickBot="1" x14ac:dyDescent="0.3">
      <c r="A36" s="71" t="s">
        <v>43</v>
      </c>
      <c r="B36" s="63">
        <v>116</v>
      </c>
      <c r="C36" s="63">
        <f>62.2+55.7</f>
        <v>117.9</v>
      </c>
      <c r="D36" s="63">
        <f>62.2+55.7</f>
        <v>117.9</v>
      </c>
      <c r="E36" s="63">
        <f>62.2+55.7</f>
        <v>117.9</v>
      </c>
      <c r="F36" s="63">
        <f>62.2+55.7</f>
        <v>117.9</v>
      </c>
      <c r="G36" s="63">
        <v>117.1</v>
      </c>
      <c r="H36" s="63">
        <v>117.1</v>
      </c>
      <c r="I36" s="63">
        <v>117.1</v>
      </c>
      <c r="J36" s="63">
        <v>117.1</v>
      </c>
      <c r="K36" s="63">
        <v>117.1</v>
      </c>
      <c r="L36" s="63">
        <v>129</v>
      </c>
      <c r="M36" s="72">
        <v>127</v>
      </c>
      <c r="N36" s="72">
        <v>127</v>
      </c>
      <c r="O36" s="72">
        <f>56.6+64.7</f>
        <v>121.30000000000001</v>
      </c>
      <c r="P36" s="72">
        <f>56.7+62.4</f>
        <v>119.1</v>
      </c>
      <c r="Q36" s="72">
        <v>118.3</v>
      </c>
      <c r="R36" s="72">
        <f>51.2+62.3</f>
        <v>113.5</v>
      </c>
      <c r="S36" s="72">
        <f>62.2+51.2</f>
        <v>113.4</v>
      </c>
      <c r="T36" s="72">
        <f>62.1+51.1</f>
        <v>113.2</v>
      </c>
      <c r="U36" s="72">
        <f>50.7+61</f>
        <v>111.7</v>
      </c>
      <c r="V36" s="72">
        <f>49.7+59</f>
        <v>108.7</v>
      </c>
      <c r="W36" s="72">
        <v>117</v>
      </c>
      <c r="X36" s="72">
        <f>58.3+58.5</f>
        <v>116.8</v>
      </c>
      <c r="Y36" s="72">
        <f>58.2+60.6</f>
        <v>118.80000000000001</v>
      </c>
      <c r="Z36" s="72">
        <f>58.8+60.8</f>
        <v>119.6</v>
      </c>
      <c r="AA36" s="72">
        <f>50+59.3</f>
        <v>109.3</v>
      </c>
      <c r="AB36" s="72">
        <f>44.1+59.6</f>
        <v>103.7</v>
      </c>
      <c r="AC36" s="72">
        <f>44+60</f>
        <v>104</v>
      </c>
      <c r="AD36" s="72">
        <f>61.8+61.8</f>
        <v>123.6</v>
      </c>
      <c r="AE36" s="72">
        <f>61.8+61.8</f>
        <v>123.6</v>
      </c>
      <c r="AF36" s="72">
        <f>61.9+61.7</f>
        <v>123.6</v>
      </c>
      <c r="AG36" s="69">
        <v>240</v>
      </c>
      <c r="AH36" s="56">
        <f t="shared" si="2"/>
        <v>129</v>
      </c>
      <c r="AI36" s="57">
        <f t="shared" si="3"/>
        <v>103.7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647.9</v>
      </c>
      <c r="C37" s="74">
        <f t="shared" si="4"/>
        <v>627.9</v>
      </c>
      <c r="D37" s="74">
        <f t="shared" si="4"/>
        <v>627.9</v>
      </c>
      <c r="E37" s="74">
        <f t="shared" si="4"/>
        <v>622.1</v>
      </c>
      <c r="F37" s="74">
        <f t="shared" si="4"/>
        <v>632.1</v>
      </c>
      <c r="G37" s="74">
        <f t="shared" si="4"/>
        <v>632.1</v>
      </c>
      <c r="H37" s="74">
        <f t="shared" si="4"/>
        <v>646.09999999999991</v>
      </c>
      <c r="I37" s="74">
        <f t="shared" si="4"/>
        <v>656.09999999999991</v>
      </c>
      <c r="J37" s="74">
        <f t="shared" si="4"/>
        <v>646.09999999999991</v>
      </c>
      <c r="K37" s="74">
        <f t="shared" si="4"/>
        <v>658.09999999999991</v>
      </c>
      <c r="L37" s="74">
        <f t="shared" si="4"/>
        <v>659.09999999999991</v>
      </c>
      <c r="M37" s="74">
        <f t="shared" si="4"/>
        <v>659.7</v>
      </c>
      <c r="N37" s="74">
        <f t="shared" si="4"/>
        <v>649.70000000000005</v>
      </c>
      <c r="O37" s="74">
        <f t="shared" si="4"/>
        <v>633</v>
      </c>
      <c r="P37" s="74">
        <f t="shared" si="4"/>
        <v>603</v>
      </c>
      <c r="Q37" s="74">
        <f t="shared" si="4"/>
        <v>599</v>
      </c>
      <c r="R37" s="74">
        <f t="shared" si="4"/>
        <v>595</v>
      </c>
      <c r="S37" s="74">
        <f t="shared" si="4"/>
        <v>595</v>
      </c>
      <c r="T37" s="74">
        <f t="shared" si="4"/>
        <v>606.70000000000005</v>
      </c>
      <c r="U37" s="74">
        <f t="shared" si="4"/>
        <v>622.79999999999995</v>
      </c>
      <c r="V37" s="74">
        <f t="shared" si="4"/>
        <v>685.8</v>
      </c>
      <c r="W37" s="74">
        <f t="shared" si="4"/>
        <v>874.69999999999993</v>
      </c>
      <c r="X37" s="74">
        <f t="shared" si="4"/>
        <v>874.69999999999993</v>
      </c>
      <c r="Y37" s="74">
        <f t="shared" si="4"/>
        <v>854.69999999999993</v>
      </c>
      <c r="Z37" s="74">
        <f t="shared" si="4"/>
        <v>834.69999999999993</v>
      </c>
      <c r="AA37" s="74">
        <f t="shared" si="4"/>
        <v>783</v>
      </c>
      <c r="AB37" s="74">
        <f t="shared" si="4"/>
        <v>763</v>
      </c>
      <c r="AC37" s="74">
        <f t="shared" si="4"/>
        <v>743</v>
      </c>
      <c r="AD37" s="74">
        <f t="shared" si="4"/>
        <v>703</v>
      </c>
      <c r="AE37" s="74">
        <f t="shared" si="4"/>
        <v>693.09999999999991</v>
      </c>
      <c r="AF37" s="74">
        <f t="shared" si="4"/>
        <v>683.09999999999991</v>
      </c>
      <c r="AG37" s="69">
        <f>SUM(AG11:AG36)</f>
        <v>1481.8299999999997</v>
      </c>
      <c r="AH37" s="56">
        <f t="shared" si="2"/>
        <v>874.69999999999993</v>
      </c>
      <c r="AI37" s="57">
        <f t="shared" si="3"/>
        <v>595</v>
      </c>
      <c r="AK37" s="58"/>
    </row>
    <row r="38" spans="1:88" x14ac:dyDescent="0.25">
      <c r="A38" s="59" t="s">
        <v>45</v>
      </c>
      <c r="B38" s="63">
        <v>48.5</v>
      </c>
      <c r="C38" s="63">
        <v>40.6</v>
      </c>
      <c r="D38" s="63">
        <v>40.6</v>
      </c>
      <c r="E38" s="63">
        <v>30.5</v>
      </c>
      <c r="F38" s="63">
        <v>45.4</v>
      </c>
      <c r="G38" s="63">
        <v>71</v>
      </c>
      <c r="H38" s="63">
        <v>80</v>
      </c>
      <c r="I38" s="63">
        <v>90.8</v>
      </c>
      <c r="J38" s="63">
        <v>90.6</v>
      </c>
      <c r="K38" s="63">
        <v>94</v>
      </c>
      <c r="L38" s="50">
        <v>85.9</v>
      </c>
      <c r="M38" s="50">
        <v>81.099999999999994</v>
      </c>
      <c r="N38" s="50">
        <v>72.099999999999994</v>
      </c>
      <c r="O38" s="50">
        <v>61.3</v>
      </c>
      <c r="P38" s="50">
        <v>32.700000000000003</v>
      </c>
      <c r="Q38" s="50">
        <v>32.4</v>
      </c>
      <c r="R38" s="50">
        <v>30.3</v>
      </c>
      <c r="S38" s="50">
        <v>34.9</v>
      </c>
      <c r="T38" s="50">
        <v>30.5</v>
      </c>
      <c r="U38" s="50">
        <v>48.6</v>
      </c>
      <c r="V38" s="50">
        <v>120</v>
      </c>
      <c r="W38" s="50">
        <v>124</v>
      </c>
      <c r="X38" s="50">
        <v>133.5</v>
      </c>
      <c r="Y38" s="50">
        <v>133.6</v>
      </c>
      <c r="Z38" s="50">
        <v>121</v>
      </c>
      <c r="AA38" s="50">
        <v>121.7</v>
      </c>
      <c r="AB38" s="50">
        <v>101.1</v>
      </c>
      <c r="AC38" s="50">
        <v>101.5</v>
      </c>
      <c r="AD38" s="50">
        <v>65.5</v>
      </c>
      <c r="AE38" s="49">
        <v>60</v>
      </c>
      <c r="AF38" s="49">
        <v>30.5</v>
      </c>
      <c r="AG38" s="64">
        <v>144</v>
      </c>
      <c r="AH38" s="56">
        <f t="shared" si="2"/>
        <v>133.6</v>
      </c>
      <c r="AI38" s="57">
        <f t="shared" si="3"/>
        <v>30.3</v>
      </c>
      <c r="AK38" s="58"/>
    </row>
    <row r="39" spans="1:88" x14ac:dyDescent="0.25">
      <c r="A39" s="68" t="s">
        <v>46</v>
      </c>
      <c r="B39" s="63">
        <v>25</v>
      </c>
      <c r="C39" s="63">
        <v>25</v>
      </c>
      <c r="D39" s="63">
        <v>25</v>
      </c>
      <c r="E39" s="63">
        <v>24</v>
      </c>
      <c r="F39" s="63">
        <v>35</v>
      </c>
      <c r="G39" s="63">
        <v>49</v>
      </c>
      <c r="H39" s="63">
        <v>54</v>
      </c>
      <c r="I39" s="63">
        <v>46</v>
      </c>
      <c r="J39" s="63">
        <v>46</v>
      </c>
      <c r="K39" s="63">
        <v>46</v>
      </c>
      <c r="L39" s="52">
        <v>29.8</v>
      </c>
      <c r="M39" s="52">
        <v>30.8</v>
      </c>
      <c r="N39" s="52">
        <v>26</v>
      </c>
      <c r="O39" s="52">
        <v>24</v>
      </c>
      <c r="P39" s="52">
        <v>20</v>
      </c>
      <c r="Q39" s="52">
        <v>20.100000000000001</v>
      </c>
      <c r="R39" s="52">
        <v>19.100000000000001</v>
      </c>
      <c r="S39" s="52">
        <v>20.5</v>
      </c>
      <c r="T39" s="52">
        <v>31.3</v>
      </c>
      <c r="U39" s="52">
        <v>20.100000000000001</v>
      </c>
      <c r="V39" s="52">
        <v>39.9</v>
      </c>
      <c r="W39" s="52">
        <v>49.8</v>
      </c>
      <c r="X39" s="52">
        <v>49.5</v>
      </c>
      <c r="Y39" s="52">
        <v>49.5</v>
      </c>
      <c r="Z39" s="52">
        <v>49.6</v>
      </c>
      <c r="AA39" s="52">
        <v>49.8</v>
      </c>
      <c r="AB39" s="52">
        <v>49.3</v>
      </c>
      <c r="AC39" s="52">
        <v>50.8</v>
      </c>
      <c r="AD39" s="52">
        <v>21.9</v>
      </c>
      <c r="AE39" s="63">
        <v>23.8</v>
      </c>
      <c r="AF39" s="63">
        <v>22</v>
      </c>
      <c r="AG39" s="69">
        <v>70</v>
      </c>
      <c r="AH39" s="56">
        <f t="shared" si="2"/>
        <v>54</v>
      </c>
      <c r="AI39" s="57">
        <f t="shared" si="3"/>
        <v>19.100000000000001</v>
      </c>
      <c r="AK39" s="58"/>
    </row>
    <row r="40" spans="1:88" x14ac:dyDescent="0.25">
      <c r="A40" s="68" t="s">
        <v>47</v>
      </c>
      <c r="B40" s="63">
        <v>17</v>
      </c>
      <c r="C40" s="63">
        <v>17</v>
      </c>
      <c r="D40" s="63">
        <v>17</v>
      </c>
      <c r="E40" s="63">
        <v>20.8</v>
      </c>
      <c r="F40" s="63">
        <v>30.5</v>
      </c>
      <c r="G40" s="63">
        <v>45.5</v>
      </c>
      <c r="H40" s="63">
        <v>46</v>
      </c>
      <c r="I40" s="63">
        <v>36</v>
      </c>
      <c r="J40" s="63">
        <v>45.6</v>
      </c>
      <c r="K40" s="63">
        <v>37.799999999999997</v>
      </c>
      <c r="L40" s="52">
        <v>42.9</v>
      </c>
      <c r="M40" s="52">
        <v>45.7</v>
      </c>
      <c r="N40" s="52">
        <v>22.4</v>
      </c>
      <c r="O40" s="52">
        <v>17.7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35</v>
      </c>
      <c r="V40" s="52">
        <v>64.3</v>
      </c>
      <c r="W40" s="52">
        <v>65.400000000000006</v>
      </c>
      <c r="X40" s="52">
        <v>66.099999999999994</v>
      </c>
      <c r="Y40" s="52">
        <v>65.8</v>
      </c>
      <c r="Z40" s="52">
        <v>57.6</v>
      </c>
      <c r="AA40" s="52">
        <v>56.4</v>
      </c>
      <c r="AB40" s="52">
        <v>52</v>
      </c>
      <c r="AC40" s="52">
        <v>56.7</v>
      </c>
      <c r="AD40" s="52">
        <v>41.8</v>
      </c>
      <c r="AE40" s="63">
        <v>16.600000000000001</v>
      </c>
      <c r="AF40" s="63">
        <v>16.600000000000001</v>
      </c>
      <c r="AG40" s="69">
        <v>69</v>
      </c>
      <c r="AH40" s="56">
        <f t="shared" si="2"/>
        <v>66.099999999999994</v>
      </c>
      <c r="AI40" s="57">
        <f t="shared" si="3"/>
        <v>0</v>
      </c>
      <c r="AK40" s="58"/>
    </row>
    <row r="41" spans="1:88" x14ac:dyDescent="0.25">
      <c r="A41" s="68" t="s">
        <v>48</v>
      </c>
      <c r="B41" s="63">
        <v>11</v>
      </c>
      <c r="C41" s="63">
        <v>11</v>
      </c>
      <c r="D41" s="63">
        <v>20</v>
      </c>
      <c r="E41" s="63">
        <v>20</v>
      </c>
      <c r="F41" s="63">
        <v>30</v>
      </c>
      <c r="G41" s="63">
        <v>30</v>
      </c>
      <c r="H41" s="63">
        <v>50.7</v>
      </c>
      <c r="I41" s="63">
        <v>42</v>
      </c>
      <c r="J41" s="63">
        <v>52</v>
      </c>
      <c r="K41" s="63">
        <v>42</v>
      </c>
      <c r="L41" s="52">
        <v>30.2</v>
      </c>
      <c r="M41" s="52">
        <v>30.2</v>
      </c>
      <c r="N41" s="52">
        <v>21.7</v>
      </c>
      <c r="O41" s="52">
        <v>21.7</v>
      </c>
      <c r="P41" s="52">
        <v>10.3</v>
      </c>
      <c r="Q41" s="52">
        <v>10.3</v>
      </c>
      <c r="R41" s="52">
        <v>10.3</v>
      </c>
      <c r="S41" s="52">
        <v>21.7</v>
      </c>
      <c r="T41" s="52">
        <v>10.1</v>
      </c>
      <c r="U41" s="52">
        <v>21.4</v>
      </c>
      <c r="V41" s="52">
        <v>43.1</v>
      </c>
      <c r="W41" s="52">
        <v>57</v>
      </c>
      <c r="X41" s="52">
        <v>62</v>
      </c>
      <c r="Y41" s="52">
        <v>51.4</v>
      </c>
      <c r="Z41" s="52">
        <v>39.6</v>
      </c>
      <c r="AA41" s="52">
        <v>60.7</v>
      </c>
      <c r="AB41" s="52">
        <v>40</v>
      </c>
      <c r="AC41" s="52">
        <v>39.6</v>
      </c>
      <c r="AD41" s="52">
        <v>24.2</v>
      </c>
      <c r="AE41" s="63">
        <v>20</v>
      </c>
      <c r="AF41" s="63">
        <v>9.6</v>
      </c>
      <c r="AG41" s="69">
        <v>60</v>
      </c>
      <c r="AH41" s="56">
        <f t="shared" si="2"/>
        <v>62</v>
      </c>
      <c r="AI41" s="57">
        <f t="shared" si="3"/>
        <v>9.6</v>
      </c>
      <c r="AK41" s="58"/>
    </row>
    <row r="42" spans="1:88" x14ac:dyDescent="0.25">
      <c r="A42" s="68" t="s">
        <v>49</v>
      </c>
      <c r="B42" s="63">
        <v>14</v>
      </c>
      <c r="C42" s="63">
        <v>14</v>
      </c>
      <c r="D42" s="63">
        <v>14</v>
      </c>
      <c r="E42" s="63">
        <v>14</v>
      </c>
      <c r="F42" s="63">
        <v>14</v>
      </c>
      <c r="G42" s="63">
        <v>14</v>
      </c>
      <c r="H42" s="63">
        <v>14</v>
      </c>
      <c r="I42" s="63">
        <v>14</v>
      </c>
      <c r="J42" s="63">
        <v>14</v>
      </c>
      <c r="K42" s="63">
        <v>14</v>
      </c>
      <c r="L42" s="50">
        <v>14</v>
      </c>
      <c r="M42" s="50">
        <v>14</v>
      </c>
      <c r="N42" s="50">
        <v>14</v>
      </c>
      <c r="O42" s="50">
        <v>14</v>
      </c>
      <c r="P42" s="50">
        <v>14</v>
      </c>
      <c r="Q42" s="50">
        <v>14.3</v>
      </c>
      <c r="R42" s="50">
        <v>14.4</v>
      </c>
      <c r="S42" s="50">
        <v>14.4</v>
      </c>
      <c r="T42" s="50">
        <v>0</v>
      </c>
      <c r="U42" s="50">
        <v>0</v>
      </c>
      <c r="V42" s="50">
        <v>23.9</v>
      </c>
      <c r="W42" s="50">
        <v>24.5</v>
      </c>
      <c r="X42" s="50">
        <v>24.5</v>
      </c>
      <c r="Y42" s="50">
        <v>24.5</v>
      </c>
      <c r="Z42" s="50">
        <v>24.5</v>
      </c>
      <c r="AA42" s="52">
        <v>24.9</v>
      </c>
      <c r="AB42" s="52">
        <v>24.9</v>
      </c>
      <c r="AC42" s="52">
        <v>25</v>
      </c>
      <c r="AD42" s="52">
        <v>15.1</v>
      </c>
      <c r="AE42" s="63">
        <v>15.2</v>
      </c>
      <c r="AF42" s="63">
        <v>15.1</v>
      </c>
      <c r="AG42" s="69">
        <v>30</v>
      </c>
      <c r="AH42" s="56">
        <f t="shared" si="2"/>
        <v>25</v>
      </c>
      <c r="AI42" s="57">
        <f t="shared" si="3"/>
        <v>0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75">
        <v>12</v>
      </c>
      <c r="C44" s="75">
        <v>12</v>
      </c>
      <c r="D44" s="75">
        <v>12</v>
      </c>
      <c r="E44" s="75">
        <v>12</v>
      </c>
      <c r="F44" s="75">
        <v>12</v>
      </c>
      <c r="G44" s="75">
        <v>17</v>
      </c>
      <c r="H44" s="75">
        <v>17</v>
      </c>
      <c r="I44" s="75">
        <v>17</v>
      </c>
      <c r="J44" s="75">
        <v>17</v>
      </c>
      <c r="K44" s="75">
        <v>17</v>
      </c>
      <c r="L44" s="75">
        <v>17</v>
      </c>
      <c r="M44" s="50">
        <v>17</v>
      </c>
      <c r="N44" s="50">
        <v>17</v>
      </c>
      <c r="O44" s="50">
        <v>12</v>
      </c>
      <c r="P44" s="50">
        <v>12</v>
      </c>
      <c r="Q44" s="50">
        <v>12</v>
      </c>
      <c r="R44" s="50">
        <v>12</v>
      </c>
      <c r="S44" s="50">
        <v>12</v>
      </c>
      <c r="T44" s="50">
        <v>12</v>
      </c>
      <c r="U44" s="50">
        <v>12</v>
      </c>
      <c r="V44" s="50">
        <v>12</v>
      </c>
      <c r="W44" s="50">
        <v>18.2</v>
      </c>
      <c r="X44" s="50">
        <v>18.2</v>
      </c>
      <c r="Y44" s="50">
        <v>18.2</v>
      </c>
      <c r="Z44" s="50">
        <v>18.2</v>
      </c>
      <c r="AA44" s="50">
        <v>18</v>
      </c>
      <c r="AB44" s="50">
        <v>18</v>
      </c>
      <c r="AC44" s="50">
        <v>18</v>
      </c>
      <c r="AD44" s="50">
        <v>18</v>
      </c>
      <c r="AE44" s="63">
        <v>18</v>
      </c>
      <c r="AF44" s="63">
        <v>18</v>
      </c>
      <c r="AG44" s="69">
        <v>24</v>
      </c>
      <c r="AH44" s="56">
        <f t="shared" si="2"/>
        <v>18.2</v>
      </c>
      <c r="AI44" s="57">
        <f t="shared" si="3"/>
        <v>12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3.1</v>
      </c>
      <c r="X45" s="50">
        <v>3.1</v>
      </c>
      <c r="Y45" s="50">
        <v>3.1</v>
      </c>
      <c r="Z45" s="50">
        <v>3.1</v>
      </c>
      <c r="AA45" s="50">
        <v>0</v>
      </c>
      <c r="AB45" s="50">
        <v>0</v>
      </c>
      <c r="AC45" s="50">
        <v>0</v>
      </c>
      <c r="AD45" s="50">
        <v>0</v>
      </c>
      <c r="AE45" s="63">
        <v>0</v>
      </c>
      <c r="AF45" s="63">
        <v>0</v>
      </c>
      <c r="AG45" s="69">
        <v>15</v>
      </c>
      <c r="AH45" s="56">
        <f t="shared" si="2"/>
        <v>3.1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10</v>
      </c>
      <c r="C46" s="63">
        <v>10</v>
      </c>
      <c r="D46" s="63">
        <v>10</v>
      </c>
      <c r="E46" s="63">
        <v>10</v>
      </c>
      <c r="F46" s="63">
        <v>10</v>
      </c>
      <c r="G46" s="63">
        <v>12</v>
      </c>
      <c r="H46" s="63">
        <v>12</v>
      </c>
      <c r="I46" s="63">
        <v>12</v>
      </c>
      <c r="J46" s="63">
        <v>12</v>
      </c>
      <c r="K46" s="63">
        <v>12</v>
      </c>
      <c r="L46" s="63">
        <v>12</v>
      </c>
      <c r="M46" s="63">
        <v>12</v>
      </c>
      <c r="N46" s="50">
        <v>12</v>
      </c>
      <c r="O46" s="50">
        <v>10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10</v>
      </c>
      <c r="V46" s="50">
        <v>10</v>
      </c>
      <c r="W46" s="50">
        <v>12</v>
      </c>
      <c r="X46" s="50">
        <v>12</v>
      </c>
      <c r="Y46" s="50">
        <v>12</v>
      </c>
      <c r="Z46" s="50">
        <v>12</v>
      </c>
      <c r="AA46" s="50">
        <v>12</v>
      </c>
      <c r="AB46" s="50">
        <v>12</v>
      </c>
      <c r="AC46" s="50">
        <v>12</v>
      </c>
      <c r="AD46" s="50">
        <v>12</v>
      </c>
      <c r="AE46" s="63">
        <v>12</v>
      </c>
      <c r="AF46" s="63">
        <v>12</v>
      </c>
      <c r="AG46" s="69">
        <v>14.1</v>
      </c>
      <c r="AH46" s="56">
        <f t="shared" si="2"/>
        <v>12</v>
      </c>
      <c r="AI46" s="57">
        <f t="shared" si="3"/>
        <v>10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75">
        <v>14</v>
      </c>
      <c r="C47" s="75">
        <v>14</v>
      </c>
      <c r="D47" s="75">
        <v>14</v>
      </c>
      <c r="E47" s="75">
        <v>14</v>
      </c>
      <c r="F47" s="75">
        <v>14</v>
      </c>
      <c r="G47" s="75">
        <v>14</v>
      </c>
      <c r="H47" s="75">
        <v>14</v>
      </c>
      <c r="I47" s="75">
        <v>14</v>
      </c>
      <c r="J47" s="75">
        <v>14</v>
      </c>
      <c r="K47" s="75">
        <v>14</v>
      </c>
      <c r="L47" s="75">
        <v>14</v>
      </c>
      <c r="M47" s="75">
        <v>14</v>
      </c>
      <c r="N47" s="50">
        <v>14</v>
      </c>
      <c r="O47" s="50">
        <v>10</v>
      </c>
      <c r="P47" s="50">
        <v>10</v>
      </c>
      <c r="Q47" s="50">
        <v>10</v>
      </c>
      <c r="R47" s="50">
        <v>7</v>
      </c>
      <c r="S47" s="50">
        <v>7</v>
      </c>
      <c r="T47" s="50">
        <v>7</v>
      </c>
      <c r="U47" s="50">
        <v>7</v>
      </c>
      <c r="V47" s="50">
        <v>14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63">
        <v>14</v>
      </c>
      <c r="AF47" s="63">
        <v>14</v>
      </c>
      <c r="AG47" s="69">
        <v>14</v>
      </c>
      <c r="AH47" s="56">
        <f t="shared" si="2"/>
        <v>14</v>
      </c>
      <c r="AI47" s="57">
        <f t="shared" si="3"/>
        <v>7</v>
      </c>
      <c r="AK47" s="58"/>
    </row>
    <row r="48" spans="1:88" x14ac:dyDescent="0.25">
      <c r="A48" s="68" t="s">
        <v>55</v>
      </c>
      <c r="B48" s="63">
        <v>9.6</v>
      </c>
      <c r="C48" s="63">
        <v>9.6</v>
      </c>
      <c r="D48" s="63">
        <v>9.6</v>
      </c>
      <c r="E48" s="63">
        <v>9.6</v>
      </c>
      <c r="F48" s="63">
        <v>9.6</v>
      </c>
      <c r="G48" s="63">
        <v>9.6</v>
      </c>
      <c r="H48" s="63">
        <v>9.6</v>
      </c>
      <c r="I48" s="63">
        <v>9.6</v>
      </c>
      <c r="J48" s="63">
        <v>9.6</v>
      </c>
      <c r="K48" s="63">
        <v>9.6</v>
      </c>
      <c r="L48" s="63">
        <v>9.6</v>
      </c>
      <c r="M48" s="63">
        <v>9.6</v>
      </c>
      <c r="N48" s="50">
        <v>9.6</v>
      </c>
      <c r="O48" s="50">
        <v>9.6</v>
      </c>
      <c r="P48" s="50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0">
        <v>9.6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63">
        <v>9.6</v>
      </c>
      <c r="AF48" s="63">
        <v>7</v>
      </c>
      <c r="AG48" s="69">
        <v>10.050000000000001</v>
      </c>
      <c r="AH48" s="56">
        <f t="shared" si="2"/>
        <v>9.6</v>
      </c>
      <c r="AI48" s="57">
        <f t="shared" si="3"/>
        <v>7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63">
        <v>6.2</v>
      </c>
      <c r="M49" s="63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63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170.83999999999997</v>
      </c>
      <c r="C51" s="74">
        <f t="shared" si="6"/>
        <v>162.93999999999997</v>
      </c>
      <c r="D51" s="74">
        <f t="shared" si="6"/>
        <v>171.93999999999997</v>
      </c>
      <c r="E51" s="74">
        <f t="shared" si="6"/>
        <v>164.64</v>
      </c>
      <c r="F51" s="74">
        <f t="shared" si="6"/>
        <v>210.23999999999998</v>
      </c>
      <c r="G51" s="74">
        <f t="shared" si="6"/>
        <v>271.84000000000003</v>
      </c>
      <c r="H51" s="74">
        <f t="shared" si="6"/>
        <v>307.04000000000002</v>
      </c>
      <c r="I51" s="74">
        <f t="shared" si="6"/>
        <v>291.14000000000004</v>
      </c>
      <c r="J51" s="74">
        <f t="shared" si="6"/>
        <v>310.54000000000002</v>
      </c>
      <c r="K51" s="74">
        <f t="shared" si="6"/>
        <v>296.14000000000004</v>
      </c>
      <c r="L51" s="74">
        <f t="shared" si="6"/>
        <v>265.14</v>
      </c>
      <c r="M51" s="74">
        <f t="shared" si="6"/>
        <v>264.14</v>
      </c>
      <c r="N51" s="74">
        <f t="shared" si="6"/>
        <v>218.53999999999996</v>
      </c>
      <c r="O51" s="74">
        <f t="shared" si="6"/>
        <v>190.03999999999996</v>
      </c>
      <c r="P51" s="74">
        <f t="shared" si="6"/>
        <v>128.34</v>
      </c>
      <c r="Q51" s="74">
        <f t="shared" si="6"/>
        <v>128.44</v>
      </c>
      <c r="R51" s="74">
        <f t="shared" si="6"/>
        <v>122.44000000000001</v>
      </c>
      <c r="S51" s="74">
        <f t="shared" si="6"/>
        <v>139.83999999999997</v>
      </c>
      <c r="T51" s="74">
        <f t="shared" si="6"/>
        <v>120.24</v>
      </c>
      <c r="U51" s="74">
        <f t="shared" si="6"/>
        <v>173.43999999999997</v>
      </c>
      <c r="V51" s="74">
        <f t="shared" si="6"/>
        <v>346.54</v>
      </c>
      <c r="W51" s="74">
        <f t="shared" si="6"/>
        <v>387.34000000000009</v>
      </c>
      <c r="X51" s="74">
        <f t="shared" si="6"/>
        <v>402.24000000000007</v>
      </c>
      <c r="Y51" s="74">
        <f t="shared" si="6"/>
        <v>391.44</v>
      </c>
      <c r="Z51" s="74">
        <f t="shared" si="6"/>
        <v>358.94000000000005</v>
      </c>
      <c r="AA51" s="74">
        <f t="shared" si="6"/>
        <v>376.84000000000003</v>
      </c>
      <c r="AB51" s="74">
        <f t="shared" si="6"/>
        <v>330.64</v>
      </c>
      <c r="AC51" s="74">
        <f t="shared" si="6"/>
        <v>336.94000000000005</v>
      </c>
      <c r="AD51" s="74">
        <f t="shared" si="6"/>
        <v>231.83999999999995</v>
      </c>
      <c r="AE51" s="74">
        <f t="shared" si="6"/>
        <v>198.93999999999997</v>
      </c>
      <c r="AF51" s="74">
        <f t="shared" si="6"/>
        <v>154.53999999999996</v>
      </c>
      <c r="AG51" s="79">
        <f>SUM(AG38:AG50)</f>
        <v>489.91</v>
      </c>
      <c r="AH51" s="56">
        <f t="shared" si="2"/>
        <v>402.24000000000007</v>
      </c>
      <c r="AI51" s="57">
        <f t="shared" si="3"/>
        <v>120.24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0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80">
        <v>0</v>
      </c>
      <c r="O53" s="80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0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81">
        <v>0</v>
      </c>
      <c r="O54" s="81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0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 t="shared" si="7"/>
        <v>0</v>
      </c>
      <c r="X55" s="74">
        <f t="shared" si="7"/>
        <v>0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-74</v>
      </c>
      <c r="C58" s="52">
        <v>-42</v>
      </c>
      <c r="D58" s="52">
        <v>-49</v>
      </c>
      <c r="E58" s="52">
        <v>-51</v>
      </c>
      <c r="F58" s="52">
        <v>-48</v>
      </c>
      <c r="G58" s="52">
        <v>-48.5</v>
      </c>
      <c r="H58" s="52">
        <v>-47</v>
      </c>
      <c r="I58" s="50">
        <v>-53</v>
      </c>
      <c r="J58" s="50">
        <v>-49.5</v>
      </c>
      <c r="K58" s="50">
        <v>-52</v>
      </c>
      <c r="L58" s="50">
        <v>-51.3</v>
      </c>
      <c r="M58" s="50">
        <v>-68</v>
      </c>
      <c r="N58" s="52">
        <v>-69.5</v>
      </c>
      <c r="O58" s="52">
        <v>-79</v>
      </c>
      <c r="P58" s="52">
        <v>-60</v>
      </c>
      <c r="Q58" s="52">
        <v>-65.900000000000006</v>
      </c>
      <c r="R58" s="52">
        <v>-46.1</v>
      </c>
      <c r="S58" s="52">
        <v>-46.9</v>
      </c>
      <c r="T58" s="52">
        <v>-76</v>
      </c>
      <c r="U58" s="52">
        <v>-47.7</v>
      </c>
      <c r="V58" s="52">
        <v>-35</v>
      </c>
      <c r="W58" s="85">
        <v>-55</v>
      </c>
      <c r="X58" s="85">
        <v>-50.5</v>
      </c>
      <c r="Y58" s="85">
        <v>-51.2</v>
      </c>
      <c r="Z58" s="85">
        <v>-62.4</v>
      </c>
      <c r="AA58" s="52">
        <v>-63.2</v>
      </c>
      <c r="AB58" s="52">
        <v>-41</v>
      </c>
      <c r="AC58" s="52">
        <v>-48.5</v>
      </c>
      <c r="AD58" s="52">
        <v>-45.8</v>
      </c>
      <c r="AE58" s="52">
        <v>-50</v>
      </c>
      <c r="AF58" s="52">
        <v>-54</v>
      </c>
      <c r="AG58" s="86"/>
      <c r="AH58" s="56">
        <f t="shared" si="2"/>
        <v>-35</v>
      </c>
      <c r="AI58" s="57">
        <f t="shared" si="3"/>
        <v>-79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-74</v>
      </c>
      <c r="C67" s="74">
        <f t="shared" ref="C67:AF67" si="8">SUM(C56:C66)</f>
        <v>-42</v>
      </c>
      <c r="D67" s="74">
        <f t="shared" si="8"/>
        <v>-49</v>
      </c>
      <c r="E67" s="74">
        <f t="shared" si="8"/>
        <v>-51</v>
      </c>
      <c r="F67" s="74">
        <f t="shared" si="8"/>
        <v>-48</v>
      </c>
      <c r="G67" s="74">
        <f t="shared" si="8"/>
        <v>-48.5</v>
      </c>
      <c r="H67" s="74">
        <f t="shared" si="8"/>
        <v>-47</v>
      </c>
      <c r="I67" s="74">
        <f t="shared" si="8"/>
        <v>-53</v>
      </c>
      <c r="J67" s="74">
        <f t="shared" si="8"/>
        <v>-49.5</v>
      </c>
      <c r="K67" s="74">
        <f t="shared" si="8"/>
        <v>-52</v>
      </c>
      <c r="L67" s="74">
        <f t="shared" si="8"/>
        <v>-51.3</v>
      </c>
      <c r="M67" s="74">
        <f t="shared" si="8"/>
        <v>-68</v>
      </c>
      <c r="N67" s="74">
        <f t="shared" si="8"/>
        <v>-69.5</v>
      </c>
      <c r="O67" s="74">
        <f t="shared" si="8"/>
        <v>-79</v>
      </c>
      <c r="P67" s="74">
        <f t="shared" si="8"/>
        <v>-60</v>
      </c>
      <c r="Q67" s="74">
        <f t="shared" si="8"/>
        <v>-65.900000000000006</v>
      </c>
      <c r="R67" s="74">
        <f t="shared" si="8"/>
        <v>-46.1</v>
      </c>
      <c r="S67" s="74">
        <f t="shared" si="8"/>
        <v>-46.9</v>
      </c>
      <c r="T67" s="74">
        <f t="shared" si="8"/>
        <v>-76</v>
      </c>
      <c r="U67" s="74">
        <f t="shared" si="8"/>
        <v>-47.7</v>
      </c>
      <c r="V67" s="74">
        <f t="shared" si="8"/>
        <v>-35</v>
      </c>
      <c r="W67" s="74">
        <f t="shared" si="8"/>
        <v>-55</v>
      </c>
      <c r="X67" s="74">
        <f t="shared" si="8"/>
        <v>-50.5</v>
      </c>
      <c r="Y67" s="74">
        <f t="shared" si="8"/>
        <v>-51.2</v>
      </c>
      <c r="Z67" s="74">
        <f t="shared" si="8"/>
        <v>-62.4</v>
      </c>
      <c r="AA67" s="74">
        <f t="shared" si="8"/>
        <v>-63.2</v>
      </c>
      <c r="AB67" s="74">
        <f t="shared" si="8"/>
        <v>-41</v>
      </c>
      <c r="AC67" s="74">
        <f t="shared" si="8"/>
        <v>-48.5</v>
      </c>
      <c r="AD67" s="74">
        <f t="shared" si="8"/>
        <v>-45.8</v>
      </c>
      <c r="AE67" s="74">
        <f t="shared" si="8"/>
        <v>-50</v>
      </c>
      <c r="AF67" s="74">
        <f t="shared" si="8"/>
        <v>-54</v>
      </c>
      <c r="AG67" s="79">
        <f>SUM(AG56:AG66)</f>
        <v>0</v>
      </c>
      <c r="AH67" s="56">
        <f t="shared" si="2"/>
        <v>-35</v>
      </c>
      <c r="AI67" s="57">
        <f t="shared" si="3"/>
        <v>-79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744.74</v>
      </c>
      <c r="C72" s="90">
        <f t="shared" ref="C72:AG72" si="10">C67+C55+C51+C37+C71</f>
        <v>748.83999999999992</v>
      </c>
      <c r="D72" s="90">
        <f t="shared" si="10"/>
        <v>750.83999999999992</v>
      </c>
      <c r="E72" s="90">
        <f t="shared" si="10"/>
        <v>735.74</v>
      </c>
      <c r="F72" s="90">
        <f t="shared" si="10"/>
        <v>794.34</v>
      </c>
      <c r="G72" s="90">
        <f t="shared" si="10"/>
        <v>855.44</v>
      </c>
      <c r="H72" s="90">
        <f t="shared" si="10"/>
        <v>906.13999999999987</v>
      </c>
      <c r="I72" s="90">
        <f t="shared" si="10"/>
        <v>894.24</v>
      </c>
      <c r="J72" s="90">
        <f t="shared" si="10"/>
        <v>907.13999999999987</v>
      </c>
      <c r="K72" s="90">
        <f t="shared" si="10"/>
        <v>902.24</v>
      </c>
      <c r="L72" s="90">
        <f t="shared" si="10"/>
        <v>872.93999999999983</v>
      </c>
      <c r="M72" s="90">
        <f t="shared" si="10"/>
        <v>855.84</v>
      </c>
      <c r="N72" s="90">
        <f t="shared" si="10"/>
        <v>798.74</v>
      </c>
      <c r="O72" s="90">
        <f t="shared" si="10"/>
        <v>744.04</v>
      </c>
      <c r="P72" s="90">
        <f t="shared" si="10"/>
        <v>671.34</v>
      </c>
      <c r="Q72" s="90">
        <f t="shared" si="10"/>
        <v>661.54</v>
      </c>
      <c r="R72" s="90">
        <f t="shared" si="10"/>
        <v>671.34</v>
      </c>
      <c r="S72" s="90">
        <f t="shared" si="10"/>
        <v>687.93999999999994</v>
      </c>
      <c r="T72" s="90">
        <f t="shared" si="10"/>
        <v>650.94000000000005</v>
      </c>
      <c r="U72" s="90">
        <f t="shared" si="10"/>
        <v>748.54</v>
      </c>
      <c r="V72" s="90">
        <f t="shared" si="10"/>
        <v>997.33999999999992</v>
      </c>
      <c r="W72" s="90">
        <f t="shared" si="10"/>
        <v>1207.04</v>
      </c>
      <c r="X72" s="90">
        <f t="shared" si="10"/>
        <v>1226.44</v>
      </c>
      <c r="Y72" s="90">
        <f t="shared" si="10"/>
        <v>1194.94</v>
      </c>
      <c r="Z72" s="90">
        <f t="shared" si="10"/>
        <v>1131.24</v>
      </c>
      <c r="AA72" s="90">
        <f t="shared" si="10"/>
        <v>1096.6400000000001</v>
      </c>
      <c r="AB72" s="90">
        <f t="shared" si="10"/>
        <v>1052.6399999999999</v>
      </c>
      <c r="AC72" s="90">
        <f t="shared" si="10"/>
        <v>1031.44</v>
      </c>
      <c r="AD72" s="90">
        <f t="shared" si="10"/>
        <v>889.04</v>
      </c>
      <c r="AE72" s="90">
        <f t="shared" si="10"/>
        <v>842.03999999999985</v>
      </c>
      <c r="AF72" s="90">
        <f t="shared" si="10"/>
        <v>783.63999999999987</v>
      </c>
      <c r="AG72" s="90">
        <f t="shared" si="10"/>
        <v>2133.14</v>
      </c>
      <c r="AH72" s="56">
        <f t="shared" si="2"/>
        <v>1226.44</v>
      </c>
      <c r="AI72" s="57">
        <f t="shared" si="3"/>
        <v>650.94000000000005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744.74</v>
      </c>
      <c r="C74" s="90">
        <f t="shared" ref="C74:AF74" si="11">C71+C67+C55+C51+C37+C73</f>
        <v>748.83999999999992</v>
      </c>
      <c r="D74" s="90">
        <f t="shared" si="11"/>
        <v>750.83999999999992</v>
      </c>
      <c r="E74" s="90">
        <f t="shared" si="11"/>
        <v>735.74</v>
      </c>
      <c r="F74" s="90">
        <f t="shared" si="11"/>
        <v>794.34</v>
      </c>
      <c r="G74" s="90">
        <f t="shared" si="11"/>
        <v>855.44</v>
      </c>
      <c r="H74" s="90">
        <f t="shared" si="11"/>
        <v>906.13999999999987</v>
      </c>
      <c r="I74" s="90">
        <f t="shared" si="11"/>
        <v>894.24</v>
      </c>
      <c r="J74" s="90">
        <f t="shared" si="11"/>
        <v>907.13999999999987</v>
      </c>
      <c r="K74" s="90">
        <f t="shared" si="11"/>
        <v>902.24</v>
      </c>
      <c r="L74" s="90">
        <f t="shared" si="11"/>
        <v>872.93999999999983</v>
      </c>
      <c r="M74" s="90">
        <f t="shared" si="11"/>
        <v>855.84</v>
      </c>
      <c r="N74" s="90">
        <f t="shared" si="11"/>
        <v>798.74</v>
      </c>
      <c r="O74" s="90">
        <f t="shared" si="11"/>
        <v>744.04</v>
      </c>
      <c r="P74" s="90">
        <f t="shared" si="11"/>
        <v>671.34</v>
      </c>
      <c r="Q74" s="90">
        <f t="shared" si="11"/>
        <v>661.54</v>
      </c>
      <c r="R74" s="90">
        <f t="shared" si="11"/>
        <v>671.34</v>
      </c>
      <c r="S74" s="90">
        <f t="shared" si="11"/>
        <v>687.93999999999994</v>
      </c>
      <c r="T74" s="90">
        <f t="shared" si="11"/>
        <v>650.94000000000005</v>
      </c>
      <c r="U74" s="90">
        <f t="shared" si="11"/>
        <v>748.54</v>
      </c>
      <c r="V74" s="90">
        <f t="shared" si="11"/>
        <v>997.33999999999992</v>
      </c>
      <c r="W74" s="90">
        <f t="shared" si="11"/>
        <v>1207.04</v>
      </c>
      <c r="X74" s="90">
        <f t="shared" si="11"/>
        <v>1226.44</v>
      </c>
      <c r="Y74" s="90">
        <f t="shared" si="11"/>
        <v>1194.94</v>
      </c>
      <c r="Z74" s="90">
        <f t="shared" si="11"/>
        <v>1131.24</v>
      </c>
      <c r="AA74" s="90">
        <f t="shared" si="11"/>
        <v>1096.6400000000001</v>
      </c>
      <c r="AB74" s="90">
        <f t="shared" si="11"/>
        <v>1052.6399999999999</v>
      </c>
      <c r="AC74" s="90">
        <f t="shared" si="11"/>
        <v>1031.44</v>
      </c>
      <c r="AD74" s="90">
        <f t="shared" si="11"/>
        <v>889.04</v>
      </c>
      <c r="AE74" s="90">
        <f t="shared" si="11"/>
        <v>842.03999999999985</v>
      </c>
      <c r="AF74" s="90">
        <f t="shared" si="11"/>
        <v>783.63999999999987</v>
      </c>
      <c r="AG74" s="79">
        <f>AG71+AG67+AG55+AG51+AG37+AG73</f>
        <v>2133.14</v>
      </c>
      <c r="AH74" s="56">
        <f t="shared" si="2"/>
        <v>1226.44</v>
      </c>
      <c r="AI74" s="57">
        <f t="shared" si="3"/>
        <v>650.94000000000005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74</v>
      </c>
      <c r="C78" s="60">
        <f t="shared" ref="C78:AF78" si="15">IF(C58&lt;0,C58*-1,0)</f>
        <v>42</v>
      </c>
      <c r="D78" s="60">
        <f t="shared" si="15"/>
        <v>49</v>
      </c>
      <c r="E78" s="60">
        <f t="shared" si="15"/>
        <v>51</v>
      </c>
      <c r="F78" s="60">
        <f t="shared" si="15"/>
        <v>48</v>
      </c>
      <c r="G78" s="60">
        <f t="shared" si="15"/>
        <v>48.5</v>
      </c>
      <c r="H78" s="60">
        <f t="shared" si="15"/>
        <v>47</v>
      </c>
      <c r="I78" s="60">
        <f t="shared" si="15"/>
        <v>53</v>
      </c>
      <c r="J78" s="60">
        <f t="shared" si="15"/>
        <v>49.5</v>
      </c>
      <c r="K78" s="60">
        <f t="shared" si="15"/>
        <v>52</v>
      </c>
      <c r="L78" s="60">
        <f t="shared" si="15"/>
        <v>51.3</v>
      </c>
      <c r="M78" s="60">
        <f t="shared" si="15"/>
        <v>68</v>
      </c>
      <c r="N78" s="60">
        <f t="shared" si="15"/>
        <v>69.5</v>
      </c>
      <c r="O78" s="60">
        <f t="shared" si="15"/>
        <v>79</v>
      </c>
      <c r="P78" s="60">
        <f t="shared" si="15"/>
        <v>60</v>
      </c>
      <c r="Q78" s="60">
        <f t="shared" si="15"/>
        <v>65.900000000000006</v>
      </c>
      <c r="R78" s="60">
        <f t="shared" si="15"/>
        <v>46.1</v>
      </c>
      <c r="S78" s="60">
        <f t="shared" si="15"/>
        <v>46.9</v>
      </c>
      <c r="T78" s="60">
        <f t="shared" si="15"/>
        <v>76</v>
      </c>
      <c r="U78" s="60">
        <f t="shared" si="15"/>
        <v>47.7</v>
      </c>
      <c r="V78" s="60">
        <f t="shared" si="15"/>
        <v>35</v>
      </c>
      <c r="W78" s="60">
        <f t="shared" si="15"/>
        <v>55</v>
      </c>
      <c r="X78" s="60">
        <f t="shared" si="15"/>
        <v>50.5</v>
      </c>
      <c r="Y78" s="60">
        <f t="shared" si="15"/>
        <v>51.2</v>
      </c>
      <c r="Z78" s="60">
        <f t="shared" si="15"/>
        <v>62.4</v>
      </c>
      <c r="AA78" s="60">
        <f t="shared" si="15"/>
        <v>63.2</v>
      </c>
      <c r="AB78" s="60">
        <f t="shared" si="15"/>
        <v>41</v>
      </c>
      <c r="AC78" s="60">
        <f t="shared" si="15"/>
        <v>48.5</v>
      </c>
      <c r="AD78" s="60">
        <f t="shared" si="15"/>
        <v>45.8</v>
      </c>
      <c r="AE78" s="60">
        <f t="shared" si="15"/>
        <v>50</v>
      </c>
      <c r="AF78" s="60">
        <f t="shared" si="15"/>
        <v>54</v>
      </c>
      <c r="AG78" s="93"/>
      <c r="AH78" s="56">
        <f t="shared" ref="AH78:AH90" si="16">MAX(B78:AF78)</f>
        <v>79</v>
      </c>
      <c r="AI78" s="57">
        <f t="shared" ref="AI78:AI90" si="17">MIN(B78:AF78)</f>
        <v>35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74</v>
      </c>
      <c r="C81" s="74">
        <f t="shared" si="19"/>
        <v>42</v>
      </c>
      <c r="D81" s="74">
        <f t="shared" si="19"/>
        <v>49</v>
      </c>
      <c r="E81" s="74">
        <f t="shared" si="19"/>
        <v>51</v>
      </c>
      <c r="F81" s="74">
        <f t="shared" si="19"/>
        <v>48</v>
      </c>
      <c r="G81" s="74">
        <f t="shared" si="19"/>
        <v>48.5</v>
      </c>
      <c r="H81" s="74">
        <f t="shared" si="19"/>
        <v>47</v>
      </c>
      <c r="I81" s="74">
        <f t="shared" si="19"/>
        <v>53</v>
      </c>
      <c r="J81" s="74">
        <f t="shared" si="19"/>
        <v>49.5</v>
      </c>
      <c r="K81" s="74">
        <f t="shared" si="19"/>
        <v>52</v>
      </c>
      <c r="L81" s="74">
        <f t="shared" si="19"/>
        <v>51.3</v>
      </c>
      <c r="M81" s="74">
        <f t="shared" si="19"/>
        <v>68</v>
      </c>
      <c r="N81" s="74">
        <f t="shared" si="19"/>
        <v>69.5</v>
      </c>
      <c r="O81" s="74">
        <f t="shared" si="19"/>
        <v>79</v>
      </c>
      <c r="P81" s="74">
        <f t="shared" si="19"/>
        <v>60</v>
      </c>
      <c r="Q81" s="74">
        <f t="shared" si="19"/>
        <v>65.900000000000006</v>
      </c>
      <c r="R81" s="74">
        <f t="shared" si="19"/>
        <v>46.1</v>
      </c>
      <c r="S81" s="74">
        <f t="shared" si="19"/>
        <v>46.9</v>
      </c>
      <c r="T81" s="74">
        <f t="shared" si="19"/>
        <v>76</v>
      </c>
      <c r="U81" s="74">
        <f t="shared" si="19"/>
        <v>47.7</v>
      </c>
      <c r="V81" s="74">
        <f t="shared" si="19"/>
        <v>35</v>
      </c>
      <c r="W81" s="74">
        <f t="shared" si="19"/>
        <v>55</v>
      </c>
      <c r="X81" s="74">
        <f t="shared" si="19"/>
        <v>50.5</v>
      </c>
      <c r="Y81" s="74">
        <f t="shared" si="19"/>
        <v>51.2</v>
      </c>
      <c r="Z81" s="74">
        <f t="shared" si="19"/>
        <v>62.4</v>
      </c>
      <c r="AA81" s="74">
        <f t="shared" si="19"/>
        <v>63.2</v>
      </c>
      <c r="AB81" s="74">
        <f t="shared" si="19"/>
        <v>41</v>
      </c>
      <c r="AC81" s="74">
        <f t="shared" si="19"/>
        <v>48.5</v>
      </c>
      <c r="AD81" s="74">
        <f t="shared" si="19"/>
        <v>45.8</v>
      </c>
      <c r="AE81" s="74">
        <f t="shared" si="19"/>
        <v>50</v>
      </c>
      <c r="AF81" s="74">
        <f t="shared" si="19"/>
        <v>54</v>
      </c>
      <c r="AG81" s="79">
        <f t="shared" si="19"/>
        <v>0</v>
      </c>
      <c r="AH81" s="56">
        <f t="shared" si="16"/>
        <v>79</v>
      </c>
      <c r="AI81" s="57">
        <f t="shared" si="17"/>
        <v>35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1637.48</v>
      </c>
      <c r="C82" s="74">
        <f t="shared" si="20"/>
        <v>1581.6799999999998</v>
      </c>
      <c r="D82" s="74">
        <f t="shared" si="20"/>
        <v>1599.6799999999998</v>
      </c>
      <c r="E82" s="74">
        <f t="shared" si="20"/>
        <v>1573.48</v>
      </c>
      <c r="F82" s="74">
        <f t="shared" si="20"/>
        <v>1684.68</v>
      </c>
      <c r="G82" s="74">
        <f t="shared" si="20"/>
        <v>1807.88</v>
      </c>
      <c r="H82" s="74">
        <f t="shared" si="20"/>
        <v>1906.2799999999997</v>
      </c>
      <c r="I82" s="74">
        <f t="shared" si="20"/>
        <v>1894.48</v>
      </c>
      <c r="J82" s="74">
        <f t="shared" si="20"/>
        <v>1913.2799999999997</v>
      </c>
      <c r="K82" s="74">
        <f t="shared" si="20"/>
        <v>1908.48</v>
      </c>
      <c r="L82" s="74">
        <f t="shared" si="20"/>
        <v>1848.4799999999996</v>
      </c>
      <c r="M82" s="74">
        <f t="shared" si="20"/>
        <v>1847.68</v>
      </c>
      <c r="N82" s="74">
        <f t="shared" si="20"/>
        <v>1736.48</v>
      </c>
      <c r="O82" s="74">
        <f t="shared" si="20"/>
        <v>1646.08</v>
      </c>
      <c r="P82" s="74">
        <f t="shared" si="20"/>
        <v>1462.68</v>
      </c>
      <c r="Q82" s="74">
        <f t="shared" si="20"/>
        <v>1454.88</v>
      </c>
      <c r="R82" s="74">
        <f t="shared" si="20"/>
        <v>1434.8799999999999</v>
      </c>
      <c r="S82" s="74">
        <f t="shared" si="20"/>
        <v>1469.68</v>
      </c>
      <c r="T82" s="74">
        <f t="shared" si="20"/>
        <v>1453.88</v>
      </c>
      <c r="U82" s="74">
        <f t="shared" si="20"/>
        <v>1592.48</v>
      </c>
      <c r="V82" s="74">
        <f t="shared" si="20"/>
        <v>2064.6799999999998</v>
      </c>
      <c r="W82" s="74">
        <f t="shared" si="20"/>
        <v>2524.08</v>
      </c>
      <c r="X82" s="74">
        <f t="shared" si="20"/>
        <v>2553.88</v>
      </c>
      <c r="Y82" s="74">
        <f t="shared" si="20"/>
        <v>2492.2799999999997</v>
      </c>
      <c r="Z82" s="74">
        <f t="shared" si="20"/>
        <v>2387.2800000000002</v>
      </c>
      <c r="AA82" s="74">
        <f t="shared" si="20"/>
        <v>2319.6799999999998</v>
      </c>
      <c r="AB82" s="74">
        <f t="shared" si="20"/>
        <v>2187.2799999999997</v>
      </c>
      <c r="AC82" s="74">
        <f t="shared" si="20"/>
        <v>2159.88</v>
      </c>
      <c r="AD82" s="74">
        <f t="shared" si="20"/>
        <v>1869.6799999999998</v>
      </c>
      <c r="AE82" s="74">
        <f t="shared" si="20"/>
        <v>1784.0799999999997</v>
      </c>
      <c r="AF82" s="74">
        <f t="shared" si="20"/>
        <v>1675.2799999999997</v>
      </c>
      <c r="AG82" s="79">
        <f t="shared" si="20"/>
        <v>4338.08</v>
      </c>
      <c r="AH82" s="56">
        <f t="shared" si="16"/>
        <v>2553.88</v>
      </c>
      <c r="AI82" s="57">
        <f t="shared" si="17"/>
        <v>1434.8799999999999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49.902999999999999</v>
      </c>
      <c r="C83" s="96">
        <v>49.99</v>
      </c>
      <c r="D83" s="96">
        <v>50.029000000000003</v>
      </c>
      <c r="E83" s="96">
        <v>50</v>
      </c>
      <c r="F83" s="96">
        <v>49.972999999999999</v>
      </c>
      <c r="G83" s="96">
        <v>50</v>
      </c>
      <c r="H83" s="96">
        <v>50.042999999999999</v>
      </c>
      <c r="I83" s="96">
        <v>50.04</v>
      </c>
      <c r="J83" s="96">
        <v>50</v>
      </c>
      <c r="K83" s="96">
        <v>49.963999999999999</v>
      </c>
      <c r="L83" s="96">
        <v>50.034999999999997</v>
      </c>
      <c r="M83" s="96">
        <v>49.981999999999999</v>
      </c>
      <c r="N83" s="96">
        <v>49.963000000000001</v>
      </c>
      <c r="O83" s="96">
        <v>50.048000000000002</v>
      </c>
      <c r="P83" s="96">
        <v>49.981999999999999</v>
      </c>
      <c r="Q83" s="96">
        <v>50.052</v>
      </c>
      <c r="R83" s="96">
        <v>50.08</v>
      </c>
      <c r="S83" s="96">
        <v>49.88</v>
      </c>
      <c r="T83" s="96">
        <v>49.84</v>
      </c>
      <c r="U83" s="96">
        <v>49.96</v>
      </c>
      <c r="V83" s="96">
        <v>50.003999999999998</v>
      </c>
      <c r="W83" s="96">
        <v>50.003999999999998</v>
      </c>
      <c r="X83" s="96">
        <v>50.031999999999996</v>
      </c>
      <c r="Y83" s="96">
        <v>49.965000000000003</v>
      </c>
      <c r="Z83" s="96">
        <v>50.009</v>
      </c>
      <c r="AA83" s="96">
        <v>50.02</v>
      </c>
      <c r="AB83" s="96">
        <v>50.01</v>
      </c>
      <c r="AC83" s="96">
        <v>49.89</v>
      </c>
      <c r="AD83" s="96">
        <v>50.07</v>
      </c>
      <c r="AE83" s="96">
        <v>49.9</v>
      </c>
      <c r="AF83" s="97">
        <v>49.99</v>
      </c>
      <c r="AG83" s="98"/>
      <c r="AH83" s="56">
        <f t="shared" si="16"/>
        <v>50.08</v>
      </c>
      <c r="AI83" s="57">
        <f t="shared" si="17"/>
        <v>49.84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130.1</v>
      </c>
      <c r="C84" s="52">
        <v>129.9</v>
      </c>
      <c r="D84" s="52">
        <v>129.9</v>
      </c>
      <c r="E84" s="52">
        <v>130</v>
      </c>
      <c r="F84" s="52">
        <v>129</v>
      </c>
      <c r="G84" s="52">
        <v>128</v>
      </c>
      <c r="H84" s="52">
        <v>128</v>
      </c>
      <c r="I84" s="52">
        <v>127</v>
      </c>
      <c r="J84" s="52">
        <v>126.6</v>
      </c>
      <c r="K84" s="52">
        <v>127.7</v>
      </c>
      <c r="L84" s="52">
        <v>127</v>
      </c>
      <c r="M84" s="52">
        <v>126.8</v>
      </c>
      <c r="N84" s="52">
        <v>127.1</v>
      </c>
      <c r="O84" s="52">
        <v>127.8</v>
      </c>
      <c r="P84" s="52">
        <v>126.8</v>
      </c>
      <c r="Q84" s="52">
        <v>127.5</v>
      </c>
      <c r="R84" s="52">
        <v>127.8</v>
      </c>
      <c r="S84" s="52">
        <v>127.4</v>
      </c>
      <c r="T84" s="52">
        <v>127.7</v>
      </c>
      <c r="U84" s="100">
        <v>126.6</v>
      </c>
      <c r="V84" s="100">
        <v>126.1</v>
      </c>
      <c r="W84" s="100">
        <v>126.1</v>
      </c>
      <c r="X84" s="100">
        <v>126.4</v>
      </c>
      <c r="Y84" s="100">
        <v>126.4</v>
      </c>
      <c r="Z84" s="100">
        <v>128.5</v>
      </c>
      <c r="AA84" s="52">
        <v>128.1</v>
      </c>
      <c r="AB84" s="52">
        <v>128.5</v>
      </c>
      <c r="AC84" s="52">
        <v>127.5</v>
      </c>
      <c r="AD84" s="52">
        <v>128.80000000000001</v>
      </c>
      <c r="AE84" s="52">
        <v>129.9</v>
      </c>
      <c r="AF84" s="101">
        <v>128.80000000000001</v>
      </c>
      <c r="AG84" s="102"/>
      <c r="AH84" s="56">
        <f t="shared" si="16"/>
        <v>130.1</v>
      </c>
      <c r="AI84" s="57">
        <f t="shared" si="17"/>
        <v>126.1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132.6</v>
      </c>
      <c r="C85" s="52">
        <v>132.5</v>
      </c>
      <c r="D85" s="52">
        <v>132.5</v>
      </c>
      <c r="E85" s="52">
        <v>132</v>
      </c>
      <c r="F85" s="52">
        <v>131</v>
      </c>
      <c r="G85" s="52">
        <v>131</v>
      </c>
      <c r="H85" s="52">
        <v>130.6</v>
      </c>
      <c r="I85" s="52">
        <v>130</v>
      </c>
      <c r="J85" s="52">
        <v>129</v>
      </c>
      <c r="K85" s="52">
        <v>129.69999999999999</v>
      </c>
      <c r="L85" s="52">
        <v>129.30000000000001</v>
      </c>
      <c r="M85" s="52">
        <v>129</v>
      </c>
      <c r="N85" s="52">
        <v>129.19999999999999</v>
      </c>
      <c r="O85" s="52">
        <v>130.4</v>
      </c>
      <c r="P85" s="52">
        <v>129</v>
      </c>
      <c r="Q85" s="52">
        <v>130.69999999999999</v>
      </c>
      <c r="R85" s="52">
        <v>130.80000000000001</v>
      </c>
      <c r="S85" s="52">
        <v>130.69999999999999</v>
      </c>
      <c r="T85" s="52">
        <v>130.9</v>
      </c>
      <c r="U85" s="100">
        <v>130</v>
      </c>
      <c r="V85" s="100">
        <v>128</v>
      </c>
      <c r="W85" s="100">
        <v>128</v>
      </c>
      <c r="X85" s="100">
        <v>128.80000000000001</v>
      </c>
      <c r="Y85" s="100">
        <v>128.69999999999999</v>
      </c>
      <c r="Z85" s="100">
        <v>130.5</v>
      </c>
      <c r="AA85" s="52">
        <v>130.4</v>
      </c>
      <c r="AB85" s="52">
        <v>130.80000000000001</v>
      </c>
      <c r="AC85" s="52">
        <v>130</v>
      </c>
      <c r="AD85" s="52">
        <v>131.1</v>
      </c>
      <c r="AE85" s="52">
        <v>132.30000000000001</v>
      </c>
      <c r="AF85" s="101">
        <v>131.69999999999999</v>
      </c>
      <c r="AG85" s="102"/>
      <c r="AH85" s="56">
        <f t="shared" si="16"/>
        <v>132.6</v>
      </c>
      <c r="AI85" s="57">
        <f t="shared" si="17"/>
        <v>128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129.19999999999999</v>
      </c>
      <c r="C86" s="52">
        <v>129.5</v>
      </c>
      <c r="D86" s="52">
        <v>129.5</v>
      </c>
      <c r="E86" s="52">
        <v>129.6</v>
      </c>
      <c r="F86" s="52">
        <v>129</v>
      </c>
      <c r="G86" s="52">
        <v>128</v>
      </c>
      <c r="H86" s="52">
        <v>128</v>
      </c>
      <c r="I86" s="52">
        <v>130</v>
      </c>
      <c r="J86" s="52">
        <v>128.69999999999999</v>
      </c>
      <c r="K86" s="52">
        <v>128.5</v>
      </c>
      <c r="L86" s="52">
        <v>128.19999999999999</v>
      </c>
      <c r="M86" s="52">
        <v>128.19999999999999</v>
      </c>
      <c r="N86" s="52">
        <v>127.8</v>
      </c>
      <c r="O86" s="52">
        <v>128.5</v>
      </c>
      <c r="P86" s="52">
        <v>128.19999999999999</v>
      </c>
      <c r="Q86" s="52">
        <v>129.6</v>
      </c>
      <c r="R86" s="52">
        <v>130.5</v>
      </c>
      <c r="S86" s="52">
        <v>130.19999999999999</v>
      </c>
      <c r="T86" s="52">
        <v>130.5</v>
      </c>
      <c r="U86" s="52">
        <v>129.6</v>
      </c>
      <c r="V86" s="52">
        <v>129.6</v>
      </c>
      <c r="W86" s="52">
        <v>129.6</v>
      </c>
      <c r="X86" s="100">
        <v>128.4</v>
      </c>
      <c r="Y86" s="100">
        <v>129.1</v>
      </c>
      <c r="Z86" s="100">
        <v>130.4</v>
      </c>
      <c r="AA86" s="52">
        <v>130.9</v>
      </c>
      <c r="AB86" s="52">
        <v>130.30000000000001</v>
      </c>
      <c r="AC86" s="52">
        <v>130.6</v>
      </c>
      <c r="AD86" s="52">
        <v>129.69999999999999</v>
      </c>
      <c r="AE86" s="52">
        <v>128.6</v>
      </c>
      <c r="AF86" s="101">
        <v>129.4</v>
      </c>
      <c r="AG86" s="102"/>
      <c r="AH86" s="56">
        <f t="shared" si="16"/>
        <v>130.9</v>
      </c>
      <c r="AI86" s="57">
        <f t="shared" si="17"/>
        <v>127.8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132.5</v>
      </c>
      <c r="C87" s="52">
        <v>132.5</v>
      </c>
      <c r="D87" s="52">
        <v>132.5</v>
      </c>
      <c r="E87" s="52">
        <v>133</v>
      </c>
      <c r="F87" s="52">
        <v>132</v>
      </c>
      <c r="G87" s="52">
        <v>131.6</v>
      </c>
      <c r="H87" s="52">
        <v>131</v>
      </c>
      <c r="I87" s="52">
        <v>132</v>
      </c>
      <c r="J87" s="52">
        <v>131.9</v>
      </c>
      <c r="K87" s="52">
        <v>131.6</v>
      </c>
      <c r="L87" s="52">
        <v>131.4</v>
      </c>
      <c r="M87" s="52">
        <v>131.4</v>
      </c>
      <c r="N87" s="52">
        <v>131.1</v>
      </c>
      <c r="O87" s="52">
        <v>132</v>
      </c>
      <c r="P87" s="52">
        <v>131.4</v>
      </c>
      <c r="Q87" s="52">
        <v>133.1</v>
      </c>
      <c r="R87" s="52">
        <v>133.9</v>
      </c>
      <c r="S87" s="52">
        <v>13.7</v>
      </c>
      <c r="T87" s="52">
        <v>133.80000000000001</v>
      </c>
      <c r="U87" s="52">
        <v>132.80000000000001</v>
      </c>
      <c r="V87" s="52">
        <v>130.19999999999999</v>
      </c>
      <c r="W87" s="52">
        <v>130.19999999999999</v>
      </c>
      <c r="X87" s="100">
        <v>131.80000000000001</v>
      </c>
      <c r="Y87" s="100">
        <v>132.30000000000001</v>
      </c>
      <c r="Z87" s="100">
        <v>134.1</v>
      </c>
      <c r="AA87" s="52">
        <v>134.5</v>
      </c>
      <c r="AB87" s="52">
        <v>134.6</v>
      </c>
      <c r="AC87" s="52">
        <v>135.1</v>
      </c>
      <c r="AD87" s="52">
        <v>135.19999999999999</v>
      </c>
      <c r="AE87" s="52">
        <v>132.6</v>
      </c>
      <c r="AF87" s="101">
        <v>132.80000000000001</v>
      </c>
      <c r="AG87" s="102"/>
      <c r="AH87" s="56">
        <f t="shared" si="16"/>
        <v>135.19999999999999</v>
      </c>
      <c r="AI87" s="57">
        <f t="shared" si="17"/>
        <v>13.7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134.69999999999999</v>
      </c>
      <c r="C88" s="104">
        <v>131.69999999999999</v>
      </c>
      <c r="D88" s="104">
        <v>131.69999999999999</v>
      </c>
      <c r="E88" s="104">
        <v>132</v>
      </c>
      <c r="F88" s="104">
        <v>131</v>
      </c>
      <c r="G88" s="104">
        <v>132</v>
      </c>
      <c r="H88" s="104">
        <v>134</v>
      </c>
      <c r="I88" s="104">
        <v>133.9</v>
      </c>
      <c r="J88" s="104">
        <v>133</v>
      </c>
      <c r="K88" s="104">
        <v>132.9</v>
      </c>
      <c r="L88" s="104">
        <v>136.4</v>
      </c>
      <c r="M88" s="104">
        <v>135</v>
      </c>
      <c r="N88" s="104">
        <v>132.9</v>
      </c>
      <c r="O88" s="104">
        <v>134.1</v>
      </c>
      <c r="P88" s="104">
        <v>135</v>
      </c>
      <c r="Q88" s="104">
        <v>134.6</v>
      </c>
      <c r="R88" s="104">
        <v>133</v>
      </c>
      <c r="S88" s="104">
        <v>133</v>
      </c>
      <c r="T88" s="104">
        <v>131.5</v>
      </c>
      <c r="U88" s="104">
        <v>132.19999999999999</v>
      </c>
      <c r="V88" s="104">
        <v>134.9</v>
      </c>
      <c r="W88" s="104">
        <v>134.9</v>
      </c>
      <c r="X88" s="100">
        <v>134.6</v>
      </c>
      <c r="Y88" s="100">
        <v>133.80000000000001</v>
      </c>
      <c r="Z88" s="100">
        <v>134.1</v>
      </c>
      <c r="AA88" s="104">
        <v>134.19999999999999</v>
      </c>
      <c r="AB88" s="104">
        <v>134.5</v>
      </c>
      <c r="AC88" s="104">
        <v>134.69999999999999</v>
      </c>
      <c r="AD88" s="104">
        <v>134</v>
      </c>
      <c r="AE88" s="104">
        <v>134</v>
      </c>
      <c r="AF88" s="105">
        <v>135.1</v>
      </c>
      <c r="AG88" s="106"/>
      <c r="AH88" s="56">
        <f t="shared" si="16"/>
        <v>136.4</v>
      </c>
      <c r="AI88" s="57">
        <f t="shared" si="17"/>
        <v>131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136.1</v>
      </c>
      <c r="C89" s="52">
        <v>133.30000000000001</v>
      </c>
      <c r="D89" s="52">
        <v>133.30000000000001</v>
      </c>
      <c r="E89" s="52">
        <v>133</v>
      </c>
      <c r="F89" s="52">
        <v>132</v>
      </c>
      <c r="G89" s="52">
        <v>131</v>
      </c>
      <c r="H89" s="52">
        <v>132</v>
      </c>
      <c r="I89" s="52">
        <v>131</v>
      </c>
      <c r="J89" s="52">
        <v>131.80000000000001</v>
      </c>
      <c r="K89" s="52">
        <v>131.6</v>
      </c>
      <c r="L89" s="52">
        <v>133.30000000000001</v>
      </c>
      <c r="M89" s="52">
        <v>133.80000000000001</v>
      </c>
      <c r="N89" s="52">
        <v>132.6</v>
      </c>
      <c r="O89" s="52">
        <v>134.4</v>
      </c>
      <c r="P89" s="52">
        <v>133.80000000000001</v>
      </c>
      <c r="Q89" s="52">
        <v>134.80000000000001</v>
      </c>
      <c r="R89" s="52">
        <v>133.69999999999999</v>
      </c>
      <c r="S89" s="52">
        <v>133.9</v>
      </c>
      <c r="T89" s="52">
        <v>132.5</v>
      </c>
      <c r="U89" s="52">
        <v>132.19999999999999</v>
      </c>
      <c r="V89" s="52">
        <v>131</v>
      </c>
      <c r="W89" s="52">
        <v>131</v>
      </c>
      <c r="X89" s="100">
        <v>131.1</v>
      </c>
      <c r="Y89" s="100">
        <v>131.5</v>
      </c>
      <c r="Z89" s="100">
        <v>132.5</v>
      </c>
      <c r="AA89" s="52">
        <v>133.19999999999999</v>
      </c>
      <c r="AB89" s="52">
        <v>133.9</v>
      </c>
      <c r="AC89" s="52">
        <v>134.4</v>
      </c>
      <c r="AD89" s="52">
        <v>133.4</v>
      </c>
      <c r="AE89" s="52">
        <v>134.9</v>
      </c>
      <c r="AF89" s="101">
        <v>136</v>
      </c>
      <c r="AG89" s="102"/>
      <c r="AH89" s="56">
        <f t="shared" si="16"/>
        <v>136.1</v>
      </c>
      <c r="AI89" s="57">
        <f t="shared" si="17"/>
        <v>131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67.599999999999994</v>
      </c>
      <c r="C90" s="107">
        <v>67.5</v>
      </c>
      <c r="D90" s="107">
        <v>67.5</v>
      </c>
      <c r="E90" s="107">
        <v>67</v>
      </c>
      <c r="F90" s="107">
        <v>67</v>
      </c>
      <c r="G90" s="107">
        <v>66.7</v>
      </c>
      <c r="H90" s="107">
        <v>66.400000000000006</v>
      </c>
      <c r="I90" s="107">
        <v>65.900000000000006</v>
      </c>
      <c r="J90" s="107">
        <v>65.5</v>
      </c>
      <c r="K90" s="107">
        <v>65.8</v>
      </c>
      <c r="L90" s="107">
        <v>65.599999999999994</v>
      </c>
      <c r="M90" s="107">
        <v>65.5</v>
      </c>
      <c r="N90" s="107">
        <v>65.5</v>
      </c>
      <c r="O90" s="107">
        <v>66.2</v>
      </c>
      <c r="P90" s="107">
        <v>65.5</v>
      </c>
      <c r="Q90" s="107">
        <v>66.400000000000006</v>
      </c>
      <c r="R90" s="107">
        <v>66.7</v>
      </c>
      <c r="S90" s="107">
        <v>66.400000000000006</v>
      </c>
      <c r="T90" s="107">
        <v>66.3</v>
      </c>
      <c r="U90" s="107">
        <v>66</v>
      </c>
      <c r="V90" s="107">
        <v>65.599999999999994</v>
      </c>
      <c r="W90" s="107">
        <v>65.599999999999994</v>
      </c>
      <c r="X90" s="107">
        <v>65.400000000000006</v>
      </c>
      <c r="Y90" s="107">
        <v>65.400000000000006</v>
      </c>
      <c r="Z90" s="107">
        <v>66.3</v>
      </c>
      <c r="AA90" s="107">
        <v>66.400000000000006</v>
      </c>
      <c r="AB90" s="107">
        <v>66.5</v>
      </c>
      <c r="AC90" s="107">
        <v>66</v>
      </c>
      <c r="AD90" s="107">
        <v>66.599999999999994</v>
      </c>
      <c r="AE90" s="107">
        <v>67</v>
      </c>
      <c r="AF90" s="108">
        <v>67</v>
      </c>
      <c r="AG90" s="109"/>
      <c r="AH90" s="56">
        <f t="shared" si="16"/>
        <v>67.599999999999994</v>
      </c>
      <c r="AI90" s="57">
        <f t="shared" si="17"/>
        <v>65.400000000000006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147.24</v>
      </c>
      <c r="C92" s="114">
        <f t="shared" ref="C92:AF92" si="21">SUM(C15,C18,C21:C22,C41,C43:C44,C46,C48,C93:C96,C101,C107,C113,C122,C124,C136,C143,C146:C147,C154,C156,C158,C162:C164,C166:C168,C173,C179:C180,C182:C184,C192,C197)</f>
        <v>142.63999999999999</v>
      </c>
      <c r="D92" s="114">
        <f t="shared" si="21"/>
        <v>148.94000000000003</v>
      </c>
      <c r="E92" s="114">
        <f t="shared" si="21"/>
        <v>141.43999999999997</v>
      </c>
      <c r="F92" s="115">
        <f t="shared" si="21"/>
        <v>164.13999999999996</v>
      </c>
      <c r="G92" s="115">
        <f t="shared" si="21"/>
        <v>187.03999999999996</v>
      </c>
      <c r="H92" s="115">
        <f t="shared" si="21"/>
        <v>202.83999999999995</v>
      </c>
      <c r="I92" s="115">
        <f t="shared" si="21"/>
        <v>222.03999999999996</v>
      </c>
      <c r="J92" s="115">
        <f t="shared" si="21"/>
        <v>228.94</v>
      </c>
      <c r="K92" s="115">
        <f t="shared" si="21"/>
        <v>232.23999999999998</v>
      </c>
      <c r="L92" s="115">
        <f t="shared" si="21"/>
        <v>230.14</v>
      </c>
      <c r="M92" s="115">
        <f t="shared" si="21"/>
        <v>223.44000000000003</v>
      </c>
      <c r="N92" s="115">
        <f t="shared" si="21"/>
        <v>206.54</v>
      </c>
      <c r="O92" s="115">
        <f t="shared" si="21"/>
        <v>169.53999999999996</v>
      </c>
      <c r="P92" s="115">
        <f t="shared" si="21"/>
        <v>142.63999999999999</v>
      </c>
      <c r="Q92" s="115">
        <f t="shared" si="21"/>
        <v>142.63999999999999</v>
      </c>
      <c r="R92" s="115">
        <f t="shared" si="21"/>
        <v>139.13999999999999</v>
      </c>
      <c r="S92" s="115">
        <f t="shared" si="21"/>
        <v>142.23999999999998</v>
      </c>
      <c r="T92" s="115">
        <f t="shared" si="21"/>
        <v>149.63999999999996</v>
      </c>
      <c r="U92" s="115">
        <f t="shared" si="21"/>
        <v>176.83999999999995</v>
      </c>
      <c r="V92" s="115">
        <f t="shared" si="21"/>
        <v>260.94000000000005</v>
      </c>
      <c r="W92" s="115">
        <f t="shared" si="21"/>
        <v>290.04000000000002</v>
      </c>
      <c r="X92" s="115">
        <f t="shared" si="21"/>
        <v>294.14000000000004</v>
      </c>
      <c r="Y92" s="115">
        <f t="shared" si="21"/>
        <v>293.24</v>
      </c>
      <c r="Z92" s="115">
        <f t="shared" si="21"/>
        <v>279.44</v>
      </c>
      <c r="AA92" s="115">
        <f t="shared" si="21"/>
        <v>268.34000000000003</v>
      </c>
      <c r="AB92" s="115">
        <f t="shared" si="21"/>
        <v>259.74000000000007</v>
      </c>
      <c r="AC92" s="115">
        <f t="shared" si="21"/>
        <v>238.93999999999997</v>
      </c>
      <c r="AD92" s="115">
        <f t="shared" si="21"/>
        <v>200.64000000000001</v>
      </c>
      <c r="AE92" s="115">
        <f t="shared" si="21"/>
        <v>176.73999999999998</v>
      </c>
      <c r="AF92" s="115">
        <f t="shared" si="21"/>
        <v>154.53999999999996</v>
      </c>
      <c r="AG92" s="116"/>
      <c r="AH92" s="56">
        <f>MAX(B92:AF92)</f>
        <v>294.14000000000004</v>
      </c>
      <c r="AI92" s="57">
        <f>MIN(B92:AF92)</f>
        <v>139.13999999999999</v>
      </c>
    </row>
    <row r="93" spans="1:88" x14ac:dyDescent="0.25">
      <c r="A93" s="117" t="s">
        <v>96</v>
      </c>
      <c r="B93" s="60">
        <v>35.700000000000003</v>
      </c>
      <c r="C93" s="60">
        <v>32.299999999999997</v>
      </c>
      <c r="D93" s="60">
        <v>37.200000000000003</v>
      </c>
      <c r="E93" s="60">
        <v>31.4</v>
      </c>
      <c r="F93" s="118">
        <v>41</v>
      </c>
      <c r="G93" s="118">
        <v>50.8</v>
      </c>
      <c r="H93" s="118">
        <v>50.3</v>
      </c>
      <c r="I93" s="118">
        <v>47</v>
      </c>
      <c r="J93" s="118">
        <v>47</v>
      </c>
      <c r="K93" s="118">
        <v>49.6</v>
      </c>
      <c r="L93" s="54">
        <v>41.4</v>
      </c>
      <c r="M93" s="118">
        <v>50.2</v>
      </c>
      <c r="N93" s="118">
        <v>39.5</v>
      </c>
      <c r="O93" s="118">
        <v>44.9</v>
      </c>
      <c r="P93" s="118">
        <v>28.5</v>
      </c>
      <c r="Q93" s="118">
        <v>28.5</v>
      </c>
      <c r="R93" s="118">
        <v>24.9</v>
      </c>
      <c r="S93" s="118">
        <v>25.4</v>
      </c>
      <c r="T93" s="118">
        <v>32.299999999999997</v>
      </c>
      <c r="U93" s="54">
        <v>34.299999999999997</v>
      </c>
      <c r="V93" s="54">
        <v>54</v>
      </c>
      <c r="W93" s="54">
        <v>54</v>
      </c>
      <c r="X93" s="118">
        <v>49.3</v>
      </c>
      <c r="Y93" s="118">
        <v>60.6</v>
      </c>
      <c r="Z93" s="118">
        <v>57.4</v>
      </c>
      <c r="AA93" s="54">
        <v>59.2</v>
      </c>
      <c r="AB93" s="54">
        <v>57</v>
      </c>
      <c r="AC93" s="54">
        <v>63.1</v>
      </c>
      <c r="AD93" s="54">
        <v>39.5</v>
      </c>
      <c r="AE93" s="54">
        <v>25.5</v>
      </c>
      <c r="AF93" s="119">
        <v>27.5</v>
      </c>
      <c r="AG93" s="120">
        <v>75</v>
      </c>
      <c r="AH93" s="56">
        <f t="shared" ref="AH93:AH98" si="22">IF(ABS(MAX(B93:AF93))&gt;ABS(MIN(B93:AF93)),MAX(B93:AF93),MIN(B93:AF93))</f>
        <v>63.1</v>
      </c>
      <c r="AI93" s="121">
        <f t="shared" ref="AI93:AI98" si="23">INDEX($B$9:$AF$9,1,MATCH(AH93,B93:AF93,0))</f>
        <v>0.875</v>
      </c>
    </row>
    <row r="94" spans="1:88" x14ac:dyDescent="0.25">
      <c r="A94" s="122" t="s">
        <v>97</v>
      </c>
      <c r="B94" s="62">
        <v>-50</v>
      </c>
      <c r="C94" s="62">
        <v>-50</v>
      </c>
      <c r="D94" s="62">
        <v>-52.6</v>
      </c>
      <c r="E94" s="62">
        <v>-55</v>
      </c>
      <c r="F94" s="62">
        <v>-54</v>
      </c>
      <c r="G94" s="62">
        <v>-51</v>
      </c>
      <c r="H94" s="62">
        <v>-55.7</v>
      </c>
      <c r="I94" s="62">
        <v>-42</v>
      </c>
      <c r="J94" s="62">
        <v>-44.8</v>
      </c>
      <c r="K94" s="62">
        <v>-41.6</v>
      </c>
      <c r="L94" s="62">
        <v>-34</v>
      </c>
      <c r="M94" s="62">
        <v>-40</v>
      </c>
      <c r="N94" s="62">
        <v>-35</v>
      </c>
      <c r="O94" s="62">
        <v>-49</v>
      </c>
      <c r="P94" s="62">
        <v>-47.7</v>
      </c>
      <c r="Q94" s="62">
        <v>-47.7</v>
      </c>
      <c r="R94" s="62">
        <v>-48.3</v>
      </c>
      <c r="S94" s="62">
        <v>-50.3</v>
      </c>
      <c r="T94" s="62">
        <v>-47</v>
      </c>
      <c r="U94" s="62">
        <v>-46.3</v>
      </c>
      <c r="V94" s="62">
        <v>-36</v>
      </c>
      <c r="W94" s="62">
        <v>-36</v>
      </c>
      <c r="X94" s="62">
        <v>-39</v>
      </c>
      <c r="Y94" s="62">
        <v>-35</v>
      </c>
      <c r="Z94" s="62">
        <v>-33</v>
      </c>
      <c r="AA94" s="52">
        <f>-21.7-26.1</f>
        <v>-47.8</v>
      </c>
      <c r="AB94" s="52">
        <f>-18.3-21.6</f>
        <v>-39.900000000000006</v>
      </c>
      <c r="AC94" s="52">
        <f>-22.1-26.6</f>
        <v>-48.7</v>
      </c>
      <c r="AD94" s="52">
        <f>-20.5-24.8</f>
        <v>-45.3</v>
      </c>
      <c r="AE94" s="52">
        <f>-22.6-27</f>
        <v>-49.6</v>
      </c>
      <c r="AF94" s="123">
        <f>-22.4-27</f>
        <v>-49.4</v>
      </c>
      <c r="AG94" s="120">
        <v>240</v>
      </c>
      <c r="AH94" s="56">
        <f t="shared" si="22"/>
        <v>-55.7</v>
      </c>
      <c r="AI94" s="121">
        <f t="shared" si="23"/>
        <v>0.25</v>
      </c>
    </row>
    <row r="95" spans="1:88" x14ac:dyDescent="0.25">
      <c r="A95" s="122" t="s">
        <v>98</v>
      </c>
      <c r="B95" s="62">
        <v>3.9</v>
      </c>
      <c r="C95" s="62">
        <v>2.4</v>
      </c>
      <c r="D95" s="62">
        <v>2.8</v>
      </c>
      <c r="E95" s="62">
        <v>4</v>
      </c>
      <c r="F95" s="62">
        <v>4.5999999999999996</v>
      </c>
      <c r="G95" s="62">
        <v>3.9</v>
      </c>
      <c r="H95" s="62">
        <v>1.1000000000000001</v>
      </c>
      <c r="I95" s="62">
        <v>8.1999999999999993</v>
      </c>
      <c r="J95" s="62">
        <v>8</v>
      </c>
      <c r="K95" s="62">
        <v>11.8</v>
      </c>
      <c r="L95" s="62">
        <v>8.3000000000000007</v>
      </c>
      <c r="M95" s="62">
        <v>7.3</v>
      </c>
      <c r="N95" s="62">
        <v>5.4</v>
      </c>
      <c r="O95" s="62">
        <v>0.9</v>
      </c>
      <c r="P95" s="62">
        <v>4.0999999999999996</v>
      </c>
      <c r="Q95" s="62">
        <v>4.0999999999999996</v>
      </c>
      <c r="R95" s="62">
        <v>0</v>
      </c>
      <c r="S95" s="62">
        <v>1.3</v>
      </c>
      <c r="T95" s="62">
        <v>5.8</v>
      </c>
      <c r="U95" s="62">
        <v>1.7</v>
      </c>
      <c r="V95" s="62">
        <v>15</v>
      </c>
      <c r="W95" s="62">
        <v>15</v>
      </c>
      <c r="X95" s="62">
        <v>11.4</v>
      </c>
      <c r="Y95" s="62">
        <v>11.2</v>
      </c>
      <c r="Z95" s="62">
        <v>17.899999999999999</v>
      </c>
      <c r="AA95" s="52">
        <v>14.1</v>
      </c>
      <c r="AB95" s="52">
        <v>12.4</v>
      </c>
      <c r="AC95" s="52">
        <v>6.1</v>
      </c>
      <c r="AD95" s="52">
        <v>3.8</v>
      </c>
      <c r="AE95" s="52">
        <v>3.6</v>
      </c>
      <c r="AF95" s="123">
        <v>0</v>
      </c>
      <c r="AG95" s="120">
        <v>60</v>
      </c>
      <c r="AH95" s="56">
        <f t="shared" si="22"/>
        <v>17.899999999999999</v>
      </c>
      <c r="AI95" s="121">
        <f t="shared" si="23"/>
        <v>0.8125</v>
      </c>
    </row>
    <row r="96" spans="1:88" x14ac:dyDescent="0.25">
      <c r="A96" s="124" t="s">
        <v>99</v>
      </c>
      <c r="B96" s="65">
        <v>-10.6</v>
      </c>
      <c r="C96" s="65">
        <v>-10.3</v>
      </c>
      <c r="D96" s="65">
        <v>-15.7</v>
      </c>
      <c r="E96" s="65">
        <v>-10.4</v>
      </c>
      <c r="F96" s="65">
        <v>-8.9</v>
      </c>
      <c r="G96" s="65">
        <v>-5.0999999999999996</v>
      </c>
      <c r="H96" s="65">
        <v>-2</v>
      </c>
      <c r="I96" s="65">
        <v>8.4</v>
      </c>
      <c r="J96" s="65">
        <v>8.3000000000000007</v>
      </c>
      <c r="K96" s="65">
        <v>10</v>
      </c>
      <c r="L96" s="65">
        <v>22.8</v>
      </c>
      <c r="M96" s="65">
        <v>14.4</v>
      </c>
      <c r="N96" s="65">
        <v>13.6</v>
      </c>
      <c r="O96" s="65">
        <v>-3.4</v>
      </c>
      <c r="P96" s="65">
        <v>-7</v>
      </c>
      <c r="Q96" s="65">
        <v>-7</v>
      </c>
      <c r="R96" s="65">
        <v>-2.2000000000000002</v>
      </c>
      <c r="S96" s="65">
        <v>-10.3</v>
      </c>
      <c r="T96" s="65">
        <v>-5.9</v>
      </c>
      <c r="U96" s="65">
        <v>11.4</v>
      </c>
      <c r="V96" s="65">
        <v>30.5</v>
      </c>
      <c r="W96" s="65">
        <v>30.5</v>
      </c>
      <c r="X96" s="65">
        <v>40.9</v>
      </c>
      <c r="Y96" s="65">
        <v>35.5</v>
      </c>
      <c r="Z96" s="65">
        <v>28</v>
      </c>
      <c r="AA96" s="125">
        <v>12.8</v>
      </c>
      <c r="AB96" s="125">
        <v>20.9</v>
      </c>
      <c r="AC96" s="125">
        <v>9.5</v>
      </c>
      <c r="AD96" s="125">
        <v>9.1</v>
      </c>
      <c r="AE96" s="125">
        <v>7.8</v>
      </c>
      <c r="AF96" s="126">
        <v>0</v>
      </c>
      <c r="AG96" s="127">
        <v>120</v>
      </c>
      <c r="AH96" s="56">
        <f t="shared" si="22"/>
        <v>40.9</v>
      </c>
      <c r="AI96" s="121">
        <f t="shared" si="23"/>
        <v>0.77083333333333337</v>
      </c>
    </row>
    <row r="97" spans="1:37" x14ac:dyDescent="0.25">
      <c r="A97" s="124" t="s">
        <v>100</v>
      </c>
      <c r="B97" s="65">
        <v>11.8</v>
      </c>
      <c r="C97" s="65">
        <v>15.3</v>
      </c>
      <c r="D97" s="65">
        <v>9.6</v>
      </c>
      <c r="E97" s="65">
        <v>13.9</v>
      </c>
      <c r="F97" s="65">
        <v>14.7</v>
      </c>
      <c r="G97" s="65">
        <v>15.3</v>
      </c>
      <c r="H97" s="65">
        <v>17.899999999999999</v>
      </c>
      <c r="I97" s="65">
        <v>25.2</v>
      </c>
      <c r="J97" s="65">
        <v>23.2</v>
      </c>
      <c r="K97" s="65">
        <v>22.4</v>
      </c>
      <c r="L97" s="65">
        <v>33.9</v>
      </c>
      <c r="M97" s="65">
        <v>25.5</v>
      </c>
      <c r="N97" s="65">
        <v>29.4</v>
      </c>
      <c r="O97" s="65">
        <v>17.5</v>
      </c>
      <c r="P97" s="65">
        <v>18.7</v>
      </c>
      <c r="Q97" s="65">
        <v>18.7</v>
      </c>
      <c r="R97" s="65">
        <v>23</v>
      </c>
      <c r="S97" s="65">
        <v>19.100000000000001</v>
      </c>
      <c r="T97" s="65">
        <v>19.2</v>
      </c>
      <c r="U97" s="65">
        <v>31.6</v>
      </c>
      <c r="V97" s="65">
        <v>33.200000000000003</v>
      </c>
      <c r="W97" s="65">
        <v>33.200000000000003</v>
      </c>
      <c r="X97" s="65">
        <v>41.1</v>
      </c>
      <c r="Y97" s="65">
        <v>35.299999999999997</v>
      </c>
      <c r="Z97" s="65">
        <v>30.5</v>
      </c>
      <c r="AA97" s="125">
        <v>17.899999999999999</v>
      </c>
      <c r="AB97" s="125">
        <v>27.6</v>
      </c>
      <c r="AC97" s="125">
        <v>20</v>
      </c>
      <c r="AD97" s="125">
        <v>23.8</v>
      </c>
      <c r="AE97" s="125">
        <v>26.3</v>
      </c>
      <c r="AF97" s="126">
        <v>20.8</v>
      </c>
      <c r="AG97" s="127"/>
      <c r="AH97" s="56">
        <f t="shared" si="22"/>
        <v>41.1</v>
      </c>
      <c r="AI97" s="121">
        <f t="shared" si="23"/>
        <v>0.77083333333333337</v>
      </c>
    </row>
    <row r="98" spans="1:37" ht="15.75" thickBot="1" x14ac:dyDescent="0.3">
      <c r="A98" s="124" t="s">
        <v>101</v>
      </c>
      <c r="B98" s="65">
        <v>23.7</v>
      </c>
      <c r="C98" s="65">
        <v>28</v>
      </c>
      <c r="D98" s="65">
        <v>25</v>
      </c>
      <c r="E98" s="65">
        <v>30.7</v>
      </c>
      <c r="F98" s="65">
        <v>32.299999999999997</v>
      </c>
      <c r="G98" s="65">
        <v>33.5</v>
      </c>
      <c r="H98" s="65">
        <v>35.5</v>
      </c>
      <c r="I98" s="65">
        <v>30.5</v>
      </c>
      <c r="J98" s="65">
        <v>31.5</v>
      </c>
      <c r="K98" s="65">
        <v>27.9</v>
      </c>
      <c r="L98" s="65">
        <v>32</v>
      </c>
      <c r="M98" s="65">
        <v>21.1</v>
      </c>
      <c r="N98" s="65">
        <v>19.2</v>
      </c>
      <c r="O98" s="65">
        <v>14.4</v>
      </c>
      <c r="P98" s="65">
        <v>17.600000000000001</v>
      </c>
      <c r="Q98" s="65">
        <v>17.600000000000001</v>
      </c>
      <c r="R98" s="65">
        <v>19.8</v>
      </c>
      <c r="S98" s="65">
        <v>21.3</v>
      </c>
      <c r="T98" s="65">
        <v>29.9</v>
      </c>
      <c r="U98" s="65">
        <v>27.5</v>
      </c>
      <c r="V98" s="65">
        <v>-15.3</v>
      </c>
      <c r="W98" s="65">
        <v>-15.3</v>
      </c>
      <c r="X98" s="65">
        <v>4.3</v>
      </c>
      <c r="Y98" s="65">
        <v>-14.4</v>
      </c>
      <c r="Z98" s="65">
        <v>-12.2</v>
      </c>
      <c r="AA98" s="125">
        <v>-23.8</v>
      </c>
      <c r="AB98" s="125">
        <v>-13</v>
      </c>
      <c r="AC98" s="125">
        <v>-25.4</v>
      </c>
      <c r="AD98" s="125">
        <v>-14.6</v>
      </c>
      <c r="AE98" s="125">
        <v>-6.6</v>
      </c>
      <c r="AF98" s="126">
        <v>-10.3</v>
      </c>
      <c r="AG98" s="128"/>
      <c r="AH98" s="56">
        <f t="shared" si="22"/>
        <v>35.5</v>
      </c>
      <c r="AI98" s="121">
        <f t="shared" si="23"/>
        <v>0.25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907.13999999999987</v>
      </c>
      <c r="C207" s="164">
        <f>INDEX(F9:M9,1,MATCH(MAX(F74:M74),F74:M74,0))</f>
        <v>0.29166666666666669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20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2078/07/20)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2078/07/20)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744.74</v>
      </c>
      <c r="U212" s="173">
        <f t="shared" si="52"/>
        <v>748.83999999999992</v>
      </c>
      <c r="V212" s="173">
        <f t="shared" si="52"/>
        <v>750.83999999999992</v>
      </c>
      <c r="W212" s="173">
        <f t="shared" si="52"/>
        <v>735.74</v>
      </c>
      <c r="X212" s="173">
        <f t="shared" si="52"/>
        <v>794.34</v>
      </c>
      <c r="Y212" s="173">
        <f t="shared" si="52"/>
        <v>855.44</v>
      </c>
      <c r="Z212" s="173">
        <f t="shared" si="52"/>
        <v>906.13999999999987</v>
      </c>
      <c r="AA212" s="173">
        <f t="shared" si="52"/>
        <v>894.24</v>
      </c>
      <c r="AB212" s="173">
        <f t="shared" si="52"/>
        <v>907.13999999999987</v>
      </c>
      <c r="AC212" s="173">
        <f t="shared" si="52"/>
        <v>902.24</v>
      </c>
      <c r="AD212" s="173">
        <f t="shared" si="52"/>
        <v>872.93999999999983</v>
      </c>
      <c r="AE212" s="173">
        <f t="shared" si="52"/>
        <v>855.84</v>
      </c>
      <c r="AF212" s="173">
        <f t="shared" si="52"/>
        <v>798.74</v>
      </c>
      <c r="AG212" s="173">
        <f t="shared" si="52"/>
        <v>744.04</v>
      </c>
      <c r="AH212" s="173">
        <f t="shared" si="52"/>
        <v>671.34</v>
      </c>
      <c r="AI212" s="173">
        <f t="shared" si="52"/>
        <v>661.54</v>
      </c>
      <c r="AJ212" s="173">
        <f t="shared" si="52"/>
        <v>671.34</v>
      </c>
      <c r="AK212" s="173">
        <f t="shared" si="52"/>
        <v>687.93999999999994</v>
      </c>
      <c r="AL212" s="173">
        <f t="shared" si="52"/>
        <v>650.94000000000005</v>
      </c>
      <c r="AM212" s="173">
        <f t="shared" si="52"/>
        <v>748.54</v>
      </c>
      <c r="AN212" s="173">
        <f t="shared" si="52"/>
        <v>997.33999999999992</v>
      </c>
      <c r="AO212" s="173">
        <f t="shared" si="52"/>
        <v>1207.04</v>
      </c>
      <c r="AP212" s="173">
        <f t="shared" si="52"/>
        <v>1226.44</v>
      </c>
      <c r="AQ212" s="173">
        <f t="shared" si="52"/>
        <v>1194.94</v>
      </c>
      <c r="AR212" s="173">
        <f t="shared" si="52"/>
        <v>1131.24</v>
      </c>
      <c r="AS212" s="173">
        <f t="shared" si="52"/>
        <v>1096.6400000000001</v>
      </c>
      <c r="AT212" s="173">
        <f t="shared" si="52"/>
        <v>1052.6399999999999</v>
      </c>
      <c r="AU212" s="173">
        <f t="shared" si="52"/>
        <v>1031.44</v>
      </c>
      <c r="AV212" s="173">
        <f t="shared" si="52"/>
        <v>889.04</v>
      </c>
      <c r="AW212" s="173">
        <f t="shared" si="52"/>
        <v>842.03999999999985</v>
      </c>
      <c r="AX212" s="173">
        <f t="shared" si="52"/>
        <v>783.63999999999987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180" priority="270">
      <formula>S$9&gt;=20/24</formula>
    </cfRule>
    <cfRule type="expression" dxfId="4179" priority="271">
      <formula>AND(S$9&gt;=14/24,S$9&lt;20/24)</formula>
    </cfRule>
    <cfRule type="expression" dxfId="4178" priority="272">
      <formula>AND(S$9&gt;=8/24,S$9&lt;14/24)</formula>
    </cfRule>
    <cfRule type="expression" dxfId="4177" priority="273">
      <formula>S$9&lt;8/24</formula>
    </cfRule>
  </conditionalFormatting>
  <conditionalFormatting sqref="B8:AF10 AA80:AF80 B80:Q80 B55:AF55 B81:AF81 C192:AF198 AE56:AF58 B67:AF71 T211:AX211 L12:O12 L11:Q11 X84:Z90 U39:AD41 AA83:AF90 B73:AF77 B79:AF79 B62:M66 B56:M60 M13:O14 P12:Q14 M44:Q47 U11:Z11 U57:V58 R11:T14 M36:T36 M16:T32 L38:T41 R44:T46 N57:T66 AA42:AD42 Y12:Z12 L52:AF54 AA11:AF12 U18:AF30">
    <cfRule type="expression" dxfId="4176" priority="266">
      <formula>B$9&gt;=20/24</formula>
    </cfRule>
    <cfRule type="expression" dxfId="4175" priority="267">
      <formula>AND(B$9&gt;=14/24,B$9&lt;20/24)</formula>
    </cfRule>
    <cfRule type="expression" dxfId="4174" priority="268">
      <formula>AND(B$9&gt;=8/24,B$9&lt;14/24)</formula>
    </cfRule>
    <cfRule type="expression" dxfId="4173" priority="269">
      <formula>B$9&lt;8/24</formula>
    </cfRule>
  </conditionalFormatting>
  <conditionalFormatting sqref="B190:AF190">
    <cfRule type="expression" dxfId="4172" priority="262">
      <formula>B$9&gt;=20/24</formula>
    </cfRule>
    <cfRule type="expression" dxfId="4171" priority="263">
      <formula>AND(B$9&gt;=14/24,B$9&lt;20/24)</formula>
    </cfRule>
    <cfRule type="expression" dxfId="4170" priority="264">
      <formula>AND(B$9&gt;=8/24,B$9&lt;14/24)</formula>
    </cfRule>
    <cfRule type="expression" dxfId="4169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N56:T56">
    <cfRule type="expression" dxfId="4168" priority="257">
      <formula>N$9&gt;=20/24</formula>
    </cfRule>
    <cfRule type="expression" dxfId="4167" priority="258">
      <formula>AND(N$9&gt;=14/24,N$9&lt;20/24)</formula>
    </cfRule>
    <cfRule type="expression" dxfId="4166" priority="259">
      <formula>AND(N$9&gt;=8/24,N$9&lt;14/24)</formula>
    </cfRule>
    <cfRule type="expression" dxfId="4165" priority="260">
      <formula>N$9&lt;8/24</formula>
    </cfRule>
  </conditionalFormatting>
  <conditionalFormatting sqref="L42:T42">
    <cfRule type="expression" dxfId="4164" priority="253">
      <formula>L$9&gt;=20/24</formula>
    </cfRule>
    <cfRule type="expression" dxfId="4163" priority="254">
      <formula>AND(L$9&gt;=14/24,L$9&lt;20/24)</formula>
    </cfRule>
    <cfRule type="expression" dxfId="4162" priority="255">
      <formula>AND(L$9&gt;=8/24,L$9&lt;14/24)</formula>
    </cfRule>
    <cfRule type="expression" dxfId="4161" priority="256">
      <formula>L$9&lt;8/24</formula>
    </cfRule>
  </conditionalFormatting>
  <conditionalFormatting sqref="U38:AD38">
    <cfRule type="expression" dxfId="4160" priority="245">
      <formula>U$9&gt;=20/24</formula>
    </cfRule>
    <cfRule type="expression" dxfId="4159" priority="246">
      <formula>AND(U$9&gt;=14/24,U$9&lt;20/24)</formula>
    </cfRule>
    <cfRule type="expression" dxfId="4158" priority="247">
      <formula>AND(U$9&gt;=8/24,U$9&lt;14/24)</formula>
    </cfRule>
    <cfRule type="expression" dxfId="4157" priority="248">
      <formula>U$9&lt;8/24</formula>
    </cfRule>
  </conditionalFormatting>
  <conditionalFormatting sqref="U56:AD56">
    <cfRule type="expression" dxfId="4156" priority="241">
      <formula>U$9&gt;=20/24</formula>
    </cfRule>
    <cfRule type="expression" dxfId="4155" priority="242">
      <formula>AND(U$9&gt;=14/24,U$9&lt;20/24)</formula>
    </cfRule>
    <cfRule type="expression" dxfId="4154" priority="243">
      <formula>AND(U$9&gt;=8/24,U$9&lt;14/24)</formula>
    </cfRule>
    <cfRule type="expression" dxfId="4153" priority="244">
      <formula>U$9&lt;8/24</formula>
    </cfRule>
  </conditionalFormatting>
  <conditionalFormatting sqref="R80:Z80">
    <cfRule type="expression" dxfId="4152" priority="237">
      <formula>R$9&gt;=20/24</formula>
    </cfRule>
    <cfRule type="expression" dxfId="4151" priority="238">
      <formula>AND(R$9&gt;=14/24,R$9&lt;20/24)</formula>
    </cfRule>
    <cfRule type="expression" dxfId="4150" priority="239">
      <formula>AND(R$9&gt;=8/24,R$9&lt;14/24)</formula>
    </cfRule>
    <cfRule type="expression" dxfId="4149" priority="240">
      <formula>R$9&lt;8/24</formula>
    </cfRule>
  </conditionalFormatting>
  <conditionalFormatting sqref="U83:Z83">
    <cfRule type="expression" dxfId="4148" priority="233">
      <formula>U$9&gt;=20/24</formula>
    </cfRule>
    <cfRule type="expression" dxfId="4147" priority="234">
      <formula>AND(U$9&gt;=14/24,U$9&lt;20/24)</formula>
    </cfRule>
    <cfRule type="expression" dxfId="4146" priority="235">
      <formula>AND(U$9&gt;=8/24,U$9&lt;14/24)</formula>
    </cfRule>
    <cfRule type="expression" dxfId="4145" priority="236">
      <formula>U$9&lt;8/24</formula>
    </cfRule>
  </conditionalFormatting>
  <conditionalFormatting sqref="M34:T34">
    <cfRule type="expression" dxfId="4144" priority="229">
      <formula>M$9&gt;=20/24</formula>
    </cfRule>
    <cfRule type="expression" dxfId="4143" priority="230">
      <formula>AND(M$9&gt;=14/24,M$9&lt;20/24)</formula>
    </cfRule>
    <cfRule type="expression" dxfId="4142" priority="231">
      <formula>AND(M$9&gt;=8/24,M$9&lt;14/24)</formula>
    </cfRule>
    <cfRule type="expression" dxfId="4141" priority="232">
      <formula>M$9&lt;8/24</formula>
    </cfRule>
  </conditionalFormatting>
  <conditionalFormatting sqref="M48:T48">
    <cfRule type="expression" dxfId="4140" priority="225">
      <formula>M$9&gt;=20/24</formula>
    </cfRule>
    <cfRule type="expression" dxfId="4139" priority="226">
      <formula>AND(M$9&gt;=14/24,M$9&lt;20/24)</formula>
    </cfRule>
    <cfRule type="expression" dxfId="4138" priority="227">
      <formula>AND(M$9&gt;=8/24,M$9&lt;14/24)</formula>
    </cfRule>
    <cfRule type="expression" dxfId="4137" priority="228">
      <formula>M$9&lt;8/24</formula>
    </cfRule>
  </conditionalFormatting>
  <conditionalFormatting sqref="M49:Q49">
    <cfRule type="expression" dxfId="4136" priority="221">
      <formula>M$9&gt;=20/24</formula>
    </cfRule>
    <cfRule type="expression" dxfId="4135" priority="222">
      <formula>AND(M$9&gt;=14/24,M$9&lt;20/24)</formula>
    </cfRule>
    <cfRule type="expression" dxfId="4134" priority="223">
      <formula>AND(M$9&gt;=8/24,M$9&lt;14/24)</formula>
    </cfRule>
    <cfRule type="expression" dxfId="4133" priority="224">
      <formula>M$9&lt;8/24</formula>
    </cfRule>
  </conditionalFormatting>
  <conditionalFormatting sqref="M44:Q47 R44:T46">
    <cfRule type="expression" dxfId="4132" priority="217">
      <formula>M$9&gt;=20/24</formula>
    </cfRule>
    <cfRule type="expression" dxfId="4131" priority="218">
      <formula>AND(M$9&gt;=14/24,M$9&lt;20/24)</formula>
    </cfRule>
    <cfRule type="expression" dxfId="4130" priority="219">
      <formula>AND(M$9&gt;=8/24,M$9&lt;14/24)</formula>
    </cfRule>
    <cfRule type="expression" dxfId="4129" priority="220">
      <formula>M$9&lt;8/24</formula>
    </cfRule>
  </conditionalFormatting>
  <conditionalFormatting sqref="U36:AF36">
    <cfRule type="expression" dxfId="4128" priority="213">
      <formula>U$9&gt;=20/24</formula>
    </cfRule>
    <cfRule type="expression" dxfId="4127" priority="214">
      <formula>AND(U$9&gt;=14/24,U$9&lt;20/24)</formula>
    </cfRule>
    <cfRule type="expression" dxfId="4126" priority="215">
      <formula>AND(U$9&gt;=8/24,U$9&lt;14/24)</formula>
    </cfRule>
    <cfRule type="expression" dxfId="4125" priority="216">
      <formula>U$9&lt;8/24</formula>
    </cfRule>
  </conditionalFormatting>
  <conditionalFormatting sqref="U34:AF34 U31:AF32">
    <cfRule type="expression" dxfId="4124" priority="209">
      <formula>U$9&gt;=20/24</formula>
    </cfRule>
    <cfRule type="expression" dxfId="4123" priority="210">
      <formula>AND(U$9&gt;=14/24,U$9&lt;20/24)</formula>
    </cfRule>
    <cfRule type="expression" dxfId="4122" priority="211">
      <formula>AND(U$9&gt;=8/24,U$9&lt;14/24)</formula>
    </cfRule>
    <cfRule type="expression" dxfId="4121" priority="212">
      <formula>U$9&lt;8/24</formula>
    </cfRule>
  </conditionalFormatting>
  <conditionalFormatting sqref="R47:T47 U42:Z42 U44:AD47">
    <cfRule type="expression" dxfId="4120" priority="205">
      <formula>R$9&gt;=20/24</formula>
    </cfRule>
    <cfRule type="expression" dxfId="4119" priority="206">
      <formula>AND(R$9&gt;=14/24,R$9&lt;20/24)</formula>
    </cfRule>
    <cfRule type="expression" dxfId="4118" priority="207">
      <formula>AND(R$9&gt;=8/24,R$9&lt;14/24)</formula>
    </cfRule>
    <cfRule type="expression" dxfId="4117" priority="208">
      <formula>R$9&lt;8/24</formula>
    </cfRule>
  </conditionalFormatting>
  <conditionalFormatting sqref="R48:AD48">
    <cfRule type="expression" dxfId="4116" priority="201">
      <formula>R$9&gt;=20/24</formula>
    </cfRule>
    <cfRule type="expression" dxfId="4115" priority="202">
      <formula>AND(R$9&gt;=14/24,R$9&lt;20/24)</formula>
    </cfRule>
    <cfRule type="expression" dxfId="4114" priority="203">
      <formula>AND(R$9&gt;=8/24,R$9&lt;14/24)</formula>
    </cfRule>
    <cfRule type="expression" dxfId="4113" priority="204">
      <formula>R$9&lt;8/24</formula>
    </cfRule>
  </conditionalFormatting>
  <conditionalFormatting sqref="R49:AD49">
    <cfRule type="expression" dxfId="4112" priority="197">
      <formula>R$9&gt;=20/24</formula>
    </cfRule>
    <cfRule type="expression" dxfId="4111" priority="198">
      <formula>AND(R$9&gt;=14/24,R$9&lt;20/24)</formula>
    </cfRule>
    <cfRule type="expression" dxfId="4110" priority="199">
      <formula>AND(R$9&gt;=8/24,R$9&lt;14/24)</formula>
    </cfRule>
    <cfRule type="expression" dxfId="4109" priority="200">
      <formula>R$9&lt;8/24</formula>
    </cfRule>
  </conditionalFormatting>
  <conditionalFormatting sqref="W59:AF66">
    <cfRule type="expression" dxfId="4108" priority="193">
      <formula>W$9&gt;=20/24</formula>
    </cfRule>
    <cfRule type="expression" dxfId="4107" priority="194">
      <formula>AND(W$9&gt;=14/24,W$9&lt;20/24)</formula>
    </cfRule>
    <cfRule type="expression" dxfId="4106" priority="195">
      <formula>AND(W$9&gt;=8/24,W$9&lt;14/24)</formula>
    </cfRule>
    <cfRule type="expression" dxfId="4105" priority="196">
      <formula>W$9&lt;8/24</formula>
    </cfRule>
  </conditionalFormatting>
  <conditionalFormatting sqref="AA93:AF96">
    <cfRule type="expression" dxfId="4104" priority="189">
      <formula>AA$9&gt;=20/24</formula>
    </cfRule>
    <cfRule type="expression" dxfId="4103" priority="190">
      <formula>AND(AA$9&gt;=14/24,AA$9&lt;20/24)</formula>
    </cfRule>
    <cfRule type="expression" dxfId="4102" priority="191">
      <formula>AND(AA$9&gt;=8/24,AA$9&lt;14/24)</formula>
    </cfRule>
    <cfRule type="expression" dxfId="4101" priority="192">
      <formula>AA$9&lt;8/24</formula>
    </cfRule>
  </conditionalFormatting>
  <conditionalFormatting sqref="B61:M61">
    <cfRule type="expression" dxfId="4100" priority="185">
      <formula>B$9&gt;=20/24</formula>
    </cfRule>
    <cfRule type="expression" dxfId="4099" priority="186">
      <formula>AND(B$9&gt;=14/24,B$9&lt;20/24)</formula>
    </cfRule>
    <cfRule type="expression" dxfId="4098" priority="187">
      <formula>AND(B$9&gt;=8/24,B$9&lt;14/24)</formula>
    </cfRule>
    <cfRule type="expression" dxfId="4097" priority="188">
      <formula>B$9&lt;8/24</formula>
    </cfRule>
  </conditionalFormatting>
  <conditionalFormatting sqref="U93:Z96">
    <cfRule type="expression" dxfId="4096" priority="181">
      <formula>U$9&gt;=20/24</formula>
    </cfRule>
    <cfRule type="expression" dxfId="4095" priority="182">
      <formula>AND(U$9&gt;=14/24,U$9&lt;20/24)</formula>
    </cfRule>
    <cfRule type="expression" dxfId="4094" priority="183">
      <formula>AND(U$9&gt;=8/24,U$9&lt;14/24)</formula>
    </cfRule>
    <cfRule type="expression" dxfId="4093" priority="184">
      <formula>U$9&lt;8/24</formula>
    </cfRule>
  </conditionalFormatting>
  <conditionalFormatting sqref="AG50 U11:Z11 B11:T14 B16:T32 Y12:Z12 B44:AF55 AA11:AF12 B34:AF42 U18:AF32">
    <cfRule type="expression" dxfId="4092" priority="180">
      <formula>B11&gt;$AG11</formula>
    </cfRule>
  </conditionalFormatting>
  <conditionalFormatting sqref="A99:A155 A83:A96 A11:A14 A16:A32 A44:A71 A79:A81 A73:A77 A34:A42 A168:A199">
    <cfRule type="expression" dxfId="4091" priority="179">
      <formula>$AH11=0</formula>
    </cfRule>
  </conditionalFormatting>
  <conditionalFormatting sqref="AA97:AF97">
    <cfRule type="expression" dxfId="4090" priority="175">
      <formula>AA$9&gt;=20/24</formula>
    </cfRule>
    <cfRule type="expression" dxfId="4089" priority="176">
      <formula>AND(AA$9&gt;=14/24,AA$9&lt;20/24)</formula>
    </cfRule>
    <cfRule type="expression" dxfId="4088" priority="177">
      <formula>AND(AA$9&gt;=8/24,AA$9&lt;14/24)</formula>
    </cfRule>
    <cfRule type="expression" dxfId="4087" priority="178">
      <formula>AA$9&lt;8/24</formula>
    </cfRule>
  </conditionalFormatting>
  <conditionalFormatting sqref="U97:Z97">
    <cfRule type="expression" dxfId="4086" priority="171">
      <formula>U$9&gt;=20/24</formula>
    </cfRule>
    <cfRule type="expression" dxfId="4085" priority="172">
      <formula>AND(U$9&gt;=14/24,U$9&lt;20/24)</formula>
    </cfRule>
    <cfRule type="expression" dxfId="4084" priority="173">
      <formula>AND(U$9&gt;=8/24,U$9&lt;14/24)</formula>
    </cfRule>
    <cfRule type="expression" dxfId="4083" priority="174">
      <formula>U$9&lt;8/24</formula>
    </cfRule>
  </conditionalFormatting>
  <conditionalFormatting sqref="A97">
    <cfRule type="expression" dxfId="4082" priority="170">
      <formula>$AH97=0</formula>
    </cfRule>
  </conditionalFormatting>
  <conditionalFormatting sqref="M35:AF35">
    <cfRule type="expression" dxfId="4081" priority="166">
      <formula>M$9&gt;=20/24</formula>
    </cfRule>
    <cfRule type="expression" dxfId="4080" priority="167">
      <formula>AND(M$9&gt;=14/24,M$9&lt;20/24)</formula>
    </cfRule>
    <cfRule type="expression" dxfId="4079" priority="168">
      <formula>AND(M$9&gt;=8/24,M$9&lt;14/24)</formula>
    </cfRule>
    <cfRule type="expression" dxfId="4078" priority="169">
      <formula>M$9&lt;8/24</formula>
    </cfRule>
  </conditionalFormatting>
  <conditionalFormatting sqref="U35:AF35">
    <cfRule type="expression" dxfId="4077" priority="162">
      <formula>U$9&gt;=20/24</formula>
    </cfRule>
    <cfRule type="expression" dxfId="4076" priority="163">
      <formula>AND(U$9&gt;=14/24,U$9&lt;20/24)</formula>
    </cfRule>
    <cfRule type="expression" dxfId="4075" priority="164">
      <formula>AND(U$9&gt;=8/24,U$9&lt;14/24)</formula>
    </cfRule>
    <cfRule type="expression" dxfId="4074" priority="165">
      <formula>U$9&lt;8/24</formula>
    </cfRule>
  </conditionalFormatting>
  <conditionalFormatting sqref="B35:L35">
    <cfRule type="expression" dxfId="4073" priority="158">
      <formula>B$9&gt;=20/24</formula>
    </cfRule>
    <cfRule type="expression" dxfId="4072" priority="159">
      <formula>AND(B$9&gt;=14/24,B$9&lt;20/24)</formula>
    </cfRule>
    <cfRule type="expression" dxfId="4071" priority="160">
      <formula>AND(B$9&gt;=8/24,B$9&lt;14/24)</formula>
    </cfRule>
    <cfRule type="expression" dxfId="4070" priority="161">
      <formula>B$9&lt;8/24</formula>
    </cfRule>
  </conditionalFormatting>
  <conditionalFormatting sqref="AL32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M33:T33">
    <cfRule type="expression" dxfId="4069" priority="141">
      <formula>M$9&gt;=20/24</formula>
    </cfRule>
    <cfRule type="expression" dxfId="4068" priority="142">
      <formula>AND(M$9&gt;=14/24,M$9&lt;20/24)</formula>
    </cfRule>
    <cfRule type="expression" dxfId="4067" priority="143">
      <formula>AND(M$9&gt;=8/24,M$9&lt;14/24)</formula>
    </cfRule>
    <cfRule type="expression" dxfId="4066" priority="144">
      <formula>M$9&lt;8/24</formula>
    </cfRule>
  </conditionalFormatting>
  <conditionalFormatting sqref="U33:AF33">
    <cfRule type="expression" dxfId="4065" priority="137">
      <formula>U$9&gt;=20/24</formula>
    </cfRule>
    <cfRule type="expression" dxfId="4064" priority="138">
      <formula>AND(U$9&gt;=14/24,U$9&lt;20/24)</formula>
    </cfRule>
    <cfRule type="expression" dxfId="4063" priority="139">
      <formula>AND(U$9&gt;=8/24,U$9&lt;14/24)</formula>
    </cfRule>
    <cfRule type="expression" dxfId="4062" priority="140">
      <formula>U$9&lt;8/24</formula>
    </cfRule>
  </conditionalFormatting>
  <conditionalFormatting sqref="B33:AF33">
    <cfRule type="expression" dxfId="4061" priority="136">
      <formula>B33&gt;$AG33</formula>
    </cfRule>
  </conditionalFormatting>
  <conditionalFormatting sqref="A33">
    <cfRule type="expression" dxfId="4060" priority="135">
      <formula>$AH33=0</formula>
    </cfRule>
  </conditionalFormatting>
  <conditionalFormatting sqref="B82:AF82">
    <cfRule type="expression" dxfId="4059" priority="131">
      <formula>B$9&gt;=20/24</formula>
    </cfRule>
    <cfRule type="expression" dxfId="4058" priority="132">
      <formula>AND(B$9&gt;=14/24,B$9&lt;20/24)</formula>
    </cfRule>
    <cfRule type="expression" dxfId="4057" priority="133">
      <formula>AND(B$9&gt;=8/24,B$9&lt;14/24)</formula>
    </cfRule>
    <cfRule type="expression" dxfId="4056" priority="134">
      <formula>B$9&lt;8/24</formula>
    </cfRule>
  </conditionalFormatting>
  <conditionalFormatting sqref="A82">
    <cfRule type="expression" dxfId="4055" priority="130">
      <formula>$AH82=0</formula>
    </cfRule>
  </conditionalFormatting>
  <conditionalFormatting sqref="M15:T15">
    <cfRule type="expression" dxfId="4054" priority="122">
      <formula>M$9&gt;=20/24</formula>
    </cfRule>
    <cfRule type="expression" dxfId="4053" priority="123">
      <formula>AND(M$9&gt;=14/24,M$9&lt;20/24)</formula>
    </cfRule>
    <cfRule type="expression" dxfId="4052" priority="124">
      <formula>AND(M$9&gt;=8/24,M$9&lt;14/24)</formula>
    </cfRule>
    <cfRule type="expression" dxfId="4051" priority="125">
      <formula>M$9&lt;8/24</formula>
    </cfRule>
  </conditionalFormatting>
  <conditionalFormatting sqref="B15:T15">
    <cfRule type="expression" dxfId="4050" priority="121">
      <formula>B15&gt;$AG15</formula>
    </cfRule>
  </conditionalFormatting>
  <conditionalFormatting sqref="A15">
    <cfRule type="expression" dxfId="4049" priority="120">
      <formula>$AH15=0</formula>
    </cfRule>
  </conditionalFormatting>
  <conditionalFormatting sqref="A162:A167">
    <cfRule type="expression" dxfId="4048" priority="119">
      <formula>$AH162=0</formula>
    </cfRule>
  </conditionalFormatting>
  <conditionalFormatting sqref="A156:A161">
    <cfRule type="expression" dxfId="4047" priority="118">
      <formula>$AH156=0</formula>
    </cfRule>
  </conditionalFormatting>
  <conditionalFormatting sqref="AA43:AD43">
    <cfRule type="expression" dxfId="4046" priority="114">
      <formula>AA$9&gt;=20/24</formula>
    </cfRule>
    <cfRule type="expression" dxfId="4045" priority="115">
      <formula>AND(AA$9&gt;=14/24,AA$9&lt;20/24)</formula>
    </cfRule>
    <cfRule type="expression" dxfId="4044" priority="116">
      <formula>AND(AA$9&gt;=8/24,AA$9&lt;14/24)</formula>
    </cfRule>
    <cfRule type="expression" dxfId="4043" priority="117">
      <formula>AA$9&lt;8/24</formula>
    </cfRule>
  </conditionalFormatting>
  <conditionalFormatting sqref="M43:T43">
    <cfRule type="expression" dxfId="4042" priority="110">
      <formula>M$9&gt;=20/24</formula>
    </cfRule>
    <cfRule type="expression" dxfId="4041" priority="111">
      <formula>AND(M$9&gt;=14/24,M$9&lt;20/24)</formula>
    </cfRule>
    <cfRule type="expression" dxfId="4040" priority="112">
      <formula>AND(M$9&gt;=8/24,M$9&lt;14/24)</formula>
    </cfRule>
    <cfRule type="expression" dxfId="4039" priority="113">
      <formula>M$9&lt;8/24</formula>
    </cfRule>
  </conditionalFormatting>
  <conditionalFormatting sqref="U43:Z43">
    <cfRule type="expression" dxfId="4038" priority="106">
      <formula>U$9&gt;=20/24</formula>
    </cfRule>
    <cfRule type="expression" dxfId="4037" priority="107">
      <formula>AND(U$9&gt;=14/24,U$9&lt;20/24)</formula>
    </cfRule>
    <cfRule type="expression" dxfId="4036" priority="108">
      <formula>AND(U$9&gt;=8/24,U$9&lt;14/24)</formula>
    </cfRule>
    <cfRule type="expression" dxfId="4035" priority="109">
      <formula>U$9&lt;8/24</formula>
    </cfRule>
  </conditionalFormatting>
  <conditionalFormatting sqref="B43:AF43">
    <cfRule type="expression" dxfId="4034" priority="105">
      <formula>B43&gt;$AG43</formula>
    </cfRule>
  </conditionalFormatting>
  <conditionalFormatting sqref="A43">
    <cfRule type="expression" dxfId="4033" priority="104">
      <formula>$AH43=0</formula>
    </cfRule>
  </conditionalFormatting>
  <conditionalFormatting sqref="B78:AF78">
    <cfRule type="expression" dxfId="4032" priority="100">
      <formula>B$9&gt;=20/24</formula>
    </cfRule>
    <cfRule type="expression" dxfId="4031" priority="101">
      <formula>AND(B$9&gt;=14/24,B$9&lt;20/24)</formula>
    </cfRule>
    <cfRule type="expression" dxfId="4030" priority="102">
      <formula>AND(B$9&gt;=8/24,B$9&lt;14/24)</formula>
    </cfRule>
    <cfRule type="expression" dxfId="4029" priority="103">
      <formula>B$9&lt;8/24</formula>
    </cfRule>
  </conditionalFormatting>
  <conditionalFormatting sqref="A78">
    <cfRule type="expression" dxfId="4028" priority="99">
      <formula>$AH78=0</formula>
    </cfRule>
  </conditionalFormatting>
  <conditionalFormatting sqref="B72:AG72">
    <cfRule type="expression" dxfId="4027" priority="95">
      <formula>B$9&gt;=20/24</formula>
    </cfRule>
    <cfRule type="expression" dxfId="4026" priority="96">
      <formula>AND(B$9&gt;=14/24,B$9&lt;20/24)</formula>
    </cfRule>
    <cfRule type="expression" dxfId="4025" priority="97">
      <formula>AND(B$9&gt;=8/24,B$9&lt;14/24)</formula>
    </cfRule>
    <cfRule type="expression" dxfId="4024" priority="98">
      <formula>B$9&lt;8/24</formula>
    </cfRule>
  </conditionalFormatting>
  <conditionalFormatting sqref="A72">
    <cfRule type="expression" dxfId="4023" priority="94">
      <formula>$AH72=0</formula>
    </cfRule>
  </conditionalFormatting>
  <conditionalFormatting sqref="AL33:AL34 AL7:AL3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U59:V66">
    <cfRule type="expression" dxfId="4022" priority="90">
      <formula>U$9&gt;=20/24</formula>
    </cfRule>
    <cfRule type="expression" dxfId="4021" priority="91">
      <formula>AND(U$9&gt;=14/24,U$9&lt;20/24)</formula>
    </cfRule>
    <cfRule type="expression" dxfId="4020" priority="92">
      <formula>AND(U$9&gt;=8/24,U$9&lt;14/24)</formula>
    </cfRule>
    <cfRule type="expression" dxfId="4019" priority="93">
      <formula>U$9&lt;8/24</formula>
    </cfRule>
  </conditionalFormatting>
  <conditionalFormatting sqref="U84:W90">
    <cfRule type="expression" dxfId="4018" priority="86">
      <formula>U$9&gt;=20/24</formula>
    </cfRule>
    <cfRule type="expression" dxfId="4017" priority="87">
      <formula>AND(U$9&gt;=14/24,U$9&lt;20/24)</formula>
    </cfRule>
    <cfRule type="expression" dxfId="4016" priority="88">
      <formula>AND(U$9&gt;=8/24,U$9&lt;14/24)</formula>
    </cfRule>
    <cfRule type="expression" dxfId="4015" priority="89">
      <formula>U$9&lt;8/24</formula>
    </cfRule>
  </conditionalFormatting>
  <conditionalFormatting sqref="B83:T90">
    <cfRule type="expression" dxfId="4014" priority="82">
      <formula>B$9&gt;=20/24</formula>
    </cfRule>
    <cfRule type="expression" dxfId="4013" priority="83">
      <formula>AND(B$9&gt;=14/24,B$9&lt;20/24)</formula>
    </cfRule>
    <cfRule type="expression" dxfId="4012" priority="84">
      <formula>AND(B$9&gt;=8/24,B$9&lt;14/24)</formula>
    </cfRule>
    <cfRule type="expression" dxfId="4011" priority="85">
      <formula>B$9&lt;8/24</formula>
    </cfRule>
  </conditionalFormatting>
  <conditionalFormatting sqref="B94:L96 B93:E93">
    <cfRule type="expression" dxfId="4010" priority="74">
      <formula>B$9&gt;=20/24</formula>
    </cfRule>
    <cfRule type="expression" dxfId="4009" priority="75">
      <formula>AND(B$9&gt;=14/24,B$9&lt;20/24)</formula>
    </cfRule>
    <cfRule type="expression" dxfId="4008" priority="76">
      <formula>AND(B$9&gt;=8/24,B$9&lt;14/24)</formula>
    </cfRule>
    <cfRule type="expression" dxfId="4007" priority="77">
      <formula>B$9&lt;8/24</formula>
    </cfRule>
  </conditionalFormatting>
  <conditionalFormatting sqref="M94:N96 N93 O93:T96">
    <cfRule type="expression" dxfId="4006" priority="70">
      <formula>M$9&gt;=20/24</formula>
    </cfRule>
    <cfRule type="expression" dxfId="4005" priority="71">
      <formula>AND(M$9&gt;=14/24,M$9&lt;20/24)</formula>
    </cfRule>
    <cfRule type="expression" dxfId="4004" priority="72">
      <formula>AND(M$9&gt;=8/24,M$9&lt;14/24)</formula>
    </cfRule>
    <cfRule type="expression" dxfId="4003" priority="73">
      <formula>M$9&lt;8/24</formula>
    </cfRule>
  </conditionalFormatting>
  <conditionalFormatting sqref="B97:L97">
    <cfRule type="expression" dxfId="4002" priority="62">
      <formula>B$9&gt;=20/24</formula>
    </cfRule>
    <cfRule type="expression" dxfId="4001" priority="63">
      <formula>AND(B$9&gt;=14/24,B$9&lt;20/24)</formula>
    </cfRule>
    <cfRule type="expression" dxfId="4000" priority="64">
      <formula>AND(B$9&gt;=8/24,B$9&lt;14/24)</formula>
    </cfRule>
    <cfRule type="expression" dxfId="3999" priority="65">
      <formula>B$9&lt;8/24</formula>
    </cfRule>
  </conditionalFormatting>
  <conditionalFormatting sqref="M97:T97">
    <cfRule type="expression" dxfId="3998" priority="58">
      <formula>M$9&gt;=20/24</formula>
    </cfRule>
    <cfRule type="expression" dxfId="3997" priority="59">
      <formula>AND(M$9&gt;=14/24,M$9&lt;20/24)</formula>
    </cfRule>
    <cfRule type="expression" dxfId="3996" priority="60">
      <formula>AND(M$9&gt;=8/24,M$9&lt;14/24)</formula>
    </cfRule>
    <cfRule type="expression" dxfId="3995" priority="61">
      <formula>M$9&lt;8/24</formula>
    </cfRule>
  </conditionalFormatting>
  <conditionalFormatting sqref="L93:M93">
    <cfRule type="expression" dxfId="3994" priority="50">
      <formula>L$9&gt;=20/24</formula>
    </cfRule>
    <cfRule type="expression" dxfId="3993" priority="51">
      <formula>AND(L$9&gt;=14/24,L$9&lt;20/24)</formula>
    </cfRule>
    <cfRule type="expression" dxfId="3992" priority="52">
      <formula>AND(L$9&gt;=8/24,L$9&lt;14/24)</formula>
    </cfRule>
    <cfRule type="expression" dxfId="3991" priority="53">
      <formula>L$9&lt;8/24</formula>
    </cfRule>
  </conditionalFormatting>
  <conditionalFormatting sqref="F93:K93">
    <cfRule type="expression" dxfId="3990" priority="46">
      <formula>F$9&gt;=20/24</formula>
    </cfRule>
    <cfRule type="expression" dxfId="3989" priority="47">
      <formula>AND(F$9&gt;=14/24,F$9&lt;20/24)</formula>
    </cfRule>
    <cfRule type="expression" dxfId="3988" priority="48">
      <formula>AND(F$9&gt;=8/24,F$9&lt;14/24)</formula>
    </cfRule>
    <cfRule type="expression" dxfId="3987" priority="49">
      <formula>F$9&lt;8/24</formula>
    </cfRule>
  </conditionalFormatting>
  <conditionalFormatting sqref="U93:W93">
    <cfRule type="expression" dxfId="3986" priority="42">
      <formula>U$9&gt;=20/24</formula>
    </cfRule>
    <cfRule type="expression" dxfId="3985" priority="43">
      <formula>AND(U$9&gt;=14/24,U$9&lt;20/24)</formula>
    </cfRule>
    <cfRule type="expression" dxfId="3984" priority="44">
      <formula>AND(U$9&gt;=8/24,U$9&lt;14/24)</formula>
    </cfRule>
    <cfRule type="expression" dxfId="3983" priority="45">
      <formula>U$9&lt;8/24</formula>
    </cfRule>
  </conditionalFormatting>
  <conditionalFormatting sqref="M93:T93">
    <cfRule type="expression" dxfId="3982" priority="38">
      <formula>M$9&gt;=20/24</formula>
    </cfRule>
    <cfRule type="expression" dxfId="3981" priority="39">
      <formula>AND(M$9&gt;=14/24,M$9&lt;20/24)</formula>
    </cfRule>
    <cfRule type="expression" dxfId="3980" priority="40">
      <formula>AND(M$9&gt;=8/24,M$9&lt;14/24)</formula>
    </cfRule>
    <cfRule type="expression" dxfId="3979" priority="41">
      <formula>M$9&lt;8/24</formula>
    </cfRule>
  </conditionalFormatting>
  <conditionalFormatting sqref="AA98:AF98">
    <cfRule type="expression" dxfId="3978" priority="34">
      <formula>AA$9&gt;=20/24</formula>
    </cfRule>
    <cfRule type="expression" dxfId="3977" priority="35">
      <formula>AND(AA$9&gt;=14/24,AA$9&lt;20/24)</formula>
    </cfRule>
    <cfRule type="expression" dxfId="3976" priority="36">
      <formula>AND(AA$9&gt;=8/24,AA$9&lt;14/24)</formula>
    </cfRule>
    <cfRule type="expression" dxfId="3975" priority="37">
      <formula>AA$9&lt;8/24</formula>
    </cfRule>
  </conditionalFormatting>
  <conditionalFormatting sqref="U98:Z98">
    <cfRule type="expression" dxfId="3974" priority="30">
      <formula>U$9&gt;=20/24</formula>
    </cfRule>
    <cfRule type="expression" dxfId="3973" priority="31">
      <formula>AND(U$9&gt;=14/24,U$9&lt;20/24)</formula>
    </cfRule>
    <cfRule type="expression" dxfId="3972" priority="32">
      <formula>AND(U$9&gt;=8/24,U$9&lt;14/24)</formula>
    </cfRule>
    <cfRule type="expression" dxfId="3971" priority="33">
      <formula>U$9&lt;8/24</formula>
    </cfRule>
  </conditionalFormatting>
  <conditionalFormatting sqref="A98">
    <cfRule type="expression" dxfId="3970" priority="29">
      <formula>$AH98=0</formula>
    </cfRule>
  </conditionalFormatting>
  <conditionalFormatting sqref="B98:L98">
    <cfRule type="expression" dxfId="3969" priority="25">
      <formula>B$9&gt;=20/24</formula>
    </cfRule>
    <cfRule type="expression" dxfId="3968" priority="26">
      <formula>AND(B$9&gt;=14/24,B$9&lt;20/24)</formula>
    </cfRule>
    <cfRule type="expression" dxfId="3967" priority="27">
      <formula>AND(B$9&gt;=8/24,B$9&lt;14/24)</formula>
    </cfRule>
    <cfRule type="expression" dxfId="3966" priority="28">
      <formula>B$9&lt;8/24</formula>
    </cfRule>
  </conditionalFormatting>
  <conditionalFormatting sqref="M98:T98">
    <cfRule type="expression" dxfId="3965" priority="21">
      <formula>M$9&gt;=20/24</formula>
    </cfRule>
    <cfRule type="expression" dxfId="3964" priority="22">
      <formula>AND(M$9&gt;=14/24,M$9&lt;20/24)</formula>
    </cfRule>
    <cfRule type="expression" dxfId="3963" priority="23">
      <formula>AND(M$9&gt;=8/24,M$9&lt;14/24)</formula>
    </cfRule>
    <cfRule type="expression" dxfId="3962" priority="24">
      <formula>M$9&lt;8/24</formula>
    </cfRule>
  </conditionalFormatting>
  <conditionalFormatting sqref="U12:X16 Y13:AF16">
    <cfRule type="expression" dxfId="3961" priority="13">
      <formula>U$9&gt;=20/24</formula>
    </cfRule>
    <cfRule type="expression" dxfId="3960" priority="14">
      <formula>AND(U$9&gt;=14/24,U$9&lt;20/24)</formula>
    </cfRule>
    <cfRule type="expression" dxfId="3959" priority="15">
      <formula>AND(U$9&gt;=8/24,U$9&lt;14/24)</formula>
    </cfRule>
    <cfRule type="expression" dxfId="3958" priority="16">
      <formula>U$9&lt;8/24</formula>
    </cfRule>
  </conditionalFormatting>
  <conditionalFormatting sqref="U17:AF17">
    <cfRule type="expression" dxfId="3957" priority="9">
      <formula>U$9&gt;=20/24</formula>
    </cfRule>
    <cfRule type="expression" dxfId="3956" priority="10">
      <formula>AND(U$9&gt;=14/24,U$9&lt;20/24)</formula>
    </cfRule>
    <cfRule type="expression" dxfId="3955" priority="11">
      <formula>AND(U$9&gt;=8/24,U$9&lt;14/24)</formula>
    </cfRule>
    <cfRule type="expression" dxfId="3954" priority="12">
      <formula>U$9&lt;8/24</formula>
    </cfRule>
  </conditionalFormatting>
  <conditionalFormatting sqref="U12:X13 Y13:AF13">
    <cfRule type="expression" dxfId="3953" priority="5">
      <formula>U$9&gt;=20/24</formula>
    </cfRule>
    <cfRule type="expression" dxfId="3952" priority="6">
      <formula>AND(U$9&gt;=14/24,U$9&lt;20/24)</formula>
    </cfRule>
    <cfRule type="expression" dxfId="3951" priority="7">
      <formula>AND(U$9&gt;=8/24,U$9&lt;14/24)</formula>
    </cfRule>
    <cfRule type="expression" dxfId="3950" priority="8">
      <formula>U$9&lt;8/24</formula>
    </cfRule>
  </conditionalFormatting>
  <conditionalFormatting sqref="AA57:AD58">
    <cfRule type="expression" dxfId="3949" priority="1">
      <formula>AA$9&gt;=20/24</formula>
    </cfRule>
    <cfRule type="expression" dxfId="3948" priority="2">
      <formula>AND(AA$9&gt;=14/24,AA$9&lt;20/24)</formula>
    </cfRule>
    <cfRule type="expression" dxfId="3947" priority="3">
      <formula>AND(AA$9&gt;=8/24,AA$9&lt;14/24)</formula>
    </cfRule>
    <cfRule type="expression" dxfId="3946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7" sqref="Y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2078/07/21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J4" s="1" t="s">
        <v>7</v>
      </c>
      <c r="AK4" t="s">
        <v>220</v>
      </c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-47.8</v>
      </c>
      <c r="C5" s="32">
        <f t="shared" ref="C5:AF5" si="0">C67</f>
        <v>-46.1</v>
      </c>
      <c r="D5" s="32">
        <f t="shared" si="0"/>
        <v>-63</v>
      </c>
      <c r="E5" s="32">
        <f t="shared" si="0"/>
        <v>-60</v>
      </c>
      <c r="F5" s="32">
        <f t="shared" si="0"/>
        <v>-42</v>
      </c>
      <c r="G5" s="32">
        <f t="shared" si="0"/>
        <v>-65</v>
      </c>
      <c r="H5" s="32">
        <f t="shared" si="0"/>
        <v>-58</v>
      </c>
      <c r="I5" s="32">
        <f t="shared" si="0"/>
        <v>-60</v>
      </c>
      <c r="J5" s="32">
        <f t="shared" si="0"/>
        <v>-40</v>
      </c>
      <c r="K5" s="32">
        <f t="shared" si="0"/>
        <v>-50</v>
      </c>
      <c r="L5" s="32">
        <f t="shared" si="0"/>
        <v>-50.7</v>
      </c>
      <c r="M5" s="32">
        <f t="shared" si="0"/>
        <v>-71.5</v>
      </c>
      <c r="N5" s="32">
        <f t="shared" si="0"/>
        <v>-90</v>
      </c>
      <c r="O5" s="32">
        <f t="shared" si="0"/>
        <v>-59.2</v>
      </c>
      <c r="P5" s="32">
        <f t="shared" si="0"/>
        <v>-81</v>
      </c>
      <c r="Q5" s="32">
        <f t="shared" si="0"/>
        <v>-91</v>
      </c>
      <c r="R5" s="32">
        <f t="shared" si="0"/>
        <v>-71</v>
      </c>
      <c r="S5" s="32">
        <f t="shared" si="0"/>
        <v>-60</v>
      </c>
      <c r="T5" s="32">
        <f t="shared" si="0"/>
        <v>-60</v>
      </c>
      <c r="U5" s="32">
        <f t="shared" si="0"/>
        <v>-70.2</v>
      </c>
      <c r="V5" s="32">
        <f t="shared" si="0"/>
        <v>-42.5</v>
      </c>
      <c r="W5" s="32">
        <f t="shared" si="0"/>
        <v>-57</v>
      </c>
      <c r="X5" s="32">
        <f t="shared" si="0"/>
        <v>-45</v>
      </c>
      <c r="Y5" s="32">
        <f t="shared" si="0"/>
        <v>-61</v>
      </c>
      <c r="Z5" s="32">
        <f t="shared" si="0"/>
        <v>-55</v>
      </c>
      <c r="AA5" s="32">
        <f t="shared" si="0"/>
        <v>-63.4</v>
      </c>
      <c r="AB5" s="32">
        <f t="shared" si="0"/>
        <v>-47.1</v>
      </c>
      <c r="AC5" s="32">
        <f t="shared" si="0"/>
        <v>-53.5</v>
      </c>
      <c r="AD5" s="32">
        <f t="shared" si="0"/>
        <v>-69.099999999999994</v>
      </c>
      <c r="AE5" s="32">
        <f t="shared" si="0"/>
        <v>-64.3</v>
      </c>
      <c r="AF5" s="32">
        <f t="shared" si="0"/>
        <v>-53.3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925MW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J6" s="183"/>
      <c r="AK6" s="183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Load=744</v>
      </c>
      <c r="B7" s="37">
        <f t="shared" ref="B7:AF7" si="1">B74</f>
        <v>769.63999999999987</v>
      </c>
      <c r="C7" s="37">
        <f t="shared" si="1"/>
        <v>771.93999999999983</v>
      </c>
      <c r="D7" s="37">
        <f t="shared" si="1"/>
        <v>744.13999999999987</v>
      </c>
      <c r="E7" s="37">
        <f t="shared" si="1"/>
        <v>745.7399999999999</v>
      </c>
      <c r="F7" s="37">
        <f t="shared" si="1"/>
        <v>767.63999999999987</v>
      </c>
      <c r="G7" s="37">
        <f t="shared" si="1"/>
        <v>801.13999999999987</v>
      </c>
      <c r="H7" s="37">
        <f t="shared" si="1"/>
        <v>811.83999999999992</v>
      </c>
      <c r="I7" s="37">
        <f t="shared" si="1"/>
        <v>831.74</v>
      </c>
      <c r="J7" s="37">
        <f t="shared" si="1"/>
        <v>851.74</v>
      </c>
      <c r="K7" s="37">
        <f t="shared" si="1"/>
        <v>888.33999999999992</v>
      </c>
      <c r="L7" s="37">
        <f>L74</f>
        <v>924.64</v>
      </c>
      <c r="M7" s="37">
        <f t="shared" si="1"/>
        <v>902.53999999999985</v>
      </c>
      <c r="N7" s="37">
        <f t="shared" si="1"/>
        <v>843.93999999999983</v>
      </c>
      <c r="O7" s="37">
        <f t="shared" si="1"/>
        <v>864.04</v>
      </c>
      <c r="P7" s="37">
        <f t="shared" si="1"/>
        <v>882.24</v>
      </c>
      <c r="Q7" s="37">
        <f t="shared" si="1"/>
        <v>822.24</v>
      </c>
      <c r="R7" s="37">
        <f t="shared" si="1"/>
        <v>818.44</v>
      </c>
      <c r="S7" s="37">
        <f t="shared" si="1"/>
        <v>812.74</v>
      </c>
      <c r="T7" s="37">
        <f t="shared" si="1"/>
        <v>856.74</v>
      </c>
      <c r="U7" s="37">
        <f t="shared" si="1"/>
        <v>959.6400000000001</v>
      </c>
      <c r="V7" s="37">
        <f t="shared" si="1"/>
        <v>1065.74</v>
      </c>
      <c r="W7" s="37">
        <f t="shared" si="1"/>
        <v>1250.9000000000001</v>
      </c>
      <c r="X7" s="37">
        <f t="shared" si="1"/>
        <v>1219.8399999999999</v>
      </c>
      <c r="Y7" s="37">
        <f t="shared" si="1"/>
        <v>1179.3399999999999</v>
      </c>
      <c r="Z7" s="37">
        <f t="shared" si="1"/>
        <v>1111.8400000000001</v>
      </c>
      <c r="AA7" s="37">
        <f t="shared" si="1"/>
        <v>1057.94</v>
      </c>
      <c r="AB7" s="37">
        <f t="shared" si="1"/>
        <v>997.93999999999994</v>
      </c>
      <c r="AC7" s="37">
        <f t="shared" si="1"/>
        <v>941.54</v>
      </c>
      <c r="AD7" s="37">
        <f t="shared" si="1"/>
        <v>842.33999999999992</v>
      </c>
      <c r="AE7" s="37">
        <f t="shared" si="1"/>
        <v>767.63999999999987</v>
      </c>
      <c r="AF7" s="37">
        <f t="shared" si="1"/>
        <v>771.33999999999992</v>
      </c>
      <c r="AG7" s="38"/>
      <c r="AH7" s="39"/>
      <c r="AI7" s="40"/>
      <c r="AJ7" s="1">
        <v>188</v>
      </c>
      <c r="AK7">
        <v>248</v>
      </c>
      <c r="AL7">
        <f>AJ7+AK7</f>
        <v>436</v>
      </c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70</v>
      </c>
      <c r="C11" s="54">
        <v>70</v>
      </c>
      <c r="D11" s="54">
        <v>70</v>
      </c>
      <c r="E11" s="54">
        <v>70</v>
      </c>
      <c r="F11" s="49">
        <v>70</v>
      </c>
      <c r="G11" s="49">
        <v>100</v>
      </c>
      <c r="H11" s="49">
        <v>100</v>
      </c>
      <c r="I11" s="49">
        <v>100</v>
      </c>
      <c r="J11" s="49">
        <v>100</v>
      </c>
      <c r="K11" s="49">
        <v>100</v>
      </c>
      <c r="L11" s="50">
        <v>130</v>
      </c>
      <c r="M11" s="50">
        <v>130</v>
      </c>
      <c r="N11" s="50">
        <v>110</v>
      </c>
      <c r="O11" s="50">
        <v>120</v>
      </c>
      <c r="P11" s="50">
        <v>160</v>
      </c>
      <c r="Q11" s="51">
        <v>110</v>
      </c>
      <c r="R11" s="51">
        <v>100</v>
      </c>
      <c r="S11" s="52">
        <v>100</v>
      </c>
      <c r="T11" s="52">
        <v>110</v>
      </c>
      <c r="U11" s="52">
        <v>140</v>
      </c>
      <c r="V11" s="52">
        <v>180</v>
      </c>
      <c r="W11" s="52">
        <v>250</v>
      </c>
      <c r="X11" s="52">
        <v>250</v>
      </c>
      <c r="Y11" s="52">
        <v>275</v>
      </c>
      <c r="Z11" s="52">
        <v>235</v>
      </c>
      <c r="AA11" s="54">
        <v>190</v>
      </c>
      <c r="AB11" s="54">
        <v>140</v>
      </c>
      <c r="AC11" s="54">
        <v>100</v>
      </c>
      <c r="AD11" s="54">
        <v>80</v>
      </c>
      <c r="AE11" s="49">
        <v>60</v>
      </c>
      <c r="AF11" s="49">
        <v>60</v>
      </c>
      <c r="AG11" s="55">
        <v>456</v>
      </c>
      <c r="AH11" s="56">
        <f>MAX(B11:AF11)</f>
        <v>275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40</v>
      </c>
      <c r="C12" s="50">
        <v>40</v>
      </c>
      <c r="D12" s="50">
        <v>40</v>
      </c>
      <c r="E12" s="50">
        <v>40</v>
      </c>
      <c r="F12" s="50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49">
        <v>40</v>
      </c>
      <c r="M12" s="49">
        <v>40</v>
      </c>
      <c r="N12" s="49">
        <v>40</v>
      </c>
      <c r="O12" s="49">
        <v>40</v>
      </c>
      <c r="P12" s="49">
        <v>40</v>
      </c>
      <c r="Q12" s="49">
        <v>40</v>
      </c>
      <c r="R12" s="49">
        <v>40</v>
      </c>
      <c r="S12" s="49">
        <v>40</v>
      </c>
      <c r="T12" s="49">
        <v>40</v>
      </c>
      <c r="U12" s="49">
        <v>40</v>
      </c>
      <c r="V12" s="49">
        <v>50</v>
      </c>
      <c r="W12" s="49">
        <v>60</v>
      </c>
      <c r="X12" s="49">
        <v>60</v>
      </c>
      <c r="Y12" s="49">
        <v>60</v>
      </c>
      <c r="Z12" s="49">
        <v>60</v>
      </c>
      <c r="AA12" s="50">
        <v>60</v>
      </c>
      <c r="AB12" s="50">
        <v>60</v>
      </c>
      <c r="AC12" s="50">
        <v>60</v>
      </c>
      <c r="AD12" s="50">
        <v>60</v>
      </c>
      <c r="AE12" s="49">
        <v>40</v>
      </c>
      <c r="AF12" s="49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60">
        <v>0</v>
      </c>
      <c r="C13" s="60">
        <v>0</v>
      </c>
      <c r="D13" s="60">
        <v>0</v>
      </c>
      <c r="E13" s="60">
        <v>0</v>
      </c>
      <c r="F13" s="60">
        <v>0</v>
      </c>
      <c r="G13" s="49">
        <v>13</v>
      </c>
      <c r="H13" s="49">
        <v>13</v>
      </c>
      <c r="I13" s="49">
        <v>13</v>
      </c>
      <c r="J13" s="49">
        <v>13</v>
      </c>
      <c r="K13" s="49">
        <v>13</v>
      </c>
      <c r="L13" s="49">
        <v>13</v>
      </c>
      <c r="M13" s="49">
        <v>13</v>
      </c>
      <c r="N13" s="49">
        <v>13</v>
      </c>
      <c r="O13" s="49">
        <v>13</v>
      </c>
      <c r="P13" s="49">
        <v>13</v>
      </c>
      <c r="Q13" s="49">
        <v>13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13</v>
      </c>
      <c r="X13" s="49">
        <v>13</v>
      </c>
      <c r="Y13" s="49">
        <v>13</v>
      </c>
      <c r="Z13" s="49">
        <v>13</v>
      </c>
      <c r="AA13" s="49">
        <v>13</v>
      </c>
      <c r="AB13" s="49">
        <v>13</v>
      </c>
      <c r="AC13" s="49">
        <v>13</v>
      </c>
      <c r="AD13" s="49">
        <v>13</v>
      </c>
      <c r="AE13" s="49">
        <v>13</v>
      </c>
      <c r="AF13" s="49">
        <v>13</v>
      </c>
      <c r="AG13" s="61">
        <v>52.4</v>
      </c>
      <c r="AH13" s="56">
        <f t="shared" si="2"/>
        <v>13</v>
      </c>
      <c r="AI13" s="57">
        <f t="shared" si="3"/>
        <v>0</v>
      </c>
      <c r="AK13" s="1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62">
        <v>25.2</v>
      </c>
      <c r="C14" s="62">
        <v>25.2</v>
      </c>
      <c r="D14" s="62">
        <v>25.2</v>
      </c>
      <c r="E14" s="62">
        <v>25.2</v>
      </c>
      <c r="F14" s="62">
        <v>25.2</v>
      </c>
      <c r="G14" s="62">
        <v>25.2</v>
      </c>
      <c r="H14" s="62">
        <v>25.2</v>
      </c>
      <c r="I14" s="62">
        <v>25.2</v>
      </c>
      <c r="J14" s="62">
        <v>25.2</v>
      </c>
      <c r="K14" s="62">
        <v>25.2</v>
      </c>
      <c r="L14" s="50">
        <v>25.6</v>
      </c>
      <c r="M14" s="50">
        <v>25.5</v>
      </c>
      <c r="N14" s="50">
        <v>25.5</v>
      </c>
      <c r="O14" s="50">
        <v>25.5</v>
      </c>
      <c r="P14" s="50">
        <v>25.5</v>
      </c>
      <c r="Q14" s="50">
        <v>25.5</v>
      </c>
      <c r="R14" s="50">
        <v>25.5</v>
      </c>
      <c r="S14" s="50">
        <v>25.5</v>
      </c>
      <c r="T14" s="50">
        <v>25.5</v>
      </c>
      <c r="U14" s="50">
        <v>25.5</v>
      </c>
      <c r="V14" s="50">
        <v>25.5</v>
      </c>
      <c r="W14" s="50">
        <v>25.5</v>
      </c>
      <c r="X14" s="50">
        <v>25.2</v>
      </c>
      <c r="Y14" s="50">
        <v>25.2</v>
      </c>
      <c r="Z14" s="50">
        <v>25.3</v>
      </c>
      <c r="AA14" s="50">
        <v>25.3</v>
      </c>
      <c r="AB14" s="50">
        <v>25.3</v>
      </c>
      <c r="AC14" s="50">
        <v>25.3</v>
      </c>
      <c r="AD14" s="50">
        <v>25.3</v>
      </c>
      <c r="AE14" s="50">
        <v>25.3</v>
      </c>
      <c r="AF14" s="50">
        <v>25.3</v>
      </c>
      <c r="AG14" s="61">
        <v>50</v>
      </c>
      <c r="AH14" s="56">
        <f t="shared" si="2"/>
        <v>25.6</v>
      </c>
      <c r="AI14" s="57">
        <f t="shared" si="3"/>
        <v>25.2</v>
      </c>
      <c r="AK14" s="1">
        <f>24*500</f>
        <v>12000</v>
      </c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2">
        <v>37</v>
      </c>
      <c r="C15" s="62">
        <v>37</v>
      </c>
      <c r="D15" s="62">
        <v>37</v>
      </c>
      <c r="E15" s="62">
        <v>37</v>
      </c>
      <c r="F15" s="62">
        <v>37</v>
      </c>
      <c r="G15" s="62">
        <v>37</v>
      </c>
      <c r="H15" s="62">
        <v>37</v>
      </c>
      <c r="I15" s="62">
        <v>37</v>
      </c>
      <c r="J15" s="62">
        <v>37</v>
      </c>
      <c r="K15" s="62">
        <v>37</v>
      </c>
      <c r="L15" s="50">
        <v>36.9</v>
      </c>
      <c r="M15" s="50">
        <v>36.9</v>
      </c>
      <c r="N15" s="50">
        <v>36.9</v>
      </c>
      <c r="O15" s="50">
        <v>36.9</v>
      </c>
      <c r="P15" s="50">
        <v>36.9</v>
      </c>
      <c r="Q15" s="50">
        <v>36.9</v>
      </c>
      <c r="R15" s="50">
        <v>36.9</v>
      </c>
      <c r="S15" s="50">
        <v>36.9</v>
      </c>
      <c r="T15" s="50">
        <v>36.9</v>
      </c>
      <c r="U15" s="50">
        <v>36.9</v>
      </c>
      <c r="V15" s="50">
        <v>36.9</v>
      </c>
      <c r="W15" s="50">
        <v>36.9</v>
      </c>
      <c r="X15" s="50">
        <v>36.9</v>
      </c>
      <c r="Y15" s="50">
        <v>36.9</v>
      </c>
      <c r="Z15" s="50">
        <v>36.700000000000003</v>
      </c>
      <c r="AA15" s="50">
        <v>36.700000000000003</v>
      </c>
      <c r="AB15" s="50">
        <v>36.700000000000003</v>
      </c>
      <c r="AC15" s="50">
        <v>36.700000000000003</v>
      </c>
      <c r="AD15" s="50">
        <v>36.700000000000003</v>
      </c>
      <c r="AE15" s="50">
        <v>36.700000000000003</v>
      </c>
      <c r="AF15" s="50">
        <v>36.700000000000003</v>
      </c>
      <c r="AG15" s="64">
        <v>45</v>
      </c>
      <c r="AH15" s="56">
        <f t="shared" si="2"/>
        <v>37</v>
      </c>
      <c r="AI15" s="57">
        <f t="shared" si="3"/>
        <v>36.700000000000003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22</v>
      </c>
      <c r="C16" s="65">
        <v>22</v>
      </c>
      <c r="D16" s="65">
        <v>22</v>
      </c>
      <c r="E16" s="65">
        <v>22</v>
      </c>
      <c r="F16" s="65">
        <v>22</v>
      </c>
      <c r="G16" s="65">
        <v>22</v>
      </c>
      <c r="H16" s="65">
        <v>22</v>
      </c>
      <c r="I16" s="65">
        <v>22.9</v>
      </c>
      <c r="J16" s="65">
        <v>22.9</v>
      </c>
      <c r="K16" s="65">
        <v>22.9</v>
      </c>
      <c r="L16" s="50">
        <v>23</v>
      </c>
      <c r="M16" s="50">
        <v>23</v>
      </c>
      <c r="N16" s="50">
        <v>23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50">
        <v>23</v>
      </c>
      <c r="W16" s="50">
        <v>23</v>
      </c>
      <c r="X16" s="50">
        <v>23</v>
      </c>
      <c r="Y16" s="50">
        <v>23</v>
      </c>
      <c r="Z16" s="50">
        <v>23</v>
      </c>
      <c r="AA16" s="50">
        <v>23</v>
      </c>
      <c r="AB16" s="50">
        <v>23</v>
      </c>
      <c r="AC16" s="50">
        <v>23</v>
      </c>
      <c r="AD16" s="50">
        <v>23</v>
      </c>
      <c r="AE16" s="50">
        <v>23</v>
      </c>
      <c r="AF16" s="50">
        <v>23</v>
      </c>
      <c r="AG16" s="61">
        <v>45</v>
      </c>
      <c r="AH16" s="56">
        <f t="shared" si="2"/>
        <v>23</v>
      </c>
      <c r="AI16" s="57">
        <f t="shared" si="3"/>
        <v>22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62">
        <v>25</v>
      </c>
      <c r="C17" s="62">
        <v>25</v>
      </c>
      <c r="D17" s="62">
        <v>25</v>
      </c>
      <c r="E17" s="62">
        <v>25</v>
      </c>
      <c r="F17" s="62">
        <v>25</v>
      </c>
      <c r="G17" s="62">
        <v>25</v>
      </c>
      <c r="H17" s="62">
        <v>25</v>
      </c>
      <c r="I17" s="62">
        <v>25</v>
      </c>
      <c r="J17" s="62">
        <v>25</v>
      </c>
      <c r="K17" s="62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50">
        <v>25</v>
      </c>
      <c r="X17" s="50">
        <v>25</v>
      </c>
      <c r="Y17" s="50">
        <v>25</v>
      </c>
      <c r="Z17" s="50">
        <v>25</v>
      </c>
      <c r="AA17" s="50">
        <v>25</v>
      </c>
      <c r="AB17" s="50">
        <v>25</v>
      </c>
      <c r="AC17" s="50">
        <v>25</v>
      </c>
      <c r="AD17" s="50">
        <v>25</v>
      </c>
      <c r="AE17" s="50">
        <v>25</v>
      </c>
      <c r="AF17" s="50">
        <v>25</v>
      </c>
      <c r="AG17" s="61">
        <v>42</v>
      </c>
      <c r="AH17" s="56">
        <f t="shared" si="2"/>
        <v>25</v>
      </c>
      <c r="AI17" s="57">
        <f t="shared" si="3"/>
        <v>25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25</v>
      </c>
      <c r="C18" s="50">
        <v>25</v>
      </c>
      <c r="D18" s="50">
        <v>25</v>
      </c>
      <c r="E18" s="50">
        <v>25</v>
      </c>
      <c r="F18" s="50">
        <v>25</v>
      </c>
      <c r="G18" s="50">
        <v>25</v>
      </c>
      <c r="H18" s="50">
        <v>25</v>
      </c>
      <c r="I18" s="50">
        <v>25</v>
      </c>
      <c r="J18" s="50">
        <v>25</v>
      </c>
      <c r="K18" s="50">
        <v>25</v>
      </c>
      <c r="L18" s="50">
        <v>25</v>
      </c>
      <c r="M18" s="50">
        <v>25</v>
      </c>
      <c r="N18" s="50">
        <v>25</v>
      </c>
      <c r="O18" s="50">
        <v>21</v>
      </c>
      <c r="P18" s="50">
        <v>21</v>
      </c>
      <c r="Q18" s="50">
        <v>21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25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20.7</v>
      </c>
      <c r="C19" s="50">
        <v>20.7</v>
      </c>
      <c r="D19" s="50">
        <v>20.7</v>
      </c>
      <c r="E19" s="50">
        <v>20.7</v>
      </c>
      <c r="F19" s="50">
        <v>20.7</v>
      </c>
      <c r="G19" s="50">
        <v>20.7</v>
      </c>
      <c r="H19" s="50">
        <v>20.7</v>
      </c>
      <c r="I19" s="50">
        <v>20.7</v>
      </c>
      <c r="J19" s="50">
        <v>20.7</v>
      </c>
      <c r="K19" s="50">
        <v>20.7</v>
      </c>
      <c r="L19" s="50">
        <v>20.8</v>
      </c>
      <c r="M19" s="50">
        <v>24.5</v>
      </c>
      <c r="N19" s="50">
        <v>24.5</v>
      </c>
      <c r="O19" s="50">
        <v>20.9</v>
      </c>
      <c r="P19" s="50">
        <v>20.9</v>
      </c>
      <c r="Q19" s="50">
        <v>20.9</v>
      </c>
      <c r="R19" s="50">
        <v>20.9</v>
      </c>
      <c r="S19" s="50">
        <v>20.9</v>
      </c>
      <c r="T19" s="50">
        <v>20.9</v>
      </c>
      <c r="U19" s="50">
        <v>20.9</v>
      </c>
      <c r="V19" s="50">
        <v>20.9</v>
      </c>
      <c r="W19" s="50">
        <v>23.6</v>
      </c>
      <c r="X19" s="50">
        <v>23.5</v>
      </c>
      <c r="Y19" s="50">
        <v>23.5</v>
      </c>
      <c r="Z19" s="50">
        <v>23.5</v>
      </c>
      <c r="AA19" s="50">
        <v>23.5</v>
      </c>
      <c r="AB19" s="50">
        <v>23.5</v>
      </c>
      <c r="AC19" s="50">
        <v>23.5</v>
      </c>
      <c r="AD19" s="50">
        <v>23.5</v>
      </c>
      <c r="AE19" s="50">
        <v>23.5</v>
      </c>
      <c r="AF19" s="50">
        <v>23.5</v>
      </c>
      <c r="AG19" s="61">
        <v>30</v>
      </c>
      <c r="AH19" s="56">
        <f t="shared" si="2"/>
        <v>24.5</v>
      </c>
      <c r="AI19" s="57">
        <f t="shared" si="3"/>
        <v>20.7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22.1</v>
      </c>
      <c r="C23" s="50">
        <v>22.1</v>
      </c>
      <c r="D23" s="50">
        <v>22.1</v>
      </c>
      <c r="E23" s="50">
        <v>22.1</v>
      </c>
      <c r="F23" s="50">
        <v>22.1</v>
      </c>
      <c r="G23" s="50">
        <v>22.1</v>
      </c>
      <c r="H23" s="50">
        <v>22.1</v>
      </c>
      <c r="I23" s="50">
        <v>22.1</v>
      </c>
      <c r="J23" s="50">
        <v>22.1</v>
      </c>
      <c r="K23" s="50">
        <v>22.1</v>
      </c>
      <c r="L23" s="50">
        <v>22.1</v>
      </c>
      <c r="M23" s="50">
        <v>22.1</v>
      </c>
      <c r="N23" s="50">
        <v>22.1</v>
      </c>
      <c r="O23" s="50">
        <v>22.1</v>
      </c>
      <c r="P23" s="50">
        <v>22.1</v>
      </c>
      <c r="Q23" s="50">
        <v>22.1</v>
      </c>
      <c r="R23" s="50">
        <v>22.1</v>
      </c>
      <c r="S23" s="50">
        <v>22.1</v>
      </c>
      <c r="T23" s="50">
        <v>22.1</v>
      </c>
      <c r="U23" s="50">
        <v>22.1</v>
      </c>
      <c r="V23" s="50">
        <v>22.1</v>
      </c>
      <c r="W23" s="50">
        <v>22</v>
      </c>
      <c r="X23" s="50">
        <v>22</v>
      </c>
      <c r="Y23" s="50">
        <v>22</v>
      </c>
      <c r="Z23" s="50">
        <v>22</v>
      </c>
      <c r="AA23" s="50">
        <v>22</v>
      </c>
      <c r="AB23" s="50">
        <v>22</v>
      </c>
      <c r="AC23" s="50">
        <v>22</v>
      </c>
      <c r="AD23" s="50">
        <v>22</v>
      </c>
      <c r="AE23" s="50">
        <v>22</v>
      </c>
      <c r="AF23" s="50">
        <v>22</v>
      </c>
      <c r="AG23" s="61">
        <v>25</v>
      </c>
      <c r="AH23" s="56">
        <f t="shared" si="2"/>
        <v>22.1</v>
      </c>
      <c r="AI23" s="57">
        <f t="shared" si="3"/>
        <v>22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22</v>
      </c>
      <c r="C24" s="50">
        <v>22</v>
      </c>
      <c r="D24" s="50">
        <v>22</v>
      </c>
      <c r="E24" s="50">
        <v>22</v>
      </c>
      <c r="F24" s="50">
        <v>22</v>
      </c>
      <c r="G24" s="50">
        <v>22</v>
      </c>
      <c r="H24" s="50">
        <v>22</v>
      </c>
      <c r="I24" s="50">
        <v>22</v>
      </c>
      <c r="J24" s="50">
        <v>22</v>
      </c>
      <c r="K24" s="50">
        <v>22</v>
      </c>
      <c r="L24" s="50">
        <v>22</v>
      </c>
      <c r="M24" s="50">
        <v>22</v>
      </c>
      <c r="N24" s="50">
        <v>22</v>
      </c>
      <c r="O24" s="50">
        <v>22</v>
      </c>
      <c r="P24" s="50">
        <v>22</v>
      </c>
      <c r="Q24" s="50">
        <v>22</v>
      </c>
      <c r="R24" s="50">
        <v>22</v>
      </c>
      <c r="S24" s="50">
        <v>22</v>
      </c>
      <c r="T24" s="50">
        <v>22</v>
      </c>
      <c r="U24" s="50">
        <v>22</v>
      </c>
      <c r="V24" s="50">
        <v>22</v>
      </c>
      <c r="W24" s="50">
        <v>22</v>
      </c>
      <c r="X24" s="50">
        <v>22</v>
      </c>
      <c r="Y24" s="50">
        <v>22</v>
      </c>
      <c r="Z24" s="50">
        <v>22</v>
      </c>
      <c r="AA24" s="50">
        <v>22</v>
      </c>
      <c r="AB24" s="50">
        <v>22</v>
      </c>
      <c r="AC24" s="50">
        <v>22</v>
      </c>
      <c r="AD24" s="50">
        <v>22</v>
      </c>
      <c r="AE24" s="50">
        <v>22</v>
      </c>
      <c r="AF24" s="50">
        <v>22</v>
      </c>
      <c r="AG24" s="61">
        <v>25</v>
      </c>
      <c r="AH24" s="56">
        <f t="shared" si="2"/>
        <v>22</v>
      </c>
      <c r="AI24" s="57">
        <f t="shared" si="3"/>
        <v>22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22</v>
      </c>
      <c r="C25" s="50">
        <v>22</v>
      </c>
      <c r="D25" s="50">
        <v>22</v>
      </c>
      <c r="E25" s="50">
        <v>22</v>
      </c>
      <c r="F25" s="50">
        <v>22</v>
      </c>
      <c r="G25" s="50">
        <v>22</v>
      </c>
      <c r="H25" s="50">
        <v>22</v>
      </c>
      <c r="I25" s="50">
        <v>22</v>
      </c>
      <c r="J25" s="50">
        <v>22</v>
      </c>
      <c r="K25" s="50">
        <v>22</v>
      </c>
      <c r="L25" s="50">
        <v>22</v>
      </c>
      <c r="M25" s="50">
        <v>22</v>
      </c>
      <c r="N25" s="50">
        <v>22</v>
      </c>
      <c r="O25" s="50">
        <v>22</v>
      </c>
      <c r="P25" s="50">
        <v>22</v>
      </c>
      <c r="Q25" s="50">
        <v>22</v>
      </c>
      <c r="R25" s="50">
        <v>22</v>
      </c>
      <c r="S25" s="50">
        <v>22</v>
      </c>
      <c r="T25" s="50">
        <v>22</v>
      </c>
      <c r="U25" s="50">
        <v>22</v>
      </c>
      <c r="V25" s="50">
        <v>22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22</v>
      </c>
      <c r="AE25" s="50">
        <v>22</v>
      </c>
      <c r="AF25" s="50">
        <v>22</v>
      </c>
      <c r="AG25" s="61">
        <v>24.2</v>
      </c>
      <c r="AH25" s="56">
        <f t="shared" si="2"/>
        <v>22</v>
      </c>
      <c r="AI25" s="57">
        <f t="shared" si="3"/>
        <v>22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12</v>
      </c>
      <c r="M26" s="50">
        <v>12</v>
      </c>
      <c r="N26" s="50">
        <v>12</v>
      </c>
      <c r="O26" s="50">
        <v>12</v>
      </c>
      <c r="P26" s="50">
        <v>12</v>
      </c>
      <c r="Q26" s="50">
        <v>12</v>
      </c>
      <c r="R26" s="50">
        <v>12</v>
      </c>
      <c r="S26" s="50">
        <v>12</v>
      </c>
      <c r="T26" s="50">
        <v>12</v>
      </c>
      <c r="U26" s="50">
        <v>12</v>
      </c>
      <c r="V26" s="50">
        <v>12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12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14.9</v>
      </c>
      <c r="C27" s="50">
        <v>14.9</v>
      </c>
      <c r="D27" s="50">
        <v>14.9</v>
      </c>
      <c r="E27" s="50">
        <v>14.9</v>
      </c>
      <c r="F27" s="50">
        <v>14.9</v>
      </c>
      <c r="G27" s="50">
        <v>14.9</v>
      </c>
      <c r="H27" s="50">
        <v>14.9</v>
      </c>
      <c r="I27" s="50">
        <v>14.9</v>
      </c>
      <c r="J27" s="50">
        <v>14.9</v>
      </c>
      <c r="K27" s="50">
        <v>14.9</v>
      </c>
      <c r="L27" s="50">
        <v>14.9</v>
      </c>
      <c r="M27" s="50">
        <v>14.9</v>
      </c>
      <c r="N27" s="50">
        <v>14.9</v>
      </c>
      <c r="O27" s="50">
        <v>14.9</v>
      </c>
      <c r="P27" s="50">
        <v>14.9</v>
      </c>
      <c r="Q27" s="50">
        <v>14.9</v>
      </c>
      <c r="R27" s="50">
        <v>14.9</v>
      </c>
      <c r="S27" s="50">
        <v>14.9</v>
      </c>
      <c r="T27" s="50">
        <v>14.9</v>
      </c>
      <c r="U27" s="50">
        <v>14.9</v>
      </c>
      <c r="V27" s="50">
        <v>14.9</v>
      </c>
      <c r="W27" s="50">
        <v>14.9</v>
      </c>
      <c r="X27" s="50">
        <v>14.9</v>
      </c>
      <c r="Y27" s="50">
        <v>14.9</v>
      </c>
      <c r="Z27" s="50">
        <v>14.9</v>
      </c>
      <c r="AA27" s="50">
        <v>14.9</v>
      </c>
      <c r="AB27" s="50">
        <v>14.9</v>
      </c>
      <c r="AC27" s="50">
        <v>14.9</v>
      </c>
      <c r="AD27" s="50">
        <v>14.9</v>
      </c>
      <c r="AE27" s="50">
        <v>14.9</v>
      </c>
      <c r="AF27" s="50">
        <v>14.9</v>
      </c>
      <c r="AG27" s="61">
        <v>23.5</v>
      </c>
      <c r="AH27" s="56">
        <f t="shared" si="2"/>
        <v>14.9</v>
      </c>
      <c r="AI27" s="57">
        <f t="shared" si="3"/>
        <v>14.9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10</v>
      </c>
      <c r="C28" s="50">
        <v>10</v>
      </c>
      <c r="D28" s="50">
        <v>10</v>
      </c>
      <c r="E28" s="50">
        <v>10</v>
      </c>
      <c r="F28" s="50">
        <v>10</v>
      </c>
      <c r="G28" s="50">
        <v>10</v>
      </c>
      <c r="H28" s="50">
        <v>10</v>
      </c>
      <c r="I28" s="50">
        <v>10</v>
      </c>
      <c r="J28" s="50">
        <v>10</v>
      </c>
      <c r="K28" s="50">
        <v>10</v>
      </c>
      <c r="L28" s="50">
        <v>4.5</v>
      </c>
      <c r="M28" s="50">
        <v>4.5</v>
      </c>
      <c r="N28" s="50">
        <v>4.5</v>
      </c>
      <c r="O28" s="50">
        <v>4.5</v>
      </c>
      <c r="P28" s="50">
        <v>4.5</v>
      </c>
      <c r="Q28" s="50">
        <v>4.5</v>
      </c>
      <c r="R28" s="50">
        <v>4.5</v>
      </c>
      <c r="S28" s="50">
        <v>4.5</v>
      </c>
      <c r="T28" s="50">
        <v>4.5</v>
      </c>
      <c r="U28" s="50">
        <v>4.5</v>
      </c>
      <c r="V28" s="50">
        <v>4.5</v>
      </c>
      <c r="W28" s="50">
        <v>10</v>
      </c>
      <c r="X28" s="50">
        <v>10</v>
      </c>
      <c r="Y28" s="50">
        <v>10</v>
      </c>
      <c r="Z28" s="50">
        <v>10</v>
      </c>
      <c r="AA28" s="50">
        <v>10</v>
      </c>
      <c r="AB28" s="50">
        <v>10</v>
      </c>
      <c r="AC28" s="50">
        <v>10</v>
      </c>
      <c r="AD28" s="50">
        <v>10</v>
      </c>
      <c r="AE28" s="50">
        <v>10</v>
      </c>
      <c r="AF28" s="50">
        <v>10</v>
      </c>
      <c r="AG28" s="61">
        <v>22.2</v>
      </c>
      <c r="AH28" s="56">
        <f t="shared" si="2"/>
        <v>10</v>
      </c>
      <c r="AI28" s="57">
        <f t="shared" si="3"/>
        <v>4.5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</v>
      </c>
      <c r="C33" s="50">
        <v>9</v>
      </c>
      <c r="D33" s="50">
        <v>9</v>
      </c>
      <c r="E33" s="50">
        <v>9</v>
      </c>
      <c r="F33" s="50">
        <v>9</v>
      </c>
      <c r="G33" s="50">
        <v>9</v>
      </c>
      <c r="H33" s="50">
        <v>9</v>
      </c>
      <c r="I33" s="50">
        <v>9</v>
      </c>
      <c r="J33" s="50">
        <v>9</v>
      </c>
      <c r="K33" s="50">
        <v>9</v>
      </c>
      <c r="L33" s="50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9.1999999999999993</v>
      </c>
      <c r="X33" s="50">
        <v>9.1999999999999993</v>
      </c>
      <c r="Y33" s="50">
        <v>9.1999999999999993</v>
      </c>
      <c r="Z33" s="50">
        <v>9.1999999999999993</v>
      </c>
      <c r="AA33" s="50">
        <v>9.1999999999999993</v>
      </c>
      <c r="AB33" s="50">
        <v>9.1999999999999993</v>
      </c>
      <c r="AC33" s="50">
        <v>9.1999999999999993</v>
      </c>
      <c r="AD33" s="50">
        <v>9.1999999999999993</v>
      </c>
      <c r="AE33" s="50">
        <v>9.1999999999999993</v>
      </c>
      <c r="AF33" s="50">
        <v>9.1999999999999993</v>
      </c>
      <c r="AG33" s="69">
        <v>20</v>
      </c>
      <c r="AH33" s="56">
        <f t="shared" si="2"/>
        <v>9.1999999999999993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250</v>
      </c>
      <c r="C35" s="63">
        <v>250</v>
      </c>
      <c r="D35" s="63">
        <v>250</v>
      </c>
      <c r="E35" s="63">
        <v>250</v>
      </c>
      <c r="F35" s="63">
        <v>250</v>
      </c>
      <c r="G35" s="63">
        <v>250</v>
      </c>
      <c r="H35" s="63">
        <v>250</v>
      </c>
      <c r="I35" s="63">
        <v>250</v>
      </c>
      <c r="J35" s="63">
        <v>250</v>
      </c>
      <c r="K35" s="63">
        <v>250</v>
      </c>
      <c r="L35" s="63">
        <v>250</v>
      </c>
      <c r="M35" s="63">
        <v>250</v>
      </c>
      <c r="N35" s="63">
        <v>250</v>
      </c>
      <c r="O35" s="63">
        <v>250</v>
      </c>
      <c r="P35" s="63">
        <v>250</v>
      </c>
      <c r="Q35" s="63">
        <v>250</v>
      </c>
      <c r="R35" s="63">
        <v>250</v>
      </c>
      <c r="S35" s="63">
        <v>250</v>
      </c>
      <c r="T35" s="63">
        <v>250</v>
      </c>
      <c r="U35" s="63">
        <v>250</v>
      </c>
      <c r="V35" s="63">
        <v>250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250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72">
        <f>61.9+61.8</f>
        <v>123.69999999999999</v>
      </c>
      <c r="C36" s="72">
        <v>123</v>
      </c>
      <c r="D36" s="63">
        <v>123</v>
      </c>
      <c r="E36" s="63">
        <v>123</v>
      </c>
      <c r="F36" s="63">
        <v>123</v>
      </c>
      <c r="G36" s="63">
        <v>123</v>
      </c>
      <c r="H36" s="63">
        <v>123</v>
      </c>
      <c r="I36" s="63">
        <v>123</v>
      </c>
      <c r="J36" s="63">
        <v>125</v>
      </c>
      <c r="K36" s="63">
        <v>125</v>
      </c>
      <c r="L36" s="72">
        <v>124</v>
      </c>
      <c r="M36" s="72">
        <v>127</v>
      </c>
      <c r="N36" s="72">
        <v>127</v>
      </c>
      <c r="O36" s="72">
        <f>63.6+63.3</f>
        <v>126.9</v>
      </c>
      <c r="P36" s="72">
        <f>61.3+54.8</f>
        <v>116.1</v>
      </c>
      <c r="Q36" s="72">
        <f>61.9+60</f>
        <v>121.9</v>
      </c>
      <c r="R36" s="72">
        <f>61.9+60</f>
        <v>121.9</v>
      </c>
      <c r="S36" s="72">
        <f>62.4+65</f>
        <v>127.4</v>
      </c>
      <c r="T36" s="72">
        <f>62.5+64.1</f>
        <v>126.6</v>
      </c>
      <c r="U36" s="72">
        <f>63.2+61.2</f>
        <v>124.4</v>
      </c>
      <c r="V36" s="72">
        <f>61.8+59.6</f>
        <v>121.4</v>
      </c>
      <c r="W36" s="72">
        <f>61.4+59</f>
        <v>120.4</v>
      </c>
      <c r="X36" s="72">
        <f>61.4+59</f>
        <v>120.4</v>
      </c>
      <c r="Y36" s="72">
        <f>62.2+58.6</f>
        <v>120.80000000000001</v>
      </c>
      <c r="Z36" s="72">
        <f>61.7+58.9</f>
        <v>120.6</v>
      </c>
      <c r="AA36" s="72">
        <v>121.4</v>
      </c>
      <c r="AB36" s="72">
        <f>61+60</f>
        <v>121</v>
      </c>
      <c r="AC36" s="72">
        <v>123.2</v>
      </c>
      <c r="AD36" s="72">
        <v>123.6</v>
      </c>
      <c r="AE36" s="63">
        <v>124.4</v>
      </c>
      <c r="AF36" s="63">
        <v>124.7</v>
      </c>
      <c r="AG36" s="69">
        <v>240</v>
      </c>
      <c r="AH36" s="56">
        <f t="shared" si="2"/>
        <v>127.4</v>
      </c>
      <c r="AI36" s="57">
        <f t="shared" si="3"/>
        <v>116.1</v>
      </c>
      <c r="AK36" s="58"/>
    </row>
    <row r="37" spans="1:88" ht="15.75" thickBot="1" x14ac:dyDescent="0.3">
      <c r="A37" s="73" t="s">
        <v>44</v>
      </c>
      <c r="B37" s="74">
        <f>SUM(B11:B35)</f>
        <v>670.09999999999991</v>
      </c>
      <c r="C37" s="74">
        <f t="shared" ref="C37:AF37" si="4">SUM(C11:C35)</f>
        <v>670.09999999999991</v>
      </c>
      <c r="D37" s="74">
        <f t="shared" si="4"/>
        <v>670.09999999999991</v>
      </c>
      <c r="E37" s="74">
        <f t="shared" si="4"/>
        <v>670.09999999999991</v>
      </c>
      <c r="F37" s="74">
        <f t="shared" si="4"/>
        <v>670.09999999999991</v>
      </c>
      <c r="G37" s="74">
        <f t="shared" si="4"/>
        <v>713.09999999999991</v>
      </c>
      <c r="H37" s="74">
        <f t="shared" si="4"/>
        <v>713.09999999999991</v>
      </c>
      <c r="I37" s="74">
        <f t="shared" si="4"/>
        <v>714</v>
      </c>
      <c r="J37" s="74">
        <f t="shared" si="4"/>
        <v>714</v>
      </c>
      <c r="K37" s="74">
        <f t="shared" si="4"/>
        <v>714</v>
      </c>
      <c r="L37" s="74">
        <f t="shared" si="4"/>
        <v>747</v>
      </c>
      <c r="M37" s="74">
        <f t="shared" si="4"/>
        <v>750.59999999999991</v>
      </c>
      <c r="N37" s="74">
        <f t="shared" si="4"/>
        <v>730.59999999999991</v>
      </c>
      <c r="O37" s="74">
        <f t="shared" si="4"/>
        <v>733</v>
      </c>
      <c r="P37" s="74">
        <f t="shared" si="4"/>
        <v>773</v>
      </c>
      <c r="Q37" s="74">
        <f t="shared" si="4"/>
        <v>723</v>
      </c>
      <c r="R37" s="74">
        <f t="shared" si="4"/>
        <v>699</v>
      </c>
      <c r="S37" s="74">
        <f t="shared" si="4"/>
        <v>699</v>
      </c>
      <c r="T37" s="74">
        <f t="shared" si="4"/>
        <v>709</v>
      </c>
      <c r="U37" s="74">
        <f t="shared" si="4"/>
        <v>739</v>
      </c>
      <c r="V37" s="74">
        <f t="shared" si="4"/>
        <v>789</v>
      </c>
      <c r="W37" s="74">
        <f>SUM(W11:W35)</f>
        <v>852.30000000000007</v>
      </c>
      <c r="X37" s="74">
        <f t="shared" si="4"/>
        <v>851.9</v>
      </c>
      <c r="Y37" s="74">
        <f t="shared" si="4"/>
        <v>876.9</v>
      </c>
      <c r="Z37" s="74">
        <f t="shared" si="4"/>
        <v>836.80000000000007</v>
      </c>
      <c r="AA37" s="74">
        <f t="shared" si="4"/>
        <v>791.80000000000007</v>
      </c>
      <c r="AB37" s="74">
        <f t="shared" si="4"/>
        <v>741.8</v>
      </c>
      <c r="AC37" s="74">
        <f t="shared" si="4"/>
        <v>701.8</v>
      </c>
      <c r="AD37" s="74">
        <f t="shared" si="4"/>
        <v>681.8</v>
      </c>
      <c r="AE37" s="74">
        <f t="shared" si="4"/>
        <v>641.79999999999995</v>
      </c>
      <c r="AF37" s="74">
        <f t="shared" si="4"/>
        <v>641.79999999999995</v>
      </c>
      <c r="AG37" s="69">
        <f>SUM(AG11:AG36)</f>
        <v>1481.8299999999997</v>
      </c>
      <c r="AH37" s="56">
        <f t="shared" si="2"/>
        <v>876.9</v>
      </c>
      <c r="AI37" s="57">
        <f t="shared" si="3"/>
        <v>641.79999999999995</v>
      </c>
      <c r="AK37" s="58"/>
    </row>
    <row r="38" spans="1:88" x14ac:dyDescent="0.25">
      <c r="A38" s="59" t="s">
        <v>45</v>
      </c>
      <c r="B38" s="49">
        <v>30.3</v>
      </c>
      <c r="C38" s="49">
        <v>30.3</v>
      </c>
      <c r="D38" s="63">
        <v>29.7</v>
      </c>
      <c r="E38" s="63">
        <v>30</v>
      </c>
      <c r="F38" s="63">
        <v>30.3</v>
      </c>
      <c r="G38" s="63">
        <v>30.3</v>
      </c>
      <c r="H38" s="63">
        <v>30</v>
      </c>
      <c r="I38" s="63">
        <v>40</v>
      </c>
      <c r="J38" s="63">
        <v>40</v>
      </c>
      <c r="K38" s="63">
        <v>48</v>
      </c>
      <c r="L38" s="50">
        <v>65.099999999999994</v>
      </c>
      <c r="M38" s="50">
        <v>61.1</v>
      </c>
      <c r="N38" s="50">
        <v>61.2</v>
      </c>
      <c r="O38" s="50">
        <v>60.7</v>
      </c>
      <c r="P38" s="50">
        <v>60.7</v>
      </c>
      <c r="Q38" s="50">
        <v>60.7</v>
      </c>
      <c r="R38" s="50">
        <v>60.9</v>
      </c>
      <c r="S38" s="50">
        <v>55.8</v>
      </c>
      <c r="T38" s="50">
        <v>81.3</v>
      </c>
      <c r="U38" s="50">
        <v>90.9</v>
      </c>
      <c r="V38" s="50">
        <v>90.9</v>
      </c>
      <c r="W38" s="50">
        <v>145.19999999999999</v>
      </c>
      <c r="X38" s="50">
        <v>145.19999999999999</v>
      </c>
      <c r="Y38" s="50">
        <v>93.6</v>
      </c>
      <c r="Z38" s="50">
        <v>90.8</v>
      </c>
      <c r="AA38" s="50">
        <v>91.3</v>
      </c>
      <c r="AB38" s="50">
        <v>91</v>
      </c>
      <c r="AC38" s="50">
        <v>91.1</v>
      </c>
      <c r="AD38" s="50">
        <v>80.8</v>
      </c>
      <c r="AE38" s="49">
        <v>61.2</v>
      </c>
      <c r="AF38" s="49">
        <v>48.5</v>
      </c>
      <c r="AG38" s="64">
        <v>144</v>
      </c>
      <c r="AH38" s="56">
        <f t="shared" si="2"/>
        <v>145.19999999999999</v>
      </c>
      <c r="AI38" s="57">
        <f t="shared" si="3"/>
        <v>29.7</v>
      </c>
      <c r="AK38" s="58"/>
    </row>
    <row r="39" spans="1:88" x14ac:dyDescent="0.25">
      <c r="A39" s="68" t="s">
        <v>46</v>
      </c>
      <c r="B39" s="63">
        <v>22</v>
      </c>
      <c r="C39" s="63">
        <v>22.9</v>
      </c>
      <c r="D39" s="63">
        <v>23</v>
      </c>
      <c r="E39" s="63">
        <v>22.8</v>
      </c>
      <c r="F39" s="63">
        <v>29</v>
      </c>
      <c r="G39" s="63">
        <v>29</v>
      </c>
      <c r="H39" s="63">
        <v>31</v>
      </c>
      <c r="I39" s="63">
        <v>30</v>
      </c>
      <c r="J39" s="63">
        <v>30</v>
      </c>
      <c r="K39" s="63">
        <v>36.6</v>
      </c>
      <c r="L39" s="52">
        <v>23.3</v>
      </c>
      <c r="M39" s="52">
        <v>26.1</v>
      </c>
      <c r="N39" s="52">
        <v>25.8</v>
      </c>
      <c r="O39" s="52">
        <v>23.5</v>
      </c>
      <c r="P39" s="52">
        <v>23.5</v>
      </c>
      <c r="Q39" s="52">
        <v>23.5</v>
      </c>
      <c r="R39" s="52">
        <v>23.5</v>
      </c>
      <c r="S39" s="52">
        <v>24.9</v>
      </c>
      <c r="T39" s="52">
        <v>24.8</v>
      </c>
      <c r="U39" s="52">
        <v>90.9</v>
      </c>
      <c r="V39" s="52">
        <v>60.1</v>
      </c>
      <c r="W39" s="52">
        <v>71.900000000000006</v>
      </c>
      <c r="X39" s="52">
        <v>57</v>
      </c>
      <c r="Y39" s="52">
        <v>69.8</v>
      </c>
      <c r="Z39" s="52">
        <v>54</v>
      </c>
      <c r="AA39" s="52">
        <v>53.8</v>
      </c>
      <c r="AB39" s="52">
        <v>53.7</v>
      </c>
      <c r="AC39" s="52">
        <v>50.7</v>
      </c>
      <c r="AD39" s="52">
        <v>26.5</v>
      </c>
      <c r="AE39" s="63">
        <v>26.4</v>
      </c>
      <c r="AF39" s="63">
        <v>26</v>
      </c>
      <c r="AG39" s="69">
        <v>70</v>
      </c>
      <c r="AH39" s="56">
        <f t="shared" si="2"/>
        <v>90.9</v>
      </c>
      <c r="AI39" s="57">
        <f t="shared" si="3"/>
        <v>22</v>
      </c>
      <c r="AK39" s="58"/>
    </row>
    <row r="40" spans="1:88" x14ac:dyDescent="0.25">
      <c r="A40" s="68" t="s">
        <v>47</v>
      </c>
      <c r="B40" s="63">
        <v>16.600000000000001</v>
      </c>
      <c r="C40" s="63">
        <v>16.3</v>
      </c>
      <c r="D40" s="63">
        <v>16</v>
      </c>
      <c r="E40" s="63">
        <v>16.5</v>
      </c>
      <c r="F40" s="63">
        <v>16.899999999999999</v>
      </c>
      <c r="G40" s="63">
        <v>20</v>
      </c>
      <c r="H40" s="63">
        <v>22</v>
      </c>
      <c r="I40" s="63">
        <v>23</v>
      </c>
      <c r="J40" s="63">
        <v>23</v>
      </c>
      <c r="K40" s="63">
        <v>40</v>
      </c>
      <c r="L40" s="52">
        <v>39.5</v>
      </c>
      <c r="M40" s="52">
        <v>41</v>
      </c>
      <c r="N40" s="52">
        <v>20.9</v>
      </c>
      <c r="O40" s="52">
        <v>21.7</v>
      </c>
      <c r="P40" s="52">
        <v>21.7</v>
      </c>
      <c r="Q40" s="52">
        <v>21.7</v>
      </c>
      <c r="R40" s="52">
        <v>21.7</v>
      </c>
      <c r="S40" s="52">
        <v>22.9</v>
      </c>
      <c r="T40" s="52">
        <v>22.9</v>
      </c>
      <c r="U40" s="52">
        <v>35.1</v>
      </c>
      <c r="V40" s="52">
        <v>61.9</v>
      </c>
      <c r="W40" s="52">
        <v>64.2</v>
      </c>
      <c r="X40" s="52">
        <v>62.1</v>
      </c>
      <c r="Y40" s="52">
        <v>55.8</v>
      </c>
      <c r="Z40" s="52">
        <v>56.1</v>
      </c>
      <c r="AA40" s="52">
        <v>55</v>
      </c>
      <c r="AB40" s="52">
        <v>33.9</v>
      </c>
      <c r="AC40" s="52">
        <v>36.299999999999997</v>
      </c>
      <c r="AD40" s="52">
        <v>36.299999999999997</v>
      </c>
      <c r="AE40" s="63">
        <v>17.8</v>
      </c>
      <c r="AF40" s="63">
        <v>23.4</v>
      </c>
      <c r="AG40" s="69">
        <v>69</v>
      </c>
      <c r="AH40" s="56">
        <f t="shared" si="2"/>
        <v>64.2</v>
      </c>
      <c r="AI40" s="57">
        <f t="shared" si="3"/>
        <v>16</v>
      </c>
      <c r="AK40" s="58"/>
    </row>
    <row r="41" spans="1:88" x14ac:dyDescent="0.25">
      <c r="A41" s="68" t="s">
        <v>48</v>
      </c>
      <c r="B41" s="63">
        <v>9.6</v>
      </c>
      <c r="C41" s="63">
        <v>9.6</v>
      </c>
      <c r="D41" s="63">
        <v>9.6</v>
      </c>
      <c r="E41" s="63">
        <v>9.6</v>
      </c>
      <c r="F41" s="63">
        <v>9.6</v>
      </c>
      <c r="G41" s="63">
        <v>20</v>
      </c>
      <c r="H41" s="63">
        <v>20</v>
      </c>
      <c r="I41" s="63">
        <v>20</v>
      </c>
      <c r="J41" s="63">
        <v>20</v>
      </c>
      <c r="K41" s="63">
        <v>30</v>
      </c>
      <c r="L41" s="52">
        <v>30.7</v>
      </c>
      <c r="M41" s="52">
        <v>25.2</v>
      </c>
      <c r="N41" s="52">
        <v>25.2</v>
      </c>
      <c r="O41" s="52">
        <v>21.2</v>
      </c>
      <c r="P41" s="52">
        <v>21.2</v>
      </c>
      <c r="Q41" s="52">
        <v>21.2</v>
      </c>
      <c r="R41" s="52">
        <v>21.2</v>
      </c>
      <c r="S41" s="52">
        <v>21.4</v>
      </c>
      <c r="T41" s="52">
        <v>30</v>
      </c>
      <c r="U41" s="52">
        <v>25.2</v>
      </c>
      <c r="V41" s="52">
        <v>49.6</v>
      </c>
      <c r="W41" s="52">
        <v>60</v>
      </c>
      <c r="X41" s="52">
        <v>49.9</v>
      </c>
      <c r="Y41" s="52">
        <v>54.4</v>
      </c>
      <c r="Z41" s="52">
        <v>39.299999999999997</v>
      </c>
      <c r="AA41" s="52">
        <v>39.6</v>
      </c>
      <c r="AB41" s="52">
        <v>39.299999999999997</v>
      </c>
      <c r="AC41" s="52">
        <v>39.6</v>
      </c>
      <c r="AD41" s="52">
        <v>10.6</v>
      </c>
      <c r="AE41" s="52">
        <v>10.6</v>
      </c>
      <c r="AF41" s="63">
        <v>10.6</v>
      </c>
      <c r="AG41" s="69">
        <v>60</v>
      </c>
      <c r="AH41" s="56">
        <f t="shared" si="2"/>
        <v>60</v>
      </c>
      <c r="AI41" s="57">
        <f t="shared" si="3"/>
        <v>9.6</v>
      </c>
      <c r="AK41" s="58"/>
    </row>
    <row r="42" spans="1:88" x14ac:dyDescent="0.25">
      <c r="A42" s="68" t="s">
        <v>49</v>
      </c>
      <c r="B42" s="63">
        <v>15.1</v>
      </c>
      <c r="C42" s="63">
        <v>15.1</v>
      </c>
      <c r="D42" s="63">
        <v>14</v>
      </c>
      <c r="E42" s="63">
        <v>14</v>
      </c>
      <c r="F42" s="63">
        <v>14</v>
      </c>
      <c r="G42" s="63">
        <v>14</v>
      </c>
      <c r="H42" s="63">
        <v>14</v>
      </c>
      <c r="I42" s="63">
        <v>14</v>
      </c>
      <c r="J42" s="63">
        <v>14</v>
      </c>
      <c r="K42" s="63">
        <v>14</v>
      </c>
      <c r="L42" s="50">
        <v>14</v>
      </c>
      <c r="M42" s="50">
        <v>14.3</v>
      </c>
      <c r="N42" s="50">
        <v>14.5</v>
      </c>
      <c r="O42" s="50">
        <v>14.4</v>
      </c>
      <c r="P42" s="50">
        <v>14.4</v>
      </c>
      <c r="Q42" s="50">
        <v>14.4</v>
      </c>
      <c r="R42" s="50">
        <v>14.4</v>
      </c>
      <c r="S42" s="50">
        <v>0</v>
      </c>
      <c r="T42" s="50">
        <v>0</v>
      </c>
      <c r="U42" s="50">
        <v>0</v>
      </c>
      <c r="V42" s="50">
        <v>0</v>
      </c>
      <c r="W42" s="50">
        <v>29.2</v>
      </c>
      <c r="X42" s="50">
        <v>29.4</v>
      </c>
      <c r="Y42" s="52">
        <v>29.5</v>
      </c>
      <c r="Z42" s="52">
        <v>29.5</v>
      </c>
      <c r="AA42" s="52">
        <v>29.5</v>
      </c>
      <c r="AB42" s="52">
        <v>25</v>
      </c>
      <c r="AC42" s="52">
        <v>15.2</v>
      </c>
      <c r="AD42" s="52">
        <v>15.1</v>
      </c>
      <c r="AE42" s="52">
        <v>13.8</v>
      </c>
      <c r="AF42" s="63">
        <v>14</v>
      </c>
      <c r="AG42" s="69">
        <v>30</v>
      </c>
      <c r="AH42" s="56">
        <f t="shared" si="2"/>
        <v>29.5</v>
      </c>
      <c r="AI42" s="57">
        <f t="shared" si="3"/>
        <v>0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18</v>
      </c>
      <c r="C44" s="63">
        <v>18</v>
      </c>
      <c r="D44" s="75">
        <v>12</v>
      </c>
      <c r="E44" s="75">
        <v>10</v>
      </c>
      <c r="F44" s="75">
        <v>8</v>
      </c>
      <c r="G44" s="75">
        <v>8</v>
      </c>
      <c r="H44" s="75">
        <v>8</v>
      </c>
      <c r="I44" s="75">
        <v>15</v>
      </c>
      <c r="J44" s="75">
        <v>15</v>
      </c>
      <c r="K44" s="75">
        <v>15</v>
      </c>
      <c r="L44" s="50">
        <v>15</v>
      </c>
      <c r="M44" s="50">
        <v>15</v>
      </c>
      <c r="N44" s="50">
        <v>15</v>
      </c>
      <c r="O44" s="50">
        <v>10</v>
      </c>
      <c r="P44" s="50">
        <v>10</v>
      </c>
      <c r="Q44" s="50">
        <v>10</v>
      </c>
      <c r="R44" s="50">
        <v>10</v>
      </c>
      <c r="S44" s="50">
        <v>10</v>
      </c>
      <c r="T44" s="50">
        <v>10</v>
      </c>
      <c r="U44" s="50">
        <v>10</v>
      </c>
      <c r="V44" s="50">
        <v>16</v>
      </c>
      <c r="W44" s="50">
        <v>15</v>
      </c>
      <c r="X44" s="50">
        <v>15</v>
      </c>
      <c r="Y44" s="50">
        <v>15</v>
      </c>
      <c r="Z44" s="50">
        <v>15</v>
      </c>
      <c r="AA44" s="50">
        <v>15</v>
      </c>
      <c r="AB44" s="50">
        <v>15</v>
      </c>
      <c r="AC44" s="50">
        <v>15</v>
      </c>
      <c r="AD44" s="50">
        <v>15</v>
      </c>
      <c r="AE44" s="50">
        <v>15</v>
      </c>
      <c r="AF44" s="50">
        <v>15</v>
      </c>
      <c r="AG44" s="69">
        <v>24</v>
      </c>
      <c r="AH44" s="56">
        <f t="shared" si="2"/>
        <v>18</v>
      </c>
      <c r="AI44" s="57">
        <f t="shared" si="3"/>
        <v>8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12</v>
      </c>
      <c r="C46" s="63">
        <v>12</v>
      </c>
      <c r="D46" s="63">
        <v>9</v>
      </c>
      <c r="E46" s="63">
        <v>9</v>
      </c>
      <c r="F46" s="63">
        <v>8</v>
      </c>
      <c r="G46" s="63">
        <v>8</v>
      </c>
      <c r="H46" s="63">
        <v>8</v>
      </c>
      <c r="I46" s="63">
        <v>12</v>
      </c>
      <c r="J46" s="63">
        <v>12</v>
      </c>
      <c r="K46" s="63">
        <v>12</v>
      </c>
      <c r="L46" s="50">
        <v>12</v>
      </c>
      <c r="M46" s="50">
        <v>12</v>
      </c>
      <c r="N46" s="50">
        <v>12</v>
      </c>
      <c r="O46" s="50">
        <v>10</v>
      </c>
      <c r="P46" s="50">
        <v>10</v>
      </c>
      <c r="Q46" s="50">
        <v>10</v>
      </c>
      <c r="R46" s="50">
        <v>10</v>
      </c>
      <c r="S46" s="50">
        <v>10</v>
      </c>
      <c r="T46" s="50">
        <v>10</v>
      </c>
      <c r="U46" s="50">
        <v>10</v>
      </c>
      <c r="V46" s="50">
        <v>12</v>
      </c>
      <c r="W46" s="50">
        <v>12</v>
      </c>
      <c r="X46" s="50">
        <v>12</v>
      </c>
      <c r="Y46" s="50">
        <v>12</v>
      </c>
      <c r="Z46" s="50">
        <v>12</v>
      </c>
      <c r="AA46" s="50">
        <v>12</v>
      </c>
      <c r="AB46" s="50">
        <v>12</v>
      </c>
      <c r="AC46" s="50">
        <v>12</v>
      </c>
      <c r="AD46" s="50">
        <v>12</v>
      </c>
      <c r="AE46" s="50">
        <v>12</v>
      </c>
      <c r="AF46" s="50">
        <v>12</v>
      </c>
      <c r="AG46" s="69">
        <v>14.1</v>
      </c>
      <c r="AH46" s="56">
        <f t="shared" si="2"/>
        <v>12</v>
      </c>
      <c r="AI46" s="57">
        <f t="shared" si="3"/>
        <v>8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63">
        <v>7</v>
      </c>
      <c r="C47" s="63">
        <v>7</v>
      </c>
      <c r="D47" s="63">
        <v>7</v>
      </c>
      <c r="E47" s="63">
        <v>7</v>
      </c>
      <c r="F47" s="63">
        <v>7</v>
      </c>
      <c r="G47" s="63">
        <v>7</v>
      </c>
      <c r="H47" s="63">
        <v>7</v>
      </c>
      <c r="I47" s="63">
        <v>7</v>
      </c>
      <c r="J47" s="63">
        <v>7</v>
      </c>
      <c r="K47" s="75">
        <v>12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14</v>
      </c>
      <c r="AG47" s="69">
        <v>14</v>
      </c>
      <c r="AH47" s="56">
        <f t="shared" si="2"/>
        <v>14</v>
      </c>
      <c r="AI47" s="57">
        <f t="shared" si="3"/>
        <v>7</v>
      </c>
      <c r="AK47" s="58"/>
    </row>
    <row r="48" spans="1:88" x14ac:dyDescent="0.25">
      <c r="A48" s="68" t="s">
        <v>55</v>
      </c>
      <c r="B48" s="63">
        <v>7</v>
      </c>
      <c r="C48" s="63">
        <v>7</v>
      </c>
      <c r="D48" s="63">
        <v>7</v>
      </c>
      <c r="E48" s="63">
        <v>7</v>
      </c>
      <c r="F48" s="63">
        <v>7</v>
      </c>
      <c r="G48" s="63">
        <v>7</v>
      </c>
      <c r="H48" s="63">
        <v>7</v>
      </c>
      <c r="I48" s="63">
        <v>7</v>
      </c>
      <c r="J48" s="63">
        <v>7</v>
      </c>
      <c r="K48" s="63">
        <v>7</v>
      </c>
      <c r="L48" s="50">
        <v>7</v>
      </c>
      <c r="M48" s="50">
        <v>7</v>
      </c>
      <c r="N48" s="50">
        <v>7</v>
      </c>
      <c r="O48" s="50">
        <v>7</v>
      </c>
      <c r="P48" s="50">
        <v>7</v>
      </c>
      <c r="Q48" s="50">
        <v>7</v>
      </c>
      <c r="R48" s="50">
        <v>7</v>
      </c>
      <c r="S48" s="50">
        <v>7</v>
      </c>
      <c r="T48" s="50">
        <v>7</v>
      </c>
      <c r="U48" s="50">
        <v>7</v>
      </c>
      <c r="V48" s="50">
        <v>7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50">
        <v>9.6</v>
      </c>
      <c r="AF48" s="50">
        <v>9.6</v>
      </c>
      <c r="AG48" s="69">
        <v>10.050000000000001</v>
      </c>
      <c r="AH48" s="56">
        <f t="shared" si="2"/>
        <v>9.6</v>
      </c>
      <c r="AI48" s="57">
        <f t="shared" si="3"/>
        <v>7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</v>
      </c>
      <c r="AK50" s="58"/>
    </row>
    <row r="51" spans="1:37" ht="15.75" thickBot="1" x14ac:dyDescent="0.3">
      <c r="A51" s="73" t="s">
        <v>58</v>
      </c>
      <c r="B51" s="74">
        <f>SUM(B38:B50)</f>
        <v>147.33999999999997</v>
      </c>
      <c r="C51" s="74">
        <f t="shared" ref="C51:AF51" si="6">SUM(C38:C50)</f>
        <v>147.93999999999997</v>
      </c>
      <c r="D51" s="74">
        <f t="shared" si="6"/>
        <v>137.04</v>
      </c>
      <c r="E51" s="74">
        <f t="shared" si="6"/>
        <v>135.63999999999999</v>
      </c>
      <c r="F51" s="74">
        <f t="shared" si="6"/>
        <v>139.53999999999996</v>
      </c>
      <c r="G51" s="74">
        <f t="shared" si="6"/>
        <v>153.04</v>
      </c>
      <c r="H51" s="74">
        <f t="shared" si="6"/>
        <v>156.73999999999998</v>
      </c>
      <c r="I51" s="74">
        <f t="shared" si="6"/>
        <v>177.73999999999998</v>
      </c>
      <c r="J51" s="74">
        <f t="shared" si="6"/>
        <v>177.73999999999998</v>
      </c>
      <c r="K51" s="74">
        <f t="shared" si="6"/>
        <v>224.33999999999997</v>
      </c>
      <c r="L51" s="74">
        <f t="shared" si="6"/>
        <v>228.33999999999997</v>
      </c>
      <c r="M51" s="74">
        <f t="shared" si="6"/>
        <v>223.43999999999997</v>
      </c>
      <c r="N51" s="74">
        <f t="shared" si="6"/>
        <v>203.33999999999997</v>
      </c>
      <c r="O51" s="74">
        <f t="shared" si="6"/>
        <v>190.23999999999998</v>
      </c>
      <c r="P51" s="74">
        <f t="shared" si="6"/>
        <v>190.23999999999998</v>
      </c>
      <c r="Q51" s="74">
        <f t="shared" si="6"/>
        <v>190.23999999999998</v>
      </c>
      <c r="R51" s="74">
        <f t="shared" si="6"/>
        <v>190.44</v>
      </c>
      <c r="S51" s="74">
        <f t="shared" si="6"/>
        <v>173.73999999999998</v>
      </c>
      <c r="T51" s="74">
        <f t="shared" si="6"/>
        <v>207.73999999999998</v>
      </c>
      <c r="U51" s="74">
        <f t="shared" si="6"/>
        <v>290.84000000000003</v>
      </c>
      <c r="V51" s="74">
        <f t="shared" si="6"/>
        <v>319.24</v>
      </c>
      <c r="W51" s="74">
        <f>SUM(W38:W50)</f>
        <v>430.8</v>
      </c>
      <c r="X51" s="74">
        <f t="shared" si="6"/>
        <v>403.94</v>
      </c>
      <c r="Y51" s="74">
        <f t="shared" si="6"/>
        <v>363.44</v>
      </c>
      <c r="Z51" s="74">
        <f t="shared" si="6"/>
        <v>330.04</v>
      </c>
      <c r="AA51" s="74">
        <f t="shared" si="6"/>
        <v>329.54</v>
      </c>
      <c r="AB51" s="74">
        <f t="shared" si="6"/>
        <v>303.24</v>
      </c>
      <c r="AC51" s="74">
        <f t="shared" si="6"/>
        <v>293.24</v>
      </c>
      <c r="AD51" s="74">
        <f t="shared" si="6"/>
        <v>229.63999999999996</v>
      </c>
      <c r="AE51" s="74">
        <f t="shared" si="6"/>
        <v>190.13999999999996</v>
      </c>
      <c r="AF51" s="74">
        <f t="shared" si="6"/>
        <v>182.83999999999997</v>
      </c>
      <c r="AG51" s="79">
        <f>SUM(AG38:AG50)</f>
        <v>489.91</v>
      </c>
      <c r="AH51" s="56">
        <f t="shared" si="2"/>
        <v>430.8</v>
      </c>
      <c r="AI51" s="57">
        <f t="shared" si="3"/>
        <v>135.63999999999999</v>
      </c>
      <c r="AK51" s="58"/>
    </row>
    <row r="52" spans="1:37" x14ac:dyDescent="0.25">
      <c r="A52" s="59" t="s">
        <v>59</v>
      </c>
      <c r="B52" s="50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13.1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13.1</v>
      </c>
      <c r="AI52" s="57">
        <f t="shared" si="3"/>
        <v>0</v>
      </c>
      <c r="AK52" s="58"/>
    </row>
    <row r="53" spans="1:37" x14ac:dyDescent="0.25">
      <c r="A53" s="68" t="s">
        <v>60</v>
      </c>
      <c r="B53" s="52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2">
        <v>0</v>
      </c>
      <c r="Q53" s="52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8.6</v>
      </c>
      <c r="X53" s="52">
        <v>6.6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8.6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82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2">
        <v>0</v>
      </c>
      <c r="Q54" s="82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3.1</v>
      </c>
      <c r="X54" s="82">
        <v>2.4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3.1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>SUM(W52:W54)</f>
        <v>24.8</v>
      </c>
      <c r="X55" s="74">
        <f t="shared" si="7"/>
        <v>9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24.8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-47.8</v>
      </c>
      <c r="C58" s="52">
        <v>-46.1</v>
      </c>
      <c r="D58" s="52">
        <v>-63</v>
      </c>
      <c r="E58" s="52">
        <v>-60</v>
      </c>
      <c r="F58" s="52">
        <v>-42</v>
      </c>
      <c r="G58" s="52">
        <v>-65</v>
      </c>
      <c r="H58" s="52">
        <v>-58</v>
      </c>
      <c r="I58" s="52">
        <v>-60</v>
      </c>
      <c r="J58" s="52">
        <v>-40</v>
      </c>
      <c r="K58" s="52">
        <v>-50</v>
      </c>
      <c r="L58" s="52">
        <v>-50.7</v>
      </c>
      <c r="M58" s="52">
        <v>-71.5</v>
      </c>
      <c r="N58" s="52">
        <v>-90</v>
      </c>
      <c r="O58" s="52">
        <v>-59.2</v>
      </c>
      <c r="P58" s="52">
        <v>-81</v>
      </c>
      <c r="Q58" s="52">
        <v>-91</v>
      </c>
      <c r="R58" s="52">
        <v>-71</v>
      </c>
      <c r="S58" s="52">
        <v>-60</v>
      </c>
      <c r="T58" s="52">
        <v>-60</v>
      </c>
      <c r="U58" s="52">
        <v>-70.2</v>
      </c>
      <c r="V58" s="52">
        <v>-42.5</v>
      </c>
      <c r="W58" s="52">
        <v>-57</v>
      </c>
      <c r="X58" s="85">
        <v>-45</v>
      </c>
      <c r="Y58" s="85">
        <v>-61</v>
      </c>
      <c r="Z58" s="85">
        <v>-55</v>
      </c>
      <c r="AA58" s="52">
        <v>-63.4</v>
      </c>
      <c r="AB58" s="52">
        <v>-47.1</v>
      </c>
      <c r="AC58" s="52">
        <v>-53.5</v>
      </c>
      <c r="AD58" s="52">
        <v>-69.099999999999994</v>
      </c>
      <c r="AE58" s="52">
        <v>-64.3</v>
      </c>
      <c r="AF58" s="52">
        <v>-53.3</v>
      </c>
      <c r="AG58" s="86"/>
      <c r="AH58" s="56">
        <f t="shared" si="2"/>
        <v>-40</v>
      </c>
      <c r="AI58" s="57">
        <f t="shared" si="3"/>
        <v>-91</v>
      </c>
      <c r="AK58" s="58"/>
    </row>
    <row r="59" spans="1:37" x14ac:dyDescent="0.25">
      <c r="A59" s="68" t="s">
        <v>66</v>
      </c>
      <c r="B59" s="52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50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2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0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-47.8</v>
      </c>
      <c r="C67" s="74">
        <f t="shared" ref="C67:AF67" si="8">SUM(C56:C66)</f>
        <v>-46.1</v>
      </c>
      <c r="D67" s="74">
        <f t="shared" si="8"/>
        <v>-63</v>
      </c>
      <c r="E67" s="74">
        <f t="shared" si="8"/>
        <v>-60</v>
      </c>
      <c r="F67" s="74">
        <f t="shared" si="8"/>
        <v>-42</v>
      </c>
      <c r="G67" s="74">
        <f t="shared" si="8"/>
        <v>-65</v>
      </c>
      <c r="H67" s="74">
        <f t="shared" si="8"/>
        <v>-58</v>
      </c>
      <c r="I67" s="74">
        <f t="shared" si="8"/>
        <v>-60</v>
      </c>
      <c r="J67" s="74">
        <f t="shared" si="8"/>
        <v>-40</v>
      </c>
      <c r="K67" s="74">
        <f t="shared" si="8"/>
        <v>-50</v>
      </c>
      <c r="L67" s="74">
        <f t="shared" si="8"/>
        <v>-50.7</v>
      </c>
      <c r="M67" s="74">
        <f t="shared" si="8"/>
        <v>-71.5</v>
      </c>
      <c r="N67" s="74">
        <f t="shared" si="8"/>
        <v>-90</v>
      </c>
      <c r="O67" s="74">
        <f t="shared" si="8"/>
        <v>-59.2</v>
      </c>
      <c r="P67" s="74">
        <f t="shared" si="8"/>
        <v>-81</v>
      </c>
      <c r="Q67" s="74">
        <f t="shared" si="8"/>
        <v>-91</v>
      </c>
      <c r="R67" s="74">
        <f t="shared" si="8"/>
        <v>-71</v>
      </c>
      <c r="S67" s="74">
        <f t="shared" si="8"/>
        <v>-60</v>
      </c>
      <c r="T67" s="74">
        <f t="shared" si="8"/>
        <v>-60</v>
      </c>
      <c r="U67" s="74">
        <f t="shared" si="8"/>
        <v>-70.2</v>
      </c>
      <c r="V67" s="74">
        <f t="shared" si="8"/>
        <v>-42.5</v>
      </c>
      <c r="W67" s="74">
        <f t="shared" si="8"/>
        <v>-57</v>
      </c>
      <c r="X67" s="74">
        <f t="shared" si="8"/>
        <v>-45</v>
      </c>
      <c r="Y67" s="74">
        <f t="shared" si="8"/>
        <v>-61</v>
      </c>
      <c r="Z67" s="74">
        <f t="shared" si="8"/>
        <v>-55</v>
      </c>
      <c r="AA67" s="74">
        <f t="shared" si="8"/>
        <v>-63.4</v>
      </c>
      <c r="AB67" s="74">
        <f t="shared" si="8"/>
        <v>-47.1</v>
      </c>
      <c r="AC67" s="74">
        <f t="shared" si="8"/>
        <v>-53.5</v>
      </c>
      <c r="AD67" s="74">
        <f t="shared" si="8"/>
        <v>-69.099999999999994</v>
      </c>
      <c r="AE67" s="74">
        <f t="shared" si="8"/>
        <v>-64.3</v>
      </c>
      <c r="AF67" s="74">
        <f t="shared" si="8"/>
        <v>-53.3</v>
      </c>
      <c r="AG67" s="79">
        <f>SUM(AG56:AG66)</f>
        <v>0</v>
      </c>
      <c r="AH67" s="56">
        <f t="shared" si="2"/>
        <v>-40</v>
      </c>
      <c r="AI67" s="57">
        <f t="shared" si="3"/>
        <v>-91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5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769.63999999999987</v>
      </c>
      <c r="C72" s="90">
        <f t="shared" ref="C72:AG72" si="10">C67+C55+C51+C37+C71</f>
        <v>771.93999999999983</v>
      </c>
      <c r="D72" s="90">
        <f t="shared" si="10"/>
        <v>744.13999999999987</v>
      </c>
      <c r="E72" s="90">
        <f t="shared" si="10"/>
        <v>745.7399999999999</v>
      </c>
      <c r="F72" s="90">
        <f t="shared" si="10"/>
        <v>767.63999999999987</v>
      </c>
      <c r="G72" s="90">
        <f t="shared" si="10"/>
        <v>801.13999999999987</v>
      </c>
      <c r="H72" s="90">
        <f t="shared" si="10"/>
        <v>811.83999999999992</v>
      </c>
      <c r="I72" s="90">
        <f t="shared" si="10"/>
        <v>831.74</v>
      </c>
      <c r="J72" s="90">
        <f t="shared" si="10"/>
        <v>851.74</v>
      </c>
      <c r="K72" s="90">
        <f t="shared" si="10"/>
        <v>888.33999999999992</v>
      </c>
      <c r="L72" s="90">
        <f t="shared" si="10"/>
        <v>924.64</v>
      </c>
      <c r="M72" s="90">
        <f t="shared" si="10"/>
        <v>902.53999999999985</v>
      </c>
      <c r="N72" s="90">
        <f t="shared" si="10"/>
        <v>843.93999999999983</v>
      </c>
      <c r="O72" s="90">
        <f t="shared" si="10"/>
        <v>864.04</v>
      </c>
      <c r="P72" s="90">
        <f t="shared" si="10"/>
        <v>882.24</v>
      </c>
      <c r="Q72" s="90">
        <f t="shared" si="10"/>
        <v>822.24</v>
      </c>
      <c r="R72" s="90">
        <f t="shared" si="10"/>
        <v>818.44</v>
      </c>
      <c r="S72" s="90">
        <f t="shared" si="10"/>
        <v>812.74</v>
      </c>
      <c r="T72" s="90">
        <f t="shared" si="10"/>
        <v>856.74</v>
      </c>
      <c r="U72" s="90">
        <f t="shared" si="10"/>
        <v>959.6400000000001</v>
      </c>
      <c r="V72" s="90">
        <f t="shared" si="10"/>
        <v>1065.74</v>
      </c>
      <c r="W72" s="90">
        <f t="shared" si="10"/>
        <v>1250.9000000000001</v>
      </c>
      <c r="X72" s="90">
        <f t="shared" si="10"/>
        <v>1219.8399999999999</v>
      </c>
      <c r="Y72" s="90">
        <f t="shared" si="10"/>
        <v>1179.3399999999999</v>
      </c>
      <c r="Z72" s="90">
        <f t="shared" si="10"/>
        <v>1111.8400000000001</v>
      </c>
      <c r="AA72" s="90">
        <f t="shared" si="10"/>
        <v>1057.94</v>
      </c>
      <c r="AB72" s="90">
        <f t="shared" si="10"/>
        <v>997.93999999999994</v>
      </c>
      <c r="AC72" s="90">
        <f t="shared" si="10"/>
        <v>941.54</v>
      </c>
      <c r="AD72" s="90">
        <f t="shared" si="10"/>
        <v>842.33999999999992</v>
      </c>
      <c r="AE72" s="90">
        <f t="shared" si="10"/>
        <v>767.63999999999987</v>
      </c>
      <c r="AF72" s="90">
        <f t="shared" si="10"/>
        <v>771.33999999999992</v>
      </c>
      <c r="AG72" s="90">
        <f t="shared" si="10"/>
        <v>2133.14</v>
      </c>
      <c r="AH72" s="56">
        <f t="shared" si="2"/>
        <v>1250.9000000000001</v>
      </c>
      <c r="AI72" s="57">
        <f t="shared" si="3"/>
        <v>744.13999999999987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B71+B67+B55+B51+B37+B73</f>
        <v>769.63999999999987</v>
      </c>
      <c r="C74" s="90">
        <f t="shared" ref="C74:AF74" si="11">C71+C67+C55+C51+C37+C73</f>
        <v>771.93999999999983</v>
      </c>
      <c r="D74" s="90">
        <f t="shared" si="11"/>
        <v>744.13999999999987</v>
      </c>
      <c r="E74" s="90">
        <f t="shared" si="11"/>
        <v>745.7399999999999</v>
      </c>
      <c r="F74" s="90">
        <f t="shared" si="11"/>
        <v>767.63999999999987</v>
      </c>
      <c r="G74" s="90">
        <f t="shared" si="11"/>
        <v>801.13999999999987</v>
      </c>
      <c r="H74" s="90">
        <f t="shared" si="11"/>
        <v>811.83999999999992</v>
      </c>
      <c r="I74" s="90">
        <f t="shared" si="11"/>
        <v>831.74</v>
      </c>
      <c r="J74" s="90">
        <f t="shared" si="11"/>
        <v>851.74</v>
      </c>
      <c r="K74" s="90">
        <f t="shared" si="11"/>
        <v>888.33999999999992</v>
      </c>
      <c r="L74" s="90">
        <f t="shared" si="11"/>
        <v>924.64</v>
      </c>
      <c r="M74" s="90">
        <f t="shared" si="11"/>
        <v>902.53999999999985</v>
      </c>
      <c r="N74" s="90">
        <f t="shared" si="11"/>
        <v>843.93999999999983</v>
      </c>
      <c r="O74" s="90">
        <f t="shared" si="11"/>
        <v>864.04</v>
      </c>
      <c r="P74" s="90">
        <f t="shared" si="11"/>
        <v>882.24</v>
      </c>
      <c r="Q74" s="90">
        <f t="shared" si="11"/>
        <v>822.24</v>
      </c>
      <c r="R74" s="90">
        <f t="shared" si="11"/>
        <v>818.44</v>
      </c>
      <c r="S74" s="90">
        <f t="shared" si="11"/>
        <v>812.74</v>
      </c>
      <c r="T74" s="90">
        <f t="shared" si="11"/>
        <v>856.74</v>
      </c>
      <c r="U74" s="90">
        <f t="shared" si="11"/>
        <v>959.6400000000001</v>
      </c>
      <c r="V74" s="90">
        <f t="shared" si="11"/>
        <v>1065.74</v>
      </c>
      <c r="W74" s="90">
        <f t="shared" si="11"/>
        <v>1250.9000000000001</v>
      </c>
      <c r="X74" s="90">
        <f t="shared" si="11"/>
        <v>1219.8399999999999</v>
      </c>
      <c r="Y74" s="90">
        <f t="shared" si="11"/>
        <v>1179.3399999999999</v>
      </c>
      <c r="Z74" s="90">
        <f t="shared" si="11"/>
        <v>1111.8400000000001</v>
      </c>
      <c r="AA74" s="90">
        <f t="shared" si="11"/>
        <v>1057.94</v>
      </c>
      <c r="AB74" s="90">
        <f t="shared" si="11"/>
        <v>997.93999999999994</v>
      </c>
      <c r="AC74" s="90">
        <f t="shared" si="11"/>
        <v>941.54</v>
      </c>
      <c r="AD74" s="90">
        <f t="shared" si="11"/>
        <v>842.33999999999992</v>
      </c>
      <c r="AE74" s="90">
        <f t="shared" si="11"/>
        <v>767.63999999999987</v>
      </c>
      <c r="AF74" s="90">
        <f t="shared" si="11"/>
        <v>771.33999999999992</v>
      </c>
      <c r="AG74" s="79">
        <f>AG71+AG67+AG55+AG51+AG37+AG73</f>
        <v>2133.14</v>
      </c>
      <c r="AH74" s="56">
        <f t="shared" si="2"/>
        <v>1250.9000000000001</v>
      </c>
      <c r="AI74" s="57">
        <f t="shared" si="3"/>
        <v>744.13999999999987</v>
      </c>
      <c r="AK74">
        <v>54.96</v>
      </c>
      <c r="AL74">
        <v>55.61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>
        <v>46.29</v>
      </c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47.8</v>
      </c>
      <c r="C78" s="60">
        <f t="shared" ref="C78:AF78" si="15">IF(C58&lt;0,C58*-1,0)</f>
        <v>46.1</v>
      </c>
      <c r="D78" s="60">
        <f t="shared" si="15"/>
        <v>63</v>
      </c>
      <c r="E78" s="60">
        <f t="shared" si="15"/>
        <v>60</v>
      </c>
      <c r="F78" s="60">
        <f t="shared" si="15"/>
        <v>42</v>
      </c>
      <c r="G78" s="60">
        <f t="shared" si="15"/>
        <v>65</v>
      </c>
      <c r="H78" s="60">
        <f t="shared" si="15"/>
        <v>58</v>
      </c>
      <c r="I78" s="60">
        <f t="shared" si="15"/>
        <v>60</v>
      </c>
      <c r="J78" s="60">
        <f t="shared" si="15"/>
        <v>40</v>
      </c>
      <c r="K78" s="60">
        <f t="shared" si="15"/>
        <v>50</v>
      </c>
      <c r="L78" s="60">
        <f t="shared" si="15"/>
        <v>50.7</v>
      </c>
      <c r="M78" s="60">
        <f t="shared" si="15"/>
        <v>71.5</v>
      </c>
      <c r="N78" s="60">
        <f t="shared" si="15"/>
        <v>90</v>
      </c>
      <c r="O78" s="60">
        <f t="shared" si="15"/>
        <v>59.2</v>
      </c>
      <c r="P78" s="60">
        <f t="shared" si="15"/>
        <v>81</v>
      </c>
      <c r="Q78" s="60">
        <f t="shared" si="15"/>
        <v>91</v>
      </c>
      <c r="R78" s="60">
        <f t="shared" si="15"/>
        <v>71</v>
      </c>
      <c r="S78" s="60">
        <f t="shared" si="15"/>
        <v>60</v>
      </c>
      <c r="T78" s="60">
        <f t="shared" si="15"/>
        <v>60</v>
      </c>
      <c r="U78" s="60">
        <f t="shared" si="15"/>
        <v>70.2</v>
      </c>
      <c r="V78" s="60">
        <f t="shared" si="15"/>
        <v>42.5</v>
      </c>
      <c r="W78" s="60">
        <f t="shared" si="15"/>
        <v>57</v>
      </c>
      <c r="X78" s="60">
        <f t="shared" si="15"/>
        <v>45</v>
      </c>
      <c r="Y78" s="60">
        <f t="shared" si="15"/>
        <v>61</v>
      </c>
      <c r="Z78" s="60">
        <f t="shared" si="15"/>
        <v>55</v>
      </c>
      <c r="AA78" s="60">
        <f t="shared" si="15"/>
        <v>63.4</v>
      </c>
      <c r="AB78" s="60">
        <f t="shared" si="15"/>
        <v>47.1</v>
      </c>
      <c r="AC78" s="60">
        <f t="shared" si="15"/>
        <v>53.5</v>
      </c>
      <c r="AD78" s="60">
        <f t="shared" si="15"/>
        <v>69.099999999999994</v>
      </c>
      <c r="AE78" s="60">
        <f t="shared" si="15"/>
        <v>64.3</v>
      </c>
      <c r="AF78" s="60">
        <f t="shared" si="15"/>
        <v>53.3</v>
      </c>
      <c r="AG78" s="93"/>
      <c r="AH78" s="56">
        <f t="shared" ref="AH78:AH90" si="16">MAX(B78:AF78)</f>
        <v>91</v>
      </c>
      <c r="AI78" s="57">
        <f t="shared" ref="AI78:AI90" si="17">MIN(B78:AF78)</f>
        <v>40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>SUM(B75:B80)</f>
        <v>47.8</v>
      </c>
      <c r="C81" s="74">
        <f t="shared" ref="C81:AG81" si="19">SUM(C75:C80)</f>
        <v>46.1</v>
      </c>
      <c r="D81" s="74">
        <f t="shared" si="19"/>
        <v>63</v>
      </c>
      <c r="E81" s="74">
        <f t="shared" si="19"/>
        <v>60</v>
      </c>
      <c r="F81" s="74">
        <f t="shared" si="19"/>
        <v>42</v>
      </c>
      <c r="G81" s="74">
        <f t="shared" si="19"/>
        <v>65</v>
      </c>
      <c r="H81" s="74">
        <f t="shared" si="19"/>
        <v>58</v>
      </c>
      <c r="I81" s="74">
        <f t="shared" si="19"/>
        <v>60</v>
      </c>
      <c r="J81" s="74">
        <f t="shared" si="19"/>
        <v>40</v>
      </c>
      <c r="K81" s="74">
        <f t="shared" si="19"/>
        <v>50</v>
      </c>
      <c r="L81" s="74">
        <f t="shared" si="19"/>
        <v>50.7</v>
      </c>
      <c r="M81" s="74">
        <f t="shared" si="19"/>
        <v>71.5</v>
      </c>
      <c r="N81" s="74">
        <f t="shared" si="19"/>
        <v>90</v>
      </c>
      <c r="O81" s="74">
        <f t="shared" si="19"/>
        <v>59.2</v>
      </c>
      <c r="P81" s="74">
        <f t="shared" si="19"/>
        <v>81</v>
      </c>
      <c r="Q81" s="74">
        <f t="shared" si="19"/>
        <v>91</v>
      </c>
      <c r="R81" s="74">
        <f t="shared" si="19"/>
        <v>71</v>
      </c>
      <c r="S81" s="74">
        <f t="shared" si="19"/>
        <v>60</v>
      </c>
      <c r="T81" s="74">
        <f t="shared" si="19"/>
        <v>60</v>
      </c>
      <c r="U81" s="74">
        <f t="shared" si="19"/>
        <v>70.2</v>
      </c>
      <c r="V81" s="74">
        <f t="shared" si="19"/>
        <v>42.5</v>
      </c>
      <c r="W81" s="74">
        <f t="shared" si="19"/>
        <v>57</v>
      </c>
      <c r="X81" s="74">
        <f t="shared" si="19"/>
        <v>45</v>
      </c>
      <c r="Y81" s="74">
        <f t="shared" si="19"/>
        <v>61</v>
      </c>
      <c r="Z81" s="74">
        <f t="shared" si="19"/>
        <v>55</v>
      </c>
      <c r="AA81" s="74">
        <f t="shared" si="19"/>
        <v>63.4</v>
      </c>
      <c r="AB81" s="74">
        <f t="shared" si="19"/>
        <v>47.1</v>
      </c>
      <c r="AC81" s="74">
        <f t="shared" si="19"/>
        <v>53.5</v>
      </c>
      <c r="AD81" s="74">
        <f t="shared" si="19"/>
        <v>69.099999999999994</v>
      </c>
      <c r="AE81" s="74">
        <f t="shared" si="19"/>
        <v>64.3</v>
      </c>
      <c r="AF81" s="74">
        <f t="shared" si="19"/>
        <v>53.3</v>
      </c>
      <c r="AG81" s="79">
        <f t="shared" si="19"/>
        <v>0</v>
      </c>
      <c r="AH81" s="56">
        <f t="shared" si="16"/>
        <v>91</v>
      </c>
      <c r="AI81" s="57">
        <f t="shared" si="17"/>
        <v>40</v>
      </c>
      <c r="AK81" s="58"/>
    </row>
    <row r="82" spans="1:88" s="1" customFormat="1" ht="15.75" thickBot="1" x14ac:dyDescent="0.3">
      <c r="A82" s="73" t="s">
        <v>86</v>
      </c>
      <c r="B82" s="74">
        <f>SUM(B69:B81)</f>
        <v>1634.8799999999997</v>
      </c>
      <c r="C82" s="74">
        <f t="shared" ref="C82:AG82" si="20">SUM(C69:C81)</f>
        <v>1636.0799999999995</v>
      </c>
      <c r="D82" s="74">
        <f t="shared" si="20"/>
        <v>1614.2799999999997</v>
      </c>
      <c r="E82" s="74">
        <f t="shared" si="20"/>
        <v>1611.4799999999998</v>
      </c>
      <c r="F82" s="74">
        <f t="shared" si="20"/>
        <v>1619.2799999999997</v>
      </c>
      <c r="G82" s="74">
        <f t="shared" si="20"/>
        <v>1732.2799999999997</v>
      </c>
      <c r="H82" s="74">
        <f t="shared" si="20"/>
        <v>1739.6799999999998</v>
      </c>
      <c r="I82" s="74">
        <f t="shared" si="20"/>
        <v>1783.48</v>
      </c>
      <c r="J82" s="74">
        <f t="shared" si="20"/>
        <v>1783.48</v>
      </c>
      <c r="K82" s="74">
        <f t="shared" si="20"/>
        <v>1876.6799999999998</v>
      </c>
      <c r="L82" s="74">
        <f t="shared" si="20"/>
        <v>1950.68</v>
      </c>
      <c r="M82" s="74">
        <f t="shared" si="20"/>
        <v>1948.0799999999997</v>
      </c>
      <c r="N82" s="74">
        <f t="shared" si="20"/>
        <v>1867.8799999999997</v>
      </c>
      <c r="O82" s="74">
        <f t="shared" si="20"/>
        <v>1846.48</v>
      </c>
      <c r="P82" s="74">
        <f t="shared" si="20"/>
        <v>1926.48</v>
      </c>
      <c r="Q82" s="74">
        <f t="shared" si="20"/>
        <v>1826.48</v>
      </c>
      <c r="R82" s="74">
        <f t="shared" si="20"/>
        <v>1778.88</v>
      </c>
      <c r="S82" s="74">
        <f t="shared" si="20"/>
        <v>1745.48</v>
      </c>
      <c r="T82" s="74">
        <f t="shared" si="20"/>
        <v>1833.48</v>
      </c>
      <c r="U82" s="74">
        <f t="shared" si="20"/>
        <v>2059.6800000000003</v>
      </c>
      <c r="V82" s="74">
        <f t="shared" si="20"/>
        <v>2216.48</v>
      </c>
      <c r="W82" s="74">
        <f t="shared" si="20"/>
        <v>2615.8000000000002</v>
      </c>
      <c r="X82" s="74">
        <f t="shared" si="20"/>
        <v>2529.6799999999998</v>
      </c>
      <c r="Y82" s="74">
        <f t="shared" si="20"/>
        <v>2480.6799999999998</v>
      </c>
      <c r="Z82" s="74">
        <f t="shared" si="20"/>
        <v>2333.6800000000003</v>
      </c>
      <c r="AA82" s="74">
        <f t="shared" si="20"/>
        <v>2242.6800000000003</v>
      </c>
      <c r="AB82" s="74">
        <f t="shared" si="20"/>
        <v>2090.08</v>
      </c>
      <c r="AC82" s="74">
        <f t="shared" si="20"/>
        <v>1990.08</v>
      </c>
      <c r="AD82" s="74">
        <f t="shared" si="20"/>
        <v>1822.8799999999997</v>
      </c>
      <c r="AE82" s="74">
        <f t="shared" si="20"/>
        <v>1663.8799999999997</v>
      </c>
      <c r="AF82" s="74">
        <f t="shared" si="20"/>
        <v>1649.2799999999997</v>
      </c>
      <c r="AG82" s="79">
        <f t="shared" si="20"/>
        <v>4338.08</v>
      </c>
      <c r="AH82" s="56">
        <f t="shared" si="16"/>
        <v>2615.8000000000002</v>
      </c>
      <c r="AI82" s="57">
        <f t="shared" si="17"/>
        <v>1611.4799999999998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7">
        <v>50.01</v>
      </c>
      <c r="C83" s="96">
        <v>50.01</v>
      </c>
      <c r="D83" s="96">
        <v>49.987000000000002</v>
      </c>
      <c r="E83" s="96">
        <v>49.98</v>
      </c>
      <c r="F83" s="96">
        <v>49.970999999999997</v>
      </c>
      <c r="G83" s="96">
        <v>50.01</v>
      </c>
      <c r="H83" s="96">
        <v>49.86</v>
      </c>
      <c r="I83" s="96">
        <v>50.02</v>
      </c>
      <c r="J83" s="96">
        <v>49.98</v>
      </c>
      <c r="K83" s="96">
        <v>49.875999999999998</v>
      </c>
      <c r="L83" s="96">
        <v>49.978999999999999</v>
      </c>
      <c r="M83" s="96">
        <v>50</v>
      </c>
      <c r="N83" s="96">
        <v>49.899000000000001</v>
      </c>
      <c r="O83" s="96">
        <v>50.042000000000002</v>
      </c>
      <c r="P83" s="96">
        <v>49.834000000000003</v>
      </c>
      <c r="Q83" s="96">
        <v>50.042000000000002</v>
      </c>
      <c r="R83" s="96">
        <v>50.109000000000002</v>
      </c>
      <c r="S83" s="96">
        <v>49.936999999999998</v>
      </c>
      <c r="T83" s="96">
        <v>49.948</v>
      </c>
      <c r="U83" s="96">
        <v>49.95</v>
      </c>
      <c r="V83" s="96">
        <v>50.03</v>
      </c>
      <c r="W83" s="96">
        <v>49.99</v>
      </c>
      <c r="X83" s="96">
        <v>50.05</v>
      </c>
      <c r="Y83" s="96">
        <v>49.93</v>
      </c>
      <c r="Z83" s="96">
        <v>50.01</v>
      </c>
      <c r="AA83" s="96">
        <v>49.994999999999997</v>
      </c>
      <c r="AB83" s="96">
        <v>50.034999999999997</v>
      </c>
      <c r="AC83" s="96">
        <v>49.915999999999997</v>
      </c>
      <c r="AD83" s="96">
        <v>49.968000000000004</v>
      </c>
      <c r="AE83" s="96">
        <v>49.993000000000002</v>
      </c>
      <c r="AF83" s="97">
        <v>50.023000000000003</v>
      </c>
      <c r="AG83" s="98"/>
      <c r="AH83" s="56">
        <f t="shared" si="16"/>
        <v>50.109000000000002</v>
      </c>
      <c r="AI83" s="57">
        <f t="shared" si="17"/>
        <v>49.834000000000003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101">
        <v>129.19999999999999</v>
      </c>
      <c r="C84" s="52">
        <v>128.9</v>
      </c>
      <c r="D84" s="52">
        <v>128.9</v>
      </c>
      <c r="E84" s="52">
        <v>130</v>
      </c>
      <c r="F84" s="52">
        <v>128.69999999999999</v>
      </c>
      <c r="G84" s="52">
        <v>128.69999999999999</v>
      </c>
      <c r="H84" s="52">
        <v>128.69999999999999</v>
      </c>
      <c r="I84" s="52">
        <v>128.69999999999999</v>
      </c>
      <c r="J84" s="52">
        <v>126</v>
      </c>
      <c r="K84" s="52">
        <v>125</v>
      </c>
      <c r="L84" s="52">
        <v>126.2</v>
      </c>
      <c r="M84" s="52">
        <v>124.9</v>
      </c>
      <c r="N84" s="52">
        <v>125.4</v>
      </c>
      <c r="O84" s="52">
        <v>124.9</v>
      </c>
      <c r="P84" s="52">
        <v>124.6</v>
      </c>
      <c r="Q84" s="52">
        <v>126.3</v>
      </c>
      <c r="R84" s="52">
        <v>127.1</v>
      </c>
      <c r="S84" s="52">
        <v>125.9</v>
      </c>
      <c r="T84" s="100">
        <v>124.8</v>
      </c>
      <c r="U84" s="100">
        <v>124.9</v>
      </c>
      <c r="V84" s="100">
        <v>123.8</v>
      </c>
      <c r="W84" s="100">
        <v>123.8</v>
      </c>
      <c r="X84" s="100">
        <v>125.5</v>
      </c>
      <c r="Y84" s="100">
        <v>125.6</v>
      </c>
      <c r="Z84" s="100">
        <v>127.1</v>
      </c>
      <c r="AA84" s="52">
        <v>127.5</v>
      </c>
      <c r="AB84" s="52">
        <v>127.7</v>
      </c>
      <c r="AC84" s="52">
        <v>126.6</v>
      </c>
      <c r="AD84" s="52">
        <v>126.6</v>
      </c>
      <c r="AE84" s="52">
        <v>128.5</v>
      </c>
      <c r="AF84" s="101">
        <v>128</v>
      </c>
      <c r="AG84" s="102"/>
      <c r="AH84" s="56">
        <f t="shared" si="16"/>
        <v>130</v>
      </c>
      <c r="AI84" s="57">
        <f t="shared" si="17"/>
        <v>123.8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1">
        <v>132.19999999999999</v>
      </c>
      <c r="C85" s="52">
        <v>131.80000000000001</v>
      </c>
      <c r="D85" s="52">
        <v>131.80000000000001</v>
      </c>
      <c r="E85" s="52">
        <v>132.80000000000001</v>
      </c>
      <c r="F85" s="52">
        <v>131.4</v>
      </c>
      <c r="G85" s="52">
        <v>131.4</v>
      </c>
      <c r="H85" s="52">
        <v>131.4</v>
      </c>
      <c r="I85" s="52">
        <v>131.4</v>
      </c>
      <c r="J85" s="52">
        <v>128</v>
      </c>
      <c r="K85" s="52">
        <v>128</v>
      </c>
      <c r="L85" s="52">
        <v>128.5</v>
      </c>
      <c r="M85" s="52">
        <v>127.3</v>
      </c>
      <c r="N85" s="52">
        <v>127.5</v>
      </c>
      <c r="O85" s="52">
        <v>128.30000000000001</v>
      </c>
      <c r="P85" s="52">
        <v>128</v>
      </c>
      <c r="Q85" s="52">
        <v>129.5</v>
      </c>
      <c r="R85" s="52">
        <v>130.5</v>
      </c>
      <c r="S85" s="52">
        <v>129.5</v>
      </c>
      <c r="T85" s="100">
        <v>128.69999999999999</v>
      </c>
      <c r="U85" s="100">
        <v>128.30000000000001</v>
      </c>
      <c r="V85" s="100">
        <v>127.8</v>
      </c>
      <c r="W85" s="100">
        <v>127.8</v>
      </c>
      <c r="X85" s="100">
        <v>128.5</v>
      </c>
      <c r="Y85" s="100">
        <v>128.4</v>
      </c>
      <c r="Z85" s="100">
        <v>129.5</v>
      </c>
      <c r="AA85" s="52">
        <v>130.30000000000001</v>
      </c>
      <c r="AB85" s="52">
        <v>130.69999999999999</v>
      </c>
      <c r="AC85" s="52">
        <v>129.9</v>
      </c>
      <c r="AD85" s="52">
        <v>130</v>
      </c>
      <c r="AE85" s="52">
        <v>131.69999999999999</v>
      </c>
      <c r="AF85" s="101">
        <v>131.4</v>
      </c>
      <c r="AG85" s="102"/>
      <c r="AH85" s="56">
        <f t="shared" si="16"/>
        <v>132.80000000000001</v>
      </c>
      <c r="AI85" s="57">
        <f t="shared" si="17"/>
        <v>127.3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1">
        <v>129.69999999999999</v>
      </c>
      <c r="C86" s="52">
        <v>129.69999999999999</v>
      </c>
      <c r="D86" s="52">
        <v>129.69999999999999</v>
      </c>
      <c r="E86" s="52">
        <v>129.69999999999999</v>
      </c>
      <c r="F86" s="52">
        <v>129.5</v>
      </c>
      <c r="G86" s="52">
        <v>129.5</v>
      </c>
      <c r="H86" s="52">
        <v>129.5</v>
      </c>
      <c r="I86" s="52">
        <v>129.5</v>
      </c>
      <c r="J86" s="52">
        <v>128</v>
      </c>
      <c r="K86" s="52">
        <v>126</v>
      </c>
      <c r="L86" s="52">
        <v>126.6</v>
      </c>
      <c r="M86" s="52">
        <v>128</v>
      </c>
      <c r="N86" s="52">
        <v>129.1</v>
      </c>
      <c r="O86" s="52">
        <v>129.30000000000001</v>
      </c>
      <c r="P86" s="52">
        <v>128.5</v>
      </c>
      <c r="Q86" s="52">
        <v>127.4</v>
      </c>
      <c r="R86" s="52">
        <v>127.8</v>
      </c>
      <c r="S86" s="52">
        <v>127.4</v>
      </c>
      <c r="T86" s="52">
        <v>126.6</v>
      </c>
      <c r="U86" s="52">
        <v>127.2</v>
      </c>
      <c r="V86" s="52">
        <v>125.7</v>
      </c>
      <c r="W86" s="52">
        <v>125.7</v>
      </c>
      <c r="X86" s="100">
        <v>129.1</v>
      </c>
      <c r="Y86" s="100">
        <v>130.4</v>
      </c>
      <c r="Z86" s="100">
        <v>129.5</v>
      </c>
      <c r="AA86" s="52">
        <v>129.30000000000001</v>
      </c>
      <c r="AB86" s="52">
        <v>130.5</v>
      </c>
      <c r="AC86" s="52">
        <v>130.9</v>
      </c>
      <c r="AD86" s="52">
        <v>130.69999999999999</v>
      </c>
      <c r="AE86" s="52">
        <v>130.5</v>
      </c>
      <c r="AF86" s="101">
        <v>129.6</v>
      </c>
      <c r="AG86" s="102"/>
      <c r="AH86" s="56">
        <f t="shared" si="16"/>
        <v>130.9</v>
      </c>
      <c r="AI86" s="57">
        <f t="shared" si="17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101">
        <v>133.19999999999999</v>
      </c>
      <c r="C87" s="52">
        <v>133.19999999999999</v>
      </c>
      <c r="D87" s="52">
        <v>133.19999999999999</v>
      </c>
      <c r="E87" s="52">
        <v>133.4</v>
      </c>
      <c r="F87" s="52">
        <v>133.6</v>
      </c>
      <c r="G87" s="52">
        <v>133.6</v>
      </c>
      <c r="H87" s="52">
        <v>133.6</v>
      </c>
      <c r="I87" s="52">
        <v>133.6</v>
      </c>
      <c r="J87" s="52">
        <v>131</v>
      </c>
      <c r="K87" s="52">
        <v>130</v>
      </c>
      <c r="L87" s="52">
        <v>130.1</v>
      </c>
      <c r="M87" s="52">
        <v>134.19999999999999</v>
      </c>
      <c r="N87" s="52">
        <v>133.1</v>
      </c>
      <c r="O87" s="52">
        <v>133.5</v>
      </c>
      <c r="P87" s="52">
        <v>131</v>
      </c>
      <c r="Q87" s="52">
        <v>130.69999999999999</v>
      </c>
      <c r="R87" s="52">
        <v>130.6</v>
      </c>
      <c r="S87" s="52">
        <v>130.19999999999999</v>
      </c>
      <c r="T87" s="52">
        <v>129.4</v>
      </c>
      <c r="U87" s="52">
        <v>129.4</v>
      </c>
      <c r="V87" s="52">
        <v>130.6</v>
      </c>
      <c r="W87" s="52">
        <v>130.6</v>
      </c>
      <c r="X87" s="100">
        <v>133.9</v>
      </c>
      <c r="Y87" s="100">
        <v>135.1</v>
      </c>
      <c r="Z87" s="100">
        <v>134.6</v>
      </c>
      <c r="AA87" s="52">
        <v>133</v>
      </c>
      <c r="AB87" s="52">
        <v>134.30000000000001</v>
      </c>
      <c r="AC87" s="52">
        <v>134.5</v>
      </c>
      <c r="AD87" s="52">
        <v>134.1</v>
      </c>
      <c r="AE87" s="52">
        <v>133.80000000000001</v>
      </c>
      <c r="AF87" s="101">
        <v>133.1</v>
      </c>
      <c r="AG87" s="102"/>
      <c r="AH87" s="56">
        <f t="shared" si="16"/>
        <v>135.1</v>
      </c>
      <c r="AI87" s="57">
        <f t="shared" si="17"/>
        <v>129.4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5">
        <v>135.30000000000001</v>
      </c>
      <c r="C88" s="104">
        <v>134.30000000000001</v>
      </c>
      <c r="D88" s="104">
        <v>134.30000000000001</v>
      </c>
      <c r="E88" s="104">
        <v>134.30000000000001</v>
      </c>
      <c r="F88" s="104">
        <v>133.6</v>
      </c>
      <c r="G88" s="104">
        <v>133.6</v>
      </c>
      <c r="H88" s="104">
        <v>133.6</v>
      </c>
      <c r="I88" s="104">
        <v>133.6</v>
      </c>
      <c r="J88" s="104">
        <v>133</v>
      </c>
      <c r="K88" s="104">
        <v>133</v>
      </c>
      <c r="L88" s="104">
        <v>132.9</v>
      </c>
      <c r="M88" s="104">
        <v>131.80000000000001</v>
      </c>
      <c r="N88" s="104">
        <v>131.5</v>
      </c>
      <c r="O88" s="104">
        <v>132</v>
      </c>
      <c r="P88" s="104">
        <v>133.1</v>
      </c>
      <c r="Q88" s="104">
        <v>132.4</v>
      </c>
      <c r="R88" s="104">
        <v>134.6</v>
      </c>
      <c r="S88" s="104">
        <v>132.80000000000001</v>
      </c>
      <c r="T88" s="104">
        <v>132.6</v>
      </c>
      <c r="U88" s="104">
        <v>132.6</v>
      </c>
      <c r="V88" s="104">
        <v>135.9</v>
      </c>
      <c r="W88" s="104">
        <v>135.9</v>
      </c>
      <c r="X88" s="100">
        <v>135.69999999999999</v>
      </c>
      <c r="Y88" s="100">
        <v>133</v>
      </c>
      <c r="Z88" s="100">
        <v>134.69999999999999</v>
      </c>
      <c r="AA88" s="104">
        <v>131.9</v>
      </c>
      <c r="AB88" s="104">
        <v>133.4</v>
      </c>
      <c r="AC88" s="104">
        <v>132.5</v>
      </c>
      <c r="AD88" s="104">
        <v>81.099999999999994</v>
      </c>
      <c r="AE88" s="104">
        <v>134.1</v>
      </c>
      <c r="AF88" s="105">
        <v>132.80000000000001</v>
      </c>
      <c r="AG88" s="106"/>
      <c r="AH88" s="56">
        <f t="shared" si="16"/>
        <v>135.9</v>
      </c>
      <c r="AI88" s="57">
        <f t="shared" si="17"/>
        <v>81.099999999999994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101">
        <v>136.6</v>
      </c>
      <c r="C89" s="52">
        <v>135</v>
      </c>
      <c r="D89" s="52">
        <v>135</v>
      </c>
      <c r="E89" s="52">
        <v>135.5</v>
      </c>
      <c r="F89" s="52">
        <v>134.6</v>
      </c>
      <c r="G89" s="52">
        <v>134.6</v>
      </c>
      <c r="H89" s="52">
        <v>134.6</v>
      </c>
      <c r="I89" s="52">
        <v>134.6</v>
      </c>
      <c r="J89" s="52">
        <v>134</v>
      </c>
      <c r="K89" s="52">
        <v>133</v>
      </c>
      <c r="L89" s="52">
        <v>133.30000000000001</v>
      </c>
      <c r="M89" s="52">
        <v>132.19999999999999</v>
      </c>
      <c r="N89" s="52">
        <v>131.5</v>
      </c>
      <c r="O89" s="52">
        <v>130.80000000000001</v>
      </c>
      <c r="P89" s="52">
        <v>132.80000000000001</v>
      </c>
      <c r="Q89" s="52">
        <v>132.4</v>
      </c>
      <c r="R89" s="52">
        <v>133.6</v>
      </c>
      <c r="S89" s="52">
        <v>132.19999999999999</v>
      </c>
      <c r="T89" s="52">
        <v>130</v>
      </c>
      <c r="U89" s="52">
        <v>131.69999999999999</v>
      </c>
      <c r="V89" s="52">
        <v>132.1</v>
      </c>
      <c r="W89" s="52">
        <v>132.1</v>
      </c>
      <c r="X89" s="100">
        <v>132.1</v>
      </c>
      <c r="Y89" s="100">
        <v>131</v>
      </c>
      <c r="Z89" s="100">
        <v>133.5</v>
      </c>
      <c r="AA89" s="52">
        <v>132.4</v>
      </c>
      <c r="AB89" s="52">
        <v>133.1</v>
      </c>
      <c r="AC89" s="52">
        <v>132.1</v>
      </c>
      <c r="AD89" s="52">
        <v>133.5</v>
      </c>
      <c r="AE89" s="52">
        <v>134.80000000000001</v>
      </c>
      <c r="AF89" s="101">
        <v>134.19999999999999</v>
      </c>
      <c r="AG89" s="102"/>
      <c r="AH89" s="56">
        <f t="shared" si="16"/>
        <v>136.6</v>
      </c>
      <c r="AI89" s="57">
        <f t="shared" si="17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8">
        <v>67</v>
      </c>
      <c r="C90" s="107">
        <v>67.099999999999994</v>
      </c>
      <c r="D90" s="107">
        <v>67.099999999999994</v>
      </c>
      <c r="E90" s="107">
        <v>67.400000000000006</v>
      </c>
      <c r="F90" s="107">
        <v>66.8</v>
      </c>
      <c r="G90" s="107">
        <v>66.8</v>
      </c>
      <c r="H90" s="107">
        <v>66.8</v>
      </c>
      <c r="I90" s="107">
        <v>66.8</v>
      </c>
      <c r="J90" s="107">
        <v>65.3</v>
      </c>
      <c r="K90" s="107">
        <v>65</v>
      </c>
      <c r="L90" s="107">
        <v>65.2</v>
      </c>
      <c r="M90" s="107">
        <v>64.5</v>
      </c>
      <c r="N90" s="107">
        <v>64.7</v>
      </c>
      <c r="O90" s="107">
        <v>65.099999999999994</v>
      </c>
      <c r="P90" s="107">
        <v>65.099999999999994</v>
      </c>
      <c r="Q90" s="107">
        <v>66</v>
      </c>
      <c r="R90" s="107">
        <v>66.400000000000006</v>
      </c>
      <c r="S90" s="107">
        <v>65.7</v>
      </c>
      <c r="T90" s="107">
        <v>65.2</v>
      </c>
      <c r="U90" s="107">
        <v>65.400000000000006</v>
      </c>
      <c r="V90" s="107">
        <v>65.2</v>
      </c>
      <c r="W90" s="107">
        <v>65.2</v>
      </c>
      <c r="X90" s="107">
        <v>65.3</v>
      </c>
      <c r="Y90" s="107">
        <v>65.400000000000006</v>
      </c>
      <c r="Z90" s="107">
        <v>66.2</v>
      </c>
      <c r="AA90" s="107">
        <v>66.599999999999994</v>
      </c>
      <c r="AB90" s="107">
        <v>66.7</v>
      </c>
      <c r="AC90" s="107">
        <v>66.3</v>
      </c>
      <c r="AD90" s="107">
        <v>66.2</v>
      </c>
      <c r="AE90" s="107">
        <v>67.2</v>
      </c>
      <c r="AF90" s="108">
        <v>66.900000000000006</v>
      </c>
      <c r="AG90" s="109"/>
      <c r="AH90" s="56">
        <f t="shared" si="16"/>
        <v>67.400000000000006</v>
      </c>
      <c r="AI90" s="57">
        <f t="shared" si="17"/>
        <v>64.5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5">
        <f>SUM(B15,B18,B21:B22,B41,B43:B44,B46,B48,B93:B96,B101,B107,B113,B122,B124,B136,B143,B146:B147,B154,B156,B158,B162:B164,B166:B168,B173,B179:B180,B182:B184,B192,B197)</f>
        <v>147.73999999999998</v>
      </c>
      <c r="C92" s="114">
        <f t="shared" ref="C92:AF92" si="21">SUM(C15,C18,C21:C22,C41,C43:C44,C46,C48,C93:C96,C101,C107,C113,C122,C124,C136,C143,C146:C147,C154,C156,C158,C162:C164,C166:C168,C173,C179:C180,C182:C184,C192,C197)</f>
        <v>144.44</v>
      </c>
      <c r="D92" s="114">
        <f t="shared" si="21"/>
        <v>143.83999999999997</v>
      </c>
      <c r="E92" s="114">
        <f t="shared" si="21"/>
        <v>137.63999999999996</v>
      </c>
      <c r="F92" s="115">
        <f t="shared" si="21"/>
        <v>151.33999999999997</v>
      </c>
      <c r="G92" s="115">
        <f t="shared" si="21"/>
        <v>157.33999999999997</v>
      </c>
      <c r="H92" s="115">
        <f t="shared" si="21"/>
        <v>176.23999999999998</v>
      </c>
      <c r="I92" s="115">
        <f t="shared" si="21"/>
        <v>196.14</v>
      </c>
      <c r="J92" s="115">
        <f t="shared" si="21"/>
        <v>206.83999999999997</v>
      </c>
      <c r="K92" s="115">
        <f t="shared" si="21"/>
        <v>220.83999999999997</v>
      </c>
      <c r="L92" s="115">
        <f t="shared" si="21"/>
        <v>228.84</v>
      </c>
      <c r="M92" s="115">
        <f t="shared" si="21"/>
        <v>231.23999999999998</v>
      </c>
      <c r="N92" s="115">
        <f t="shared" si="21"/>
        <v>215.54</v>
      </c>
      <c r="O92" s="115">
        <f t="shared" si="21"/>
        <v>201.34</v>
      </c>
      <c r="P92" s="115">
        <f t="shared" si="21"/>
        <v>185.83999999999997</v>
      </c>
      <c r="Q92" s="115">
        <f t="shared" si="21"/>
        <v>179.73999999999998</v>
      </c>
      <c r="R92" s="115">
        <f t="shared" si="21"/>
        <v>181.23999999999998</v>
      </c>
      <c r="S92" s="115">
        <f t="shared" si="21"/>
        <v>187.04</v>
      </c>
      <c r="T92" s="115">
        <f t="shared" si="21"/>
        <v>193.44</v>
      </c>
      <c r="U92" s="115">
        <f t="shared" si="21"/>
        <v>220.84</v>
      </c>
      <c r="V92" s="115">
        <f t="shared" si="21"/>
        <v>273.14000000000004</v>
      </c>
      <c r="W92" s="115">
        <f t="shared" si="21"/>
        <v>310.24</v>
      </c>
      <c r="X92" s="115">
        <f t="shared" si="21"/>
        <v>294.04000000000002</v>
      </c>
      <c r="Y92" s="115">
        <f t="shared" si="21"/>
        <v>293.14000000000004</v>
      </c>
      <c r="Z92" s="115">
        <f t="shared" si="21"/>
        <v>275.94000000000005</v>
      </c>
      <c r="AA92" s="115">
        <f t="shared" si="21"/>
        <v>255.23999999999998</v>
      </c>
      <c r="AB92" s="115">
        <f t="shared" si="21"/>
        <v>238.14</v>
      </c>
      <c r="AC92" s="115">
        <f t="shared" si="21"/>
        <v>212.23999999999998</v>
      </c>
      <c r="AD92" s="115">
        <f t="shared" si="21"/>
        <v>166.83999999999997</v>
      </c>
      <c r="AE92" s="115">
        <f t="shared" si="21"/>
        <v>143.14000000000001</v>
      </c>
      <c r="AF92" s="115">
        <f t="shared" si="21"/>
        <v>130.03999999999996</v>
      </c>
      <c r="AG92" s="116"/>
      <c r="AH92" s="56">
        <f>MAX(B92:AF92)</f>
        <v>310.24</v>
      </c>
      <c r="AI92" s="57">
        <f>MIN(B92:AF92)</f>
        <v>130.03999999999996</v>
      </c>
    </row>
    <row r="93" spans="1:88" x14ac:dyDescent="0.25">
      <c r="A93" s="117" t="s">
        <v>96</v>
      </c>
      <c r="B93" s="119">
        <v>26.4</v>
      </c>
      <c r="C93" s="60">
        <v>23.8</v>
      </c>
      <c r="D93" s="60">
        <v>24.7</v>
      </c>
      <c r="E93" s="60">
        <v>26.6</v>
      </c>
      <c r="F93" s="118">
        <v>26.5</v>
      </c>
      <c r="G93" s="118">
        <v>24</v>
      </c>
      <c r="H93" s="118">
        <v>20.5</v>
      </c>
      <c r="I93" s="118">
        <v>24</v>
      </c>
      <c r="J93" s="118">
        <v>18.600000000000001</v>
      </c>
      <c r="K93" s="118">
        <v>31</v>
      </c>
      <c r="L93" s="54">
        <v>31.5</v>
      </c>
      <c r="M93" s="118">
        <v>46.7</v>
      </c>
      <c r="N93" s="118">
        <v>43.1</v>
      </c>
      <c r="O93" s="118">
        <v>33.9</v>
      </c>
      <c r="P93" s="118">
        <v>44.7</v>
      </c>
      <c r="Q93" s="118">
        <v>45.1</v>
      </c>
      <c r="R93" s="118">
        <v>37.700000000000003</v>
      </c>
      <c r="S93" s="118">
        <v>38.9</v>
      </c>
      <c r="T93" s="54">
        <v>36.9</v>
      </c>
      <c r="U93" s="54">
        <v>51.3</v>
      </c>
      <c r="V93" s="54">
        <v>67</v>
      </c>
      <c r="W93" s="118">
        <v>58.3</v>
      </c>
      <c r="X93" s="118">
        <v>55.1</v>
      </c>
      <c r="Y93" s="118">
        <v>44.1</v>
      </c>
      <c r="Z93" s="118">
        <v>44.7</v>
      </c>
      <c r="AA93" s="54">
        <v>50.1</v>
      </c>
      <c r="AB93" s="54">
        <v>52.5</v>
      </c>
      <c r="AC93" s="54">
        <v>54.4</v>
      </c>
      <c r="AD93" s="54">
        <v>50.4</v>
      </c>
      <c r="AE93" s="54">
        <v>40.700000000000003</v>
      </c>
      <c r="AF93" s="119">
        <v>38.299999999999997</v>
      </c>
      <c r="AG93" s="120">
        <v>75</v>
      </c>
      <c r="AH93" s="56">
        <f t="shared" ref="AH93:AH98" si="22">IF(ABS(MAX(B93:AF93))&gt;ABS(MIN(B93:AF93)),MAX(B93:AF93),MIN(B93:AF93))</f>
        <v>67</v>
      </c>
      <c r="AI93" s="121">
        <f t="shared" ref="AI93:AI98" si="23">INDEX($B$9:$AF$9,1,MATCH(AH93,B93:AF93,0))</f>
        <v>0.72916666666666663</v>
      </c>
    </row>
    <row r="94" spans="1:88" x14ac:dyDescent="0.25">
      <c r="A94" s="122" t="s">
        <v>97</v>
      </c>
      <c r="B94" s="123">
        <f>-28.5-24</f>
        <v>-52.5</v>
      </c>
      <c r="C94" s="62">
        <f>-24.5-29</f>
        <v>-53.5</v>
      </c>
      <c r="D94" s="62">
        <v>-51</v>
      </c>
      <c r="E94" s="62">
        <v>-46</v>
      </c>
      <c r="F94" s="62">
        <v>-44</v>
      </c>
      <c r="G94" s="62">
        <v>-44.5</v>
      </c>
      <c r="H94" s="62">
        <v>-40</v>
      </c>
      <c r="I94" s="62">
        <v>-36</v>
      </c>
      <c r="J94" s="62">
        <v>-31</v>
      </c>
      <c r="K94" s="62">
        <v>-36</v>
      </c>
      <c r="L94" s="62">
        <v>-35</v>
      </c>
      <c r="M94" s="62">
        <v>-33</v>
      </c>
      <c r="N94" s="62">
        <v>-38</v>
      </c>
      <c r="O94" s="62">
        <v>-36.700000000000003</v>
      </c>
      <c r="P94" s="62">
        <v>-45.4</v>
      </c>
      <c r="Q94" s="62">
        <v>-44.7</v>
      </c>
      <c r="R94" s="62">
        <v>-43.3</v>
      </c>
      <c r="S94" s="62">
        <v>-41</v>
      </c>
      <c r="T94" s="62">
        <v>-44</v>
      </c>
      <c r="U94" s="62">
        <f>-17.1-21</f>
        <v>-38.1</v>
      </c>
      <c r="V94" s="62">
        <f>-20.2-23.6</f>
        <v>-43.8</v>
      </c>
      <c r="W94" s="62">
        <v>-35.299999999999997</v>
      </c>
      <c r="X94" s="62">
        <f>-15.2-19.6</f>
        <v>-34.799999999999997</v>
      </c>
      <c r="Y94" s="62">
        <f>-15.7-19.7</f>
        <v>-35.4</v>
      </c>
      <c r="Z94" s="62">
        <f>-15.7-18.9</f>
        <v>-34.599999999999994</v>
      </c>
      <c r="AA94" s="52">
        <v>-42.6</v>
      </c>
      <c r="AB94" s="52">
        <v>-45</v>
      </c>
      <c r="AC94" s="52">
        <v>-54</v>
      </c>
      <c r="AD94" s="52">
        <v>-55.3</v>
      </c>
      <c r="AE94" s="52">
        <v>-59</v>
      </c>
      <c r="AF94" s="123">
        <v>-65.5</v>
      </c>
      <c r="AG94" s="120">
        <v>240</v>
      </c>
      <c r="AH94" s="56">
        <f t="shared" si="22"/>
        <v>-65.5</v>
      </c>
      <c r="AI94" s="121">
        <f t="shared" si="23"/>
        <v>1</v>
      </c>
    </row>
    <row r="95" spans="1:88" x14ac:dyDescent="0.25">
      <c r="A95" s="122" t="s">
        <v>98</v>
      </c>
      <c r="B95" s="123">
        <v>0.2</v>
      </c>
      <c r="C95" s="62">
        <v>-2.2999999999999998</v>
      </c>
      <c r="D95" s="62">
        <v>-2.1</v>
      </c>
      <c r="E95" s="62">
        <v>-3</v>
      </c>
      <c r="F95" s="62">
        <v>0</v>
      </c>
      <c r="G95" s="62">
        <v>-1.8</v>
      </c>
      <c r="H95" s="62">
        <v>6.1</v>
      </c>
      <c r="I95" s="62">
        <v>8.3000000000000007</v>
      </c>
      <c r="J95" s="62">
        <v>8.4</v>
      </c>
      <c r="K95" s="62">
        <v>8</v>
      </c>
      <c r="L95" s="62">
        <v>6</v>
      </c>
      <c r="M95" s="62">
        <v>3.4</v>
      </c>
      <c r="N95" s="62">
        <v>6.1</v>
      </c>
      <c r="O95" s="62">
        <v>1.9</v>
      </c>
      <c r="P95" s="62">
        <v>1.1000000000000001</v>
      </c>
      <c r="Q95" s="62">
        <v>5.4</v>
      </c>
      <c r="R95" s="62">
        <v>8.6</v>
      </c>
      <c r="S95" s="62">
        <v>4.3</v>
      </c>
      <c r="T95" s="62">
        <v>2.5</v>
      </c>
      <c r="U95" s="62">
        <v>12.2</v>
      </c>
      <c r="V95" s="62">
        <v>8.4</v>
      </c>
      <c r="W95" s="62">
        <v>19.7</v>
      </c>
      <c r="X95" s="62">
        <v>9.1999999999999993</v>
      </c>
      <c r="Y95" s="62">
        <v>9.1</v>
      </c>
      <c r="Z95" s="62">
        <v>14.7</v>
      </c>
      <c r="AA95" s="52">
        <v>10.5</v>
      </c>
      <c r="AB95" s="52">
        <v>6.9</v>
      </c>
      <c r="AC95" s="52">
        <v>2.6</v>
      </c>
      <c r="AD95" s="52">
        <v>-2.1</v>
      </c>
      <c r="AE95" s="52">
        <v>2.7</v>
      </c>
      <c r="AF95" s="123">
        <v>-3.5</v>
      </c>
      <c r="AG95" s="120">
        <v>60</v>
      </c>
      <c r="AH95" s="56">
        <f t="shared" si="22"/>
        <v>19.7</v>
      </c>
      <c r="AI95" s="121">
        <f t="shared" si="23"/>
        <v>0.75</v>
      </c>
    </row>
    <row r="96" spans="1:88" x14ac:dyDescent="0.25">
      <c r="A96" s="124" t="s">
        <v>99</v>
      </c>
      <c r="B96" s="126">
        <v>-2.8</v>
      </c>
      <c r="C96" s="65">
        <v>0</v>
      </c>
      <c r="D96" s="65">
        <v>4.8</v>
      </c>
      <c r="E96" s="65">
        <v>-5.4</v>
      </c>
      <c r="F96" s="65">
        <v>6.4</v>
      </c>
      <c r="G96" s="65">
        <v>6.8</v>
      </c>
      <c r="H96" s="65">
        <v>16.8</v>
      </c>
      <c r="I96" s="65">
        <v>16</v>
      </c>
      <c r="J96" s="65">
        <v>27</v>
      </c>
      <c r="K96" s="65">
        <v>24</v>
      </c>
      <c r="L96" s="65">
        <v>31.9</v>
      </c>
      <c r="M96" s="65">
        <v>25.2</v>
      </c>
      <c r="N96" s="65">
        <v>15.4</v>
      </c>
      <c r="O96" s="65">
        <v>28.3</v>
      </c>
      <c r="P96" s="65">
        <v>11.5</v>
      </c>
      <c r="Q96" s="65">
        <v>0</v>
      </c>
      <c r="R96" s="65">
        <v>5.3</v>
      </c>
      <c r="S96" s="65">
        <v>11.7</v>
      </c>
      <c r="T96" s="65">
        <v>16.3</v>
      </c>
      <c r="U96" s="65">
        <v>18.5</v>
      </c>
      <c r="V96" s="65">
        <v>32.200000000000003</v>
      </c>
      <c r="W96" s="65">
        <v>46.2</v>
      </c>
      <c r="X96" s="65">
        <v>53.3</v>
      </c>
      <c r="Y96" s="65">
        <v>59.6</v>
      </c>
      <c r="Z96" s="65">
        <v>50.7</v>
      </c>
      <c r="AA96" s="125">
        <v>36.5</v>
      </c>
      <c r="AB96" s="125">
        <v>23.3</v>
      </c>
      <c r="AC96" s="125">
        <v>8.5</v>
      </c>
      <c r="AD96" s="125">
        <v>2.1</v>
      </c>
      <c r="AE96" s="125">
        <v>-13</v>
      </c>
      <c r="AF96" s="126">
        <v>-11</v>
      </c>
      <c r="AG96" s="127">
        <v>120</v>
      </c>
      <c r="AH96" s="56">
        <f t="shared" si="22"/>
        <v>59.6</v>
      </c>
      <c r="AI96" s="121">
        <f t="shared" si="23"/>
        <v>0.79166666666666663</v>
      </c>
    </row>
    <row r="97" spans="1:37" x14ac:dyDescent="0.25">
      <c r="A97" s="124" t="s">
        <v>100</v>
      </c>
      <c r="B97" s="126">
        <v>21</v>
      </c>
      <c r="C97" s="65">
        <v>25.5</v>
      </c>
      <c r="D97" s="65">
        <v>20</v>
      </c>
      <c r="E97" s="65">
        <v>17</v>
      </c>
      <c r="F97" s="65">
        <v>26</v>
      </c>
      <c r="G97" s="65">
        <v>24.7</v>
      </c>
      <c r="H97" s="65">
        <v>30</v>
      </c>
      <c r="I97" s="65">
        <v>29</v>
      </c>
      <c r="J97" s="65">
        <v>39</v>
      </c>
      <c r="K97" s="65">
        <v>36</v>
      </c>
      <c r="L97" s="65">
        <v>44</v>
      </c>
      <c r="M97" s="65">
        <v>37.700000000000003</v>
      </c>
      <c r="N97" s="65">
        <v>30.3</v>
      </c>
      <c r="O97" s="65">
        <v>43.8</v>
      </c>
      <c r="P97" s="65">
        <v>27.8</v>
      </c>
      <c r="Q97" s="65">
        <v>20.399999999999999</v>
      </c>
      <c r="R97" s="65">
        <v>24.1</v>
      </c>
      <c r="S97" s="65">
        <v>30.6</v>
      </c>
      <c r="T97" s="65">
        <v>33.5</v>
      </c>
      <c r="U97" s="65">
        <v>34.5</v>
      </c>
      <c r="V97" s="65">
        <v>36.4</v>
      </c>
      <c r="W97" s="65">
        <v>40.1</v>
      </c>
      <c r="X97" s="65">
        <v>46.6</v>
      </c>
      <c r="Y97" s="65">
        <v>52.7</v>
      </c>
      <c r="Z97" s="65">
        <v>47.1</v>
      </c>
      <c r="AA97" s="125">
        <v>37.200000000000003</v>
      </c>
      <c r="AB97" s="125">
        <v>28.6</v>
      </c>
      <c r="AC97" s="125">
        <v>18.5</v>
      </c>
      <c r="AD97" s="125">
        <v>17.3</v>
      </c>
      <c r="AE97" s="125">
        <v>13.7</v>
      </c>
      <c r="AF97" s="126">
        <v>16.5</v>
      </c>
      <c r="AG97" s="127"/>
      <c r="AH97" s="56">
        <f t="shared" si="22"/>
        <v>52.7</v>
      </c>
      <c r="AI97" s="121">
        <f t="shared" si="23"/>
        <v>0.79166666666666663</v>
      </c>
    </row>
    <row r="98" spans="1:37" ht="15.75" thickBot="1" x14ac:dyDescent="0.3">
      <c r="A98" s="124" t="s">
        <v>101</v>
      </c>
      <c r="B98" s="126">
        <v>-8</v>
      </c>
      <c r="C98" s="65">
        <v>-4.3</v>
      </c>
      <c r="D98" s="65">
        <v>-4.4000000000000004</v>
      </c>
      <c r="E98" s="65">
        <v>-5.6</v>
      </c>
      <c r="F98" s="65">
        <v>1.6</v>
      </c>
      <c r="G98" s="65">
        <v>7.9</v>
      </c>
      <c r="H98" s="65">
        <v>20.7</v>
      </c>
      <c r="I98" s="65">
        <v>11</v>
      </c>
      <c r="J98" s="65">
        <v>24.7</v>
      </c>
      <c r="K98" s="65">
        <v>20</v>
      </c>
      <c r="L98" s="65">
        <v>35.6</v>
      </c>
      <c r="M98" s="65">
        <v>21</v>
      </c>
      <c r="N98" s="65">
        <v>15.6</v>
      </c>
      <c r="O98" s="65">
        <v>28.1</v>
      </c>
      <c r="P98" s="65">
        <v>15.8</v>
      </c>
      <c r="Q98" s="65">
        <v>12.8</v>
      </c>
      <c r="R98" s="65">
        <v>14.7</v>
      </c>
      <c r="S98" s="65">
        <v>30.7</v>
      </c>
      <c r="T98" s="65">
        <v>28.6</v>
      </c>
      <c r="U98" s="65">
        <v>24.7</v>
      </c>
      <c r="V98" s="65">
        <v>20.9</v>
      </c>
      <c r="W98" s="65">
        <v>33.4</v>
      </c>
      <c r="X98" s="65">
        <v>36</v>
      </c>
      <c r="Y98" s="65">
        <v>51.8</v>
      </c>
      <c r="Z98" s="65">
        <v>44.5</v>
      </c>
      <c r="AA98" s="125">
        <v>39.6</v>
      </c>
      <c r="AB98" s="125">
        <v>24.9</v>
      </c>
      <c r="AC98" s="125">
        <v>23.9</v>
      </c>
      <c r="AD98" s="125">
        <v>16.399999999999999</v>
      </c>
      <c r="AE98" s="125">
        <v>18.899999999999999</v>
      </c>
      <c r="AF98" s="126">
        <v>24.9</v>
      </c>
      <c r="AG98" s="128"/>
      <c r="AH98" s="56">
        <f t="shared" si="22"/>
        <v>51.8</v>
      </c>
      <c r="AI98" s="121">
        <f t="shared" si="23"/>
        <v>0.79166666666666663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924.64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21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2078/07/21)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2078/07/21)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769.63999999999987</v>
      </c>
      <c r="U212" s="173">
        <f t="shared" si="52"/>
        <v>771.93999999999983</v>
      </c>
      <c r="V212" s="173">
        <f t="shared" si="52"/>
        <v>744.13999999999987</v>
      </c>
      <c r="W212" s="173">
        <f t="shared" si="52"/>
        <v>745.7399999999999</v>
      </c>
      <c r="X212" s="173">
        <f t="shared" si="52"/>
        <v>767.63999999999987</v>
      </c>
      <c r="Y212" s="173">
        <f t="shared" si="52"/>
        <v>801.13999999999987</v>
      </c>
      <c r="Z212" s="173">
        <f t="shared" si="52"/>
        <v>811.83999999999992</v>
      </c>
      <c r="AA212" s="173">
        <f t="shared" si="52"/>
        <v>831.74</v>
      </c>
      <c r="AB212" s="173">
        <f t="shared" si="52"/>
        <v>851.74</v>
      </c>
      <c r="AC212" s="173">
        <f t="shared" si="52"/>
        <v>888.33999999999992</v>
      </c>
      <c r="AD212" s="173">
        <f t="shared" si="52"/>
        <v>924.64</v>
      </c>
      <c r="AE212" s="173">
        <f t="shared" si="52"/>
        <v>902.53999999999985</v>
      </c>
      <c r="AF212" s="173">
        <f t="shared" si="52"/>
        <v>843.93999999999983</v>
      </c>
      <c r="AG212" s="173">
        <f t="shared" si="52"/>
        <v>864.04</v>
      </c>
      <c r="AH212" s="173">
        <f t="shared" si="52"/>
        <v>882.24</v>
      </c>
      <c r="AI212" s="173">
        <f t="shared" si="52"/>
        <v>822.24</v>
      </c>
      <c r="AJ212" s="173">
        <f t="shared" si="52"/>
        <v>818.44</v>
      </c>
      <c r="AK212" s="173">
        <f t="shared" si="52"/>
        <v>812.74</v>
      </c>
      <c r="AL212" s="173">
        <f t="shared" si="52"/>
        <v>856.74</v>
      </c>
      <c r="AM212" s="173">
        <f t="shared" si="52"/>
        <v>959.6400000000001</v>
      </c>
      <c r="AN212" s="173">
        <f t="shared" si="52"/>
        <v>1065.74</v>
      </c>
      <c r="AO212" s="173">
        <f t="shared" si="52"/>
        <v>1250.9000000000001</v>
      </c>
      <c r="AP212" s="173">
        <f t="shared" si="52"/>
        <v>1219.8399999999999</v>
      </c>
      <c r="AQ212" s="173">
        <f t="shared" si="52"/>
        <v>1179.3399999999999</v>
      </c>
      <c r="AR212" s="173">
        <f t="shared" si="52"/>
        <v>1111.8400000000001</v>
      </c>
      <c r="AS212" s="173">
        <f t="shared" si="52"/>
        <v>1057.94</v>
      </c>
      <c r="AT212" s="173">
        <f t="shared" si="52"/>
        <v>997.93999999999994</v>
      </c>
      <c r="AU212" s="173">
        <f t="shared" si="52"/>
        <v>941.54</v>
      </c>
      <c r="AV212" s="173">
        <f t="shared" si="52"/>
        <v>842.33999999999992</v>
      </c>
      <c r="AW212" s="173">
        <f t="shared" si="52"/>
        <v>767.63999999999987</v>
      </c>
      <c r="AX212" s="173">
        <f t="shared" si="52"/>
        <v>771.33999999999992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945" priority="491">
      <formula>S$9&gt;=20/24</formula>
    </cfRule>
    <cfRule type="expression" dxfId="3944" priority="492">
      <formula>AND(S$9&gt;=14/24,S$9&lt;20/24)</formula>
    </cfRule>
    <cfRule type="expression" dxfId="3943" priority="493">
      <formula>AND(S$9&gt;=8/24,S$9&lt;14/24)</formula>
    </cfRule>
    <cfRule type="expression" dxfId="3942" priority="494">
      <formula>S$9&lt;8/24</formula>
    </cfRule>
  </conditionalFormatting>
  <conditionalFormatting sqref="B8:AF10 AA80:AF80 C80:Q80 C55:V55 C81:AF81 C192:AF198 C67:AF71 M61:M66 T211:AX211 N60:N66 O59:Q66 S39:S40 X84:Z90 Y39:AD42 AA83:AF90 C73:AF77 C79:AF79 C62:D66 L60:M60 L59:N59 E62:K65 C56:K60 L36:Q36 L16:Q30 L11:Q14 L38:Q41 S11:V11 T39:V41 L52:V54 L57:V58 L32:Q32 X39:X41 AA11:AD12 AE41:AE42 X52:AF55">
    <cfRule type="expression" dxfId="3941" priority="487">
      <formula>B$9&gt;=20/24</formula>
    </cfRule>
    <cfRule type="expression" dxfId="3940" priority="488">
      <formula>AND(B$9&gt;=14/24,B$9&lt;20/24)</formula>
    </cfRule>
    <cfRule type="expression" dxfId="3939" priority="489">
      <formula>AND(B$9&gt;=8/24,B$9&lt;14/24)</formula>
    </cfRule>
    <cfRule type="expression" dxfId="3938" priority="490">
      <formula>B$9&lt;8/24</formula>
    </cfRule>
  </conditionalFormatting>
  <conditionalFormatting sqref="B190:AF190">
    <cfRule type="expression" dxfId="3937" priority="483">
      <formula>B$9&gt;=20/24</formula>
    </cfRule>
    <cfRule type="expression" dxfId="3936" priority="484">
      <formula>AND(B$9&gt;=14/24,B$9&lt;20/24)</formula>
    </cfRule>
    <cfRule type="expression" dxfId="3935" priority="485">
      <formula>AND(B$9&gt;=8/24,B$9&lt;14/24)</formula>
    </cfRule>
    <cfRule type="expression" dxfId="3934" priority="486">
      <formula>B$9&lt;8/24</formula>
    </cfRule>
  </conditionalFormatting>
  <conditionalFormatting sqref="AL4:AL6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L56:Q56">
    <cfRule type="expression" dxfId="3933" priority="478">
      <formula>L$9&gt;=20/24</formula>
    </cfRule>
    <cfRule type="expression" dxfId="3932" priority="479">
      <formula>AND(L$9&gt;=14/24,L$9&lt;20/24)</formula>
    </cfRule>
    <cfRule type="expression" dxfId="3931" priority="480">
      <formula>AND(L$9&gt;=8/24,L$9&lt;14/24)</formula>
    </cfRule>
    <cfRule type="expression" dxfId="3930" priority="481">
      <formula>L$9&lt;8/24</formula>
    </cfRule>
  </conditionalFormatting>
  <conditionalFormatting sqref="L42:Q42">
    <cfRule type="expression" dxfId="3929" priority="474">
      <formula>L$9&gt;=20/24</formula>
    </cfRule>
    <cfRule type="expression" dxfId="3928" priority="475">
      <formula>AND(L$9&gt;=14/24,L$9&lt;20/24)</formula>
    </cfRule>
    <cfRule type="expression" dxfId="3927" priority="476">
      <formula>AND(L$9&gt;=8/24,L$9&lt;14/24)</formula>
    </cfRule>
    <cfRule type="expression" dxfId="3926" priority="477">
      <formula>L$9&lt;8/24</formula>
    </cfRule>
  </conditionalFormatting>
  <conditionalFormatting sqref="R38:V38 X38:AD38">
    <cfRule type="expression" dxfId="3925" priority="466">
      <formula>R$9&gt;=20/24</formula>
    </cfRule>
    <cfRule type="expression" dxfId="3924" priority="467">
      <formula>AND(R$9&gt;=14/24,R$9&lt;20/24)</formula>
    </cfRule>
    <cfRule type="expression" dxfId="3923" priority="468">
      <formula>AND(R$9&gt;=8/24,R$9&lt;14/24)</formula>
    </cfRule>
    <cfRule type="expression" dxfId="3922" priority="469">
      <formula>R$9&lt;8/24</formula>
    </cfRule>
  </conditionalFormatting>
  <conditionalFormatting sqref="R56:V56 X56:AF56">
    <cfRule type="expression" dxfId="3921" priority="462">
      <formula>R$9&gt;=20/24</formula>
    </cfRule>
    <cfRule type="expression" dxfId="3920" priority="463">
      <formula>AND(R$9&gt;=14/24,R$9&lt;20/24)</formula>
    </cfRule>
    <cfRule type="expression" dxfId="3919" priority="464">
      <formula>AND(R$9&gt;=8/24,R$9&lt;14/24)</formula>
    </cfRule>
    <cfRule type="expression" dxfId="3918" priority="465">
      <formula>R$9&lt;8/24</formula>
    </cfRule>
  </conditionalFormatting>
  <conditionalFormatting sqref="R80:Z80">
    <cfRule type="expression" dxfId="3917" priority="458">
      <formula>R$9&gt;=20/24</formula>
    </cfRule>
    <cfRule type="expression" dxfId="3916" priority="459">
      <formula>AND(R$9&gt;=14/24,R$9&lt;20/24)</formula>
    </cfRule>
    <cfRule type="expression" dxfId="3915" priority="460">
      <formula>AND(R$9&gt;=8/24,R$9&lt;14/24)</formula>
    </cfRule>
    <cfRule type="expression" dxfId="3914" priority="461">
      <formula>R$9&lt;8/24</formula>
    </cfRule>
  </conditionalFormatting>
  <conditionalFormatting sqref="T83:Z83">
    <cfRule type="expression" dxfId="3913" priority="454">
      <formula>T$9&gt;=20/24</formula>
    </cfRule>
    <cfRule type="expression" dxfId="3912" priority="455">
      <formula>AND(T$9&gt;=14/24,T$9&lt;20/24)</formula>
    </cfRule>
    <cfRule type="expression" dxfId="3911" priority="456">
      <formula>AND(T$9&gt;=8/24,T$9&lt;14/24)</formula>
    </cfRule>
    <cfRule type="expression" dxfId="3910" priority="457">
      <formula>T$9&lt;8/24</formula>
    </cfRule>
  </conditionalFormatting>
  <conditionalFormatting sqref="L34:Q34">
    <cfRule type="expression" dxfId="3909" priority="450">
      <formula>L$9&gt;=20/24</formula>
    </cfRule>
    <cfRule type="expression" dxfId="3908" priority="451">
      <formula>AND(L$9&gt;=14/24,L$9&lt;20/24)</formula>
    </cfRule>
    <cfRule type="expression" dxfId="3907" priority="452">
      <formula>AND(L$9&gt;=8/24,L$9&lt;14/24)</formula>
    </cfRule>
    <cfRule type="expression" dxfId="3906" priority="453">
      <formula>L$9&lt;8/24</formula>
    </cfRule>
  </conditionalFormatting>
  <conditionalFormatting sqref="L48:Q48">
    <cfRule type="expression" dxfId="3905" priority="446">
      <formula>L$9&gt;=20/24</formula>
    </cfRule>
    <cfRule type="expression" dxfId="3904" priority="447">
      <formula>AND(L$9&gt;=14/24,L$9&lt;20/24)</formula>
    </cfRule>
    <cfRule type="expression" dxfId="3903" priority="448">
      <formula>AND(L$9&gt;=8/24,L$9&lt;14/24)</formula>
    </cfRule>
    <cfRule type="expression" dxfId="3902" priority="449">
      <formula>L$9&lt;8/24</formula>
    </cfRule>
  </conditionalFormatting>
  <conditionalFormatting sqref="L49:Q49">
    <cfRule type="expression" dxfId="3901" priority="442">
      <formula>L$9&gt;=20/24</formula>
    </cfRule>
    <cfRule type="expression" dxfId="3900" priority="443">
      <formula>AND(L$9&gt;=14/24,L$9&lt;20/24)</formula>
    </cfRule>
    <cfRule type="expression" dxfId="3899" priority="444">
      <formula>AND(L$9&gt;=8/24,L$9&lt;14/24)</formula>
    </cfRule>
    <cfRule type="expression" dxfId="3898" priority="445">
      <formula>L$9&lt;8/24</formula>
    </cfRule>
  </conditionalFormatting>
  <conditionalFormatting sqref="L44:Q47">
    <cfRule type="expression" dxfId="3897" priority="438">
      <formula>L$9&gt;=20/24</formula>
    </cfRule>
    <cfRule type="expression" dxfId="3896" priority="439">
      <formula>AND(L$9&gt;=14/24,L$9&lt;20/24)</formula>
    </cfRule>
    <cfRule type="expression" dxfId="3895" priority="440">
      <formula>AND(L$9&gt;=8/24,L$9&lt;14/24)</formula>
    </cfRule>
    <cfRule type="expression" dxfId="3894" priority="441">
      <formula>L$9&lt;8/24</formula>
    </cfRule>
  </conditionalFormatting>
  <conditionalFormatting sqref="S36:V36 AA36:AD36">
    <cfRule type="expression" dxfId="3893" priority="434">
      <formula>S$9&gt;=20/24</formula>
    </cfRule>
    <cfRule type="expression" dxfId="3892" priority="435">
      <formula>AND(S$9&gt;=14/24,S$9&lt;20/24)</formula>
    </cfRule>
    <cfRule type="expression" dxfId="3891" priority="436">
      <formula>AND(S$9&gt;=8/24,S$9&lt;14/24)</formula>
    </cfRule>
    <cfRule type="expression" dxfId="3890" priority="437">
      <formula>S$9&lt;8/24</formula>
    </cfRule>
  </conditionalFormatting>
  <conditionalFormatting sqref="S41:S42 T42:V42 X42 X44:AF47">
    <cfRule type="expression" dxfId="3889" priority="426">
      <formula>S$9&gt;=20/24</formula>
    </cfRule>
    <cfRule type="expression" dxfId="3888" priority="427">
      <formula>AND(S$9&gt;=14/24,S$9&lt;20/24)</formula>
    </cfRule>
    <cfRule type="expression" dxfId="3887" priority="428">
      <formula>AND(S$9&gt;=8/24,S$9&lt;14/24)</formula>
    </cfRule>
    <cfRule type="expression" dxfId="3886" priority="429">
      <formula>S$9&lt;8/24</formula>
    </cfRule>
  </conditionalFormatting>
  <conditionalFormatting sqref="X48:AF48">
    <cfRule type="expression" dxfId="3885" priority="422">
      <formula>X$9&gt;=20/24</formula>
    </cfRule>
    <cfRule type="expression" dxfId="3884" priority="423">
      <formula>AND(X$9&gt;=14/24,X$9&lt;20/24)</formula>
    </cfRule>
    <cfRule type="expression" dxfId="3883" priority="424">
      <formula>AND(X$9&gt;=8/24,X$9&lt;14/24)</formula>
    </cfRule>
    <cfRule type="expression" dxfId="3882" priority="425">
      <formula>X$9&lt;8/24</formula>
    </cfRule>
  </conditionalFormatting>
  <conditionalFormatting sqref="X49:AF49">
    <cfRule type="expression" dxfId="3881" priority="418">
      <formula>X$9&gt;=20/24</formula>
    </cfRule>
    <cfRule type="expression" dxfId="3880" priority="419">
      <formula>AND(X$9&gt;=14/24,X$9&lt;20/24)</formula>
    </cfRule>
    <cfRule type="expression" dxfId="3879" priority="420">
      <formula>AND(X$9&gt;=8/24,X$9&lt;14/24)</formula>
    </cfRule>
    <cfRule type="expression" dxfId="3878" priority="421">
      <formula>X$9&lt;8/24</formula>
    </cfRule>
  </conditionalFormatting>
  <conditionalFormatting sqref="R59:V66 X59:AF66">
    <cfRule type="expression" dxfId="3877" priority="414">
      <formula>R$9&gt;=20/24</formula>
    </cfRule>
    <cfRule type="expression" dxfId="3876" priority="415">
      <formula>AND(R$9&gt;=14/24,R$9&lt;20/24)</formula>
    </cfRule>
    <cfRule type="expression" dxfId="3875" priority="416">
      <formula>AND(R$9&gt;=8/24,R$9&lt;14/24)</formula>
    </cfRule>
    <cfRule type="expression" dxfId="3874" priority="417">
      <formula>R$9&lt;8/24</formula>
    </cfRule>
  </conditionalFormatting>
  <conditionalFormatting sqref="AA93:AF96">
    <cfRule type="expression" dxfId="3873" priority="410">
      <formula>AA$9&gt;=20/24</formula>
    </cfRule>
    <cfRule type="expression" dxfId="3872" priority="411">
      <formula>AND(AA$9&gt;=14/24,AA$9&lt;20/24)</formula>
    </cfRule>
    <cfRule type="expression" dxfId="3871" priority="412">
      <formula>AND(AA$9&gt;=8/24,AA$9&lt;14/24)</formula>
    </cfRule>
    <cfRule type="expression" dxfId="3870" priority="413">
      <formula>AA$9&lt;8/24</formula>
    </cfRule>
  </conditionalFormatting>
  <conditionalFormatting sqref="C61:K61">
    <cfRule type="expression" dxfId="3869" priority="406">
      <formula>C$9&gt;=20/24</formula>
    </cfRule>
    <cfRule type="expression" dxfId="3868" priority="407">
      <formula>AND(C$9&gt;=14/24,C$9&lt;20/24)</formula>
    </cfRule>
    <cfRule type="expression" dxfId="3867" priority="408">
      <formula>AND(C$9&gt;=8/24,C$9&lt;14/24)</formula>
    </cfRule>
    <cfRule type="expression" dxfId="3866" priority="409">
      <formula>C$9&lt;8/24</formula>
    </cfRule>
  </conditionalFormatting>
  <conditionalFormatting sqref="T93:Z96">
    <cfRule type="expression" dxfId="3865" priority="402">
      <formula>T$9&gt;=20/24</formula>
    </cfRule>
    <cfRule type="expression" dxfId="3864" priority="403">
      <formula>AND(T$9&gt;=14/24,T$9&lt;20/24)</formula>
    </cfRule>
    <cfRule type="expression" dxfId="3863" priority="404">
      <formula>AND(T$9&gt;=8/24,T$9&lt;14/24)</formula>
    </cfRule>
    <cfRule type="expression" dxfId="3862" priority="405">
      <formula>T$9&lt;8/24</formula>
    </cfRule>
  </conditionalFormatting>
  <conditionalFormatting sqref="AG50 F11:H11 G12:H13 D44:J46 C37:V37 I11:K13 D35:K36 K44:L47 D48:L49 L16:Q30 L34:Q36 L11:Q14 D38:T38 M44:Q49 D39:Q42 S39:T42 S36:V36 S11:V11 U38:V42 C50:V55 L32:Q32 AA36:AF36 X37:AF42 AA11:AF12 X44:AF55">
    <cfRule type="expression" dxfId="3861" priority="401">
      <formula>C11&gt;$AG11</formula>
    </cfRule>
  </conditionalFormatting>
  <conditionalFormatting sqref="A99:A155 A83:A96 A11:A14 A16:A32 A44:A71 A79:A81 A73:A77 A34:A42 A168:A199">
    <cfRule type="expression" dxfId="3860" priority="400">
      <formula>$AH11=0</formula>
    </cfRule>
  </conditionalFormatting>
  <conditionalFormatting sqref="AA97:AF97">
    <cfRule type="expression" dxfId="3859" priority="396">
      <formula>AA$9&gt;=20/24</formula>
    </cfRule>
    <cfRule type="expression" dxfId="3858" priority="397">
      <formula>AND(AA$9&gt;=14/24,AA$9&lt;20/24)</formula>
    </cfRule>
    <cfRule type="expression" dxfId="3857" priority="398">
      <formula>AND(AA$9&gt;=8/24,AA$9&lt;14/24)</formula>
    </cfRule>
    <cfRule type="expression" dxfId="3856" priority="399">
      <formula>AA$9&lt;8/24</formula>
    </cfRule>
  </conditionalFormatting>
  <conditionalFormatting sqref="T97:Z97">
    <cfRule type="expression" dxfId="3855" priority="392">
      <formula>T$9&gt;=20/24</formula>
    </cfRule>
    <cfRule type="expression" dxfId="3854" priority="393">
      <formula>AND(T$9&gt;=14/24,T$9&lt;20/24)</formula>
    </cfRule>
    <cfRule type="expression" dxfId="3853" priority="394">
      <formula>AND(T$9&gt;=8/24,T$9&lt;14/24)</formula>
    </cfRule>
    <cfRule type="expression" dxfId="3852" priority="395">
      <formula>T$9&lt;8/24</formula>
    </cfRule>
  </conditionalFormatting>
  <conditionalFormatting sqref="A97">
    <cfRule type="expression" dxfId="3851" priority="391">
      <formula>$AH97=0</formula>
    </cfRule>
  </conditionalFormatting>
  <conditionalFormatting sqref="D35:Q35">
    <cfRule type="expression" dxfId="3850" priority="387">
      <formula>D$9&gt;=20/24</formula>
    </cfRule>
    <cfRule type="expression" dxfId="3849" priority="388">
      <formula>AND(D$9&gt;=14/24,D$9&lt;20/24)</formula>
    </cfRule>
    <cfRule type="expression" dxfId="3848" priority="389">
      <formula>AND(D$9&gt;=8/24,D$9&lt;14/24)</formula>
    </cfRule>
    <cfRule type="expression" dxfId="3847" priority="390">
      <formula>D$9&lt;8/24</formula>
    </cfRule>
  </conditionalFormatting>
  <conditionalFormatting sqref="E66:K66">
    <cfRule type="expression" dxfId="3846" priority="375">
      <formula>E$9&gt;=20/24</formula>
    </cfRule>
    <cfRule type="expression" dxfId="3845" priority="376">
      <formula>AND(E$9&gt;=14/24,E$9&lt;20/24)</formula>
    </cfRule>
    <cfRule type="expression" dxfId="3844" priority="377">
      <formula>AND(E$9&gt;=8/24,E$9&lt;14/24)</formula>
    </cfRule>
    <cfRule type="expression" dxfId="3843" priority="378">
      <formula>E$9&lt;8/24</formula>
    </cfRule>
  </conditionalFormatting>
  <conditionalFormatting sqref="L61:L66">
    <cfRule type="expression" dxfId="3842" priority="371">
      <formula>L$9&gt;=20/24</formula>
    </cfRule>
    <cfRule type="expression" dxfId="3841" priority="372">
      <formula>AND(L$9&gt;=14/24,L$9&lt;20/24)</formula>
    </cfRule>
    <cfRule type="expression" dxfId="3840" priority="373">
      <formula>AND(L$9&gt;=8/24,L$9&lt;14/24)</formula>
    </cfRule>
    <cfRule type="expression" dxfId="3839" priority="374">
      <formula>L$9&lt;8/24</formula>
    </cfRule>
  </conditionalFormatting>
  <conditionalFormatting sqref="AL32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838" priority="356">
      <formula>$AH33=0</formula>
    </cfRule>
  </conditionalFormatting>
  <conditionalFormatting sqref="C82:AF82">
    <cfRule type="expression" dxfId="3837" priority="352">
      <formula>C$9&gt;=20/24</formula>
    </cfRule>
    <cfRule type="expression" dxfId="3836" priority="353">
      <formula>AND(C$9&gt;=14/24,C$9&lt;20/24)</formula>
    </cfRule>
    <cfRule type="expression" dxfId="3835" priority="354">
      <formula>AND(C$9&gt;=8/24,C$9&lt;14/24)</formula>
    </cfRule>
    <cfRule type="expression" dxfId="3834" priority="355">
      <formula>C$9&lt;8/24</formula>
    </cfRule>
  </conditionalFormatting>
  <conditionalFormatting sqref="A82">
    <cfRule type="expression" dxfId="3833" priority="351">
      <formula>$AH82=0</formula>
    </cfRule>
  </conditionalFormatting>
  <conditionalFormatting sqref="L15:Q15">
    <cfRule type="expression" dxfId="3832" priority="343">
      <formula>L$9&gt;=20/24</formula>
    </cfRule>
    <cfRule type="expression" dxfId="3831" priority="344">
      <formula>AND(L$9&gt;=14/24,L$9&lt;20/24)</formula>
    </cfRule>
    <cfRule type="expression" dxfId="3830" priority="345">
      <formula>AND(L$9&gt;=8/24,L$9&lt;14/24)</formula>
    </cfRule>
    <cfRule type="expression" dxfId="3829" priority="346">
      <formula>L$9&lt;8/24</formula>
    </cfRule>
  </conditionalFormatting>
  <conditionalFormatting sqref="L15:Q15">
    <cfRule type="expression" dxfId="3828" priority="342">
      <formula>L15&gt;$AG15</formula>
    </cfRule>
  </conditionalFormatting>
  <conditionalFormatting sqref="A15">
    <cfRule type="expression" dxfId="3827" priority="341">
      <formula>$AH15=0</formula>
    </cfRule>
  </conditionalFormatting>
  <conditionalFormatting sqref="A162:A167">
    <cfRule type="expression" dxfId="3826" priority="340">
      <formula>$AH162=0</formula>
    </cfRule>
  </conditionalFormatting>
  <conditionalFormatting sqref="A156:A161">
    <cfRule type="expression" dxfId="3825" priority="339">
      <formula>$AH156=0</formula>
    </cfRule>
  </conditionalFormatting>
  <conditionalFormatting sqref="Y43:AE43">
    <cfRule type="expression" dxfId="3824" priority="335">
      <formula>Y$9&gt;=20/24</formula>
    </cfRule>
    <cfRule type="expression" dxfId="3823" priority="336">
      <formula>AND(Y$9&gt;=14/24,Y$9&lt;20/24)</formula>
    </cfRule>
    <cfRule type="expression" dxfId="3822" priority="337">
      <formula>AND(Y$9&gt;=8/24,Y$9&lt;14/24)</formula>
    </cfRule>
    <cfRule type="expression" dxfId="3821" priority="338">
      <formula>Y$9&lt;8/24</formula>
    </cfRule>
  </conditionalFormatting>
  <conditionalFormatting sqref="L43:Q43">
    <cfRule type="expression" dxfId="3820" priority="331">
      <formula>L$9&gt;=20/24</formula>
    </cfRule>
    <cfRule type="expression" dxfId="3819" priority="332">
      <formula>AND(L$9&gt;=14/24,L$9&lt;20/24)</formula>
    </cfRule>
    <cfRule type="expression" dxfId="3818" priority="333">
      <formula>AND(L$9&gt;=8/24,L$9&lt;14/24)</formula>
    </cfRule>
    <cfRule type="expression" dxfId="3817" priority="334">
      <formula>L$9&lt;8/24</formula>
    </cfRule>
  </conditionalFormatting>
  <conditionalFormatting sqref="X43">
    <cfRule type="expression" dxfId="3816" priority="327">
      <formula>X$9&gt;=20/24</formula>
    </cfRule>
    <cfRule type="expression" dxfId="3815" priority="328">
      <formula>AND(X$9&gt;=14/24,X$9&lt;20/24)</formula>
    </cfRule>
    <cfRule type="expression" dxfId="3814" priority="329">
      <formula>AND(X$9&gt;=8/24,X$9&lt;14/24)</formula>
    </cfRule>
    <cfRule type="expression" dxfId="3813" priority="330">
      <formula>X$9&lt;8/24</formula>
    </cfRule>
  </conditionalFormatting>
  <conditionalFormatting sqref="D43:Q43 X43:AF43">
    <cfRule type="expression" dxfId="3812" priority="326">
      <formula>D43&gt;$AG43</formula>
    </cfRule>
  </conditionalFormatting>
  <conditionalFormatting sqref="A43">
    <cfRule type="expression" dxfId="3811" priority="325">
      <formula>$AH43=0</formula>
    </cfRule>
  </conditionalFormatting>
  <conditionalFormatting sqref="C78:AF78">
    <cfRule type="expression" dxfId="3810" priority="321">
      <formula>C$9&gt;=20/24</formula>
    </cfRule>
    <cfRule type="expression" dxfId="3809" priority="322">
      <formula>AND(C$9&gt;=14/24,C$9&lt;20/24)</formula>
    </cfRule>
    <cfRule type="expression" dxfId="3808" priority="323">
      <formula>AND(C$9&gt;=8/24,C$9&lt;14/24)</formula>
    </cfRule>
    <cfRule type="expression" dxfId="3807" priority="324">
      <formula>C$9&lt;8/24</formula>
    </cfRule>
  </conditionalFormatting>
  <conditionalFormatting sqref="A78">
    <cfRule type="expression" dxfId="3806" priority="320">
      <formula>$AH78=0</formula>
    </cfRule>
  </conditionalFormatting>
  <conditionalFormatting sqref="C72:AG72">
    <cfRule type="expression" dxfId="3805" priority="316">
      <formula>C$9&gt;=20/24</formula>
    </cfRule>
    <cfRule type="expression" dxfId="3804" priority="317">
      <formula>AND(C$9&gt;=14/24,C$9&lt;20/24)</formula>
    </cfRule>
    <cfRule type="expression" dxfId="3803" priority="318">
      <formula>AND(C$9&gt;=8/24,C$9&lt;14/24)</formula>
    </cfRule>
    <cfRule type="expression" dxfId="3802" priority="319">
      <formula>C$9&lt;8/24</formula>
    </cfRule>
  </conditionalFormatting>
  <conditionalFormatting sqref="A72">
    <cfRule type="expression" dxfId="3801" priority="315">
      <formula>$AH72=0</formula>
    </cfRule>
  </conditionalFormatting>
  <conditionalFormatting sqref="AL33:AL34 AL8:AL31">
    <cfRule type="iconSet" priority="497">
      <iconSet iconSet="3TrafficLights2" reverse="1">
        <cfvo type="percent" val="0"/>
        <cfvo type="num" val="1"/>
        <cfvo type="num" val="1"/>
      </iconSet>
    </cfRule>
  </conditionalFormatting>
  <conditionalFormatting sqref="T84:W90">
    <cfRule type="expression" dxfId="3800" priority="307">
      <formula>T$9&gt;=20/24</formula>
    </cfRule>
    <cfRule type="expression" dxfId="3799" priority="308">
      <formula>AND(T$9&gt;=14/24,T$9&lt;20/24)</formula>
    </cfRule>
    <cfRule type="expression" dxfId="3798" priority="309">
      <formula>AND(T$9&gt;=8/24,T$9&lt;14/24)</formula>
    </cfRule>
    <cfRule type="expression" dxfId="3797" priority="310">
      <formula>T$9&lt;8/24</formula>
    </cfRule>
  </conditionalFormatting>
  <conditionalFormatting sqref="S84:S90 C83:Q90">
    <cfRule type="expression" dxfId="3796" priority="303">
      <formula>C$9&gt;=20/24</formula>
    </cfRule>
    <cfRule type="expression" dxfId="3795" priority="304">
      <formula>AND(C$9&gt;=14/24,C$9&lt;20/24)</formula>
    </cfRule>
    <cfRule type="expression" dxfId="3794" priority="305">
      <formula>AND(C$9&gt;=8/24,C$9&lt;14/24)</formula>
    </cfRule>
    <cfRule type="expression" dxfId="3793" priority="306">
      <formula>C$9&lt;8/24</formula>
    </cfRule>
  </conditionalFormatting>
  <conditionalFormatting sqref="S83">
    <cfRule type="expression" dxfId="3792" priority="299">
      <formula>S$9&gt;=20/24</formula>
    </cfRule>
    <cfRule type="expression" dxfId="3791" priority="300">
      <formula>AND(S$9&gt;=14/24,S$9&lt;20/24)</formula>
    </cfRule>
    <cfRule type="expression" dxfId="3790" priority="301">
      <formula>AND(S$9&gt;=8/24,S$9&lt;14/24)</formula>
    </cfRule>
    <cfRule type="expression" dxfId="3789" priority="302">
      <formula>S$9&lt;8/24</formula>
    </cfRule>
  </conditionalFormatting>
  <conditionalFormatting sqref="C94:L96 C93:E93">
    <cfRule type="expression" dxfId="3788" priority="295">
      <formula>C$9&gt;=20/24</formula>
    </cfRule>
    <cfRule type="expression" dxfId="3787" priority="296">
      <formula>AND(C$9&gt;=14/24,C$9&lt;20/24)</formula>
    </cfRule>
    <cfRule type="expression" dxfId="3786" priority="297">
      <formula>AND(C$9&gt;=8/24,C$9&lt;14/24)</formula>
    </cfRule>
    <cfRule type="expression" dxfId="3785" priority="298">
      <formula>C$9&lt;8/24</formula>
    </cfRule>
  </conditionalFormatting>
  <conditionalFormatting sqref="M94:O96 N93:O93 P93:Q96">
    <cfRule type="expression" dxfId="3784" priority="291">
      <formula>M$9&gt;=20/24</formula>
    </cfRule>
    <cfRule type="expression" dxfId="3783" priority="292">
      <formula>AND(M$9&gt;=14/24,M$9&lt;20/24)</formula>
    </cfRule>
    <cfRule type="expression" dxfId="3782" priority="293">
      <formula>AND(M$9&gt;=8/24,M$9&lt;14/24)</formula>
    </cfRule>
    <cfRule type="expression" dxfId="3781" priority="294">
      <formula>M$9&lt;8/24</formula>
    </cfRule>
  </conditionalFormatting>
  <conditionalFormatting sqref="S93:S96">
    <cfRule type="expression" dxfId="3780" priority="287">
      <formula>S$9&gt;=20/24</formula>
    </cfRule>
    <cfRule type="expression" dxfId="3779" priority="288">
      <formula>AND(S$9&gt;=14/24,S$9&lt;20/24)</formula>
    </cfRule>
    <cfRule type="expression" dxfId="3778" priority="289">
      <formula>AND(S$9&gt;=8/24,S$9&lt;14/24)</formula>
    </cfRule>
    <cfRule type="expression" dxfId="3777" priority="290">
      <formula>S$9&lt;8/24</formula>
    </cfRule>
  </conditionalFormatting>
  <conditionalFormatting sqref="C97:L97">
    <cfRule type="expression" dxfId="3776" priority="283">
      <formula>C$9&gt;=20/24</formula>
    </cfRule>
    <cfRule type="expression" dxfId="3775" priority="284">
      <formula>AND(C$9&gt;=14/24,C$9&lt;20/24)</formula>
    </cfRule>
    <cfRule type="expression" dxfId="3774" priority="285">
      <formula>AND(C$9&gt;=8/24,C$9&lt;14/24)</formula>
    </cfRule>
    <cfRule type="expression" dxfId="3773" priority="286">
      <formula>C$9&lt;8/24</formula>
    </cfRule>
  </conditionalFormatting>
  <conditionalFormatting sqref="M97:Q97">
    <cfRule type="expression" dxfId="3772" priority="279">
      <formula>M$9&gt;=20/24</formula>
    </cfRule>
    <cfRule type="expression" dxfId="3771" priority="280">
      <formula>AND(M$9&gt;=14/24,M$9&lt;20/24)</formula>
    </cfRule>
    <cfRule type="expression" dxfId="3770" priority="281">
      <formula>AND(M$9&gt;=8/24,M$9&lt;14/24)</formula>
    </cfRule>
    <cfRule type="expression" dxfId="3769" priority="282">
      <formula>M$9&lt;8/24</formula>
    </cfRule>
  </conditionalFormatting>
  <conditionalFormatting sqref="S97">
    <cfRule type="expression" dxfId="3768" priority="275">
      <formula>S$9&gt;=20/24</formula>
    </cfRule>
    <cfRule type="expression" dxfId="3767" priority="276">
      <formula>AND(S$9&gt;=14/24,S$9&lt;20/24)</formula>
    </cfRule>
    <cfRule type="expression" dxfId="3766" priority="277">
      <formula>AND(S$9&gt;=8/24,S$9&lt;14/24)</formula>
    </cfRule>
    <cfRule type="expression" dxfId="3765" priority="278">
      <formula>S$9&lt;8/24</formula>
    </cfRule>
  </conditionalFormatting>
  <conditionalFormatting sqref="L93:M93">
    <cfRule type="expression" dxfId="3764" priority="271">
      <formula>L$9&gt;=20/24</formula>
    </cfRule>
    <cfRule type="expression" dxfId="3763" priority="272">
      <formula>AND(L$9&gt;=14/24,L$9&lt;20/24)</formula>
    </cfRule>
    <cfRule type="expression" dxfId="3762" priority="273">
      <formula>AND(L$9&gt;=8/24,L$9&lt;14/24)</formula>
    </cfRule>
    <cfRule type="expression" dxfId="3761" priority="274">
      <formula>L$9&lt;8/24</formula>
    </cfRule>
  </conditionalFormatting>
  <conditionalFormatting sqref="F93:K93">
    <cfRule type="expression" dxfId="3760" priority="267">
      <formula>F$9&gt;=20/24</formula>
    </cfRule>
    <cfRule type="expression" dxfId="3759" priority="268">
      <formula>AND(F$9&gt;=14/24,F$9&lt;20/24)</formula>
    </cfRule>
    <cfRule type="expression" dxfId="3758" priority="269">
      <formula>AND(F$9&gt;=8/24,F$9&lt;14/24)</formula>
    </cfRule>
    <cfRule type="expression" dxfId="3757" priority="270">
      <formula>F$9&lt;8/24</formula>
    </cfRule>
  </conditionalFormatting>
  <conditionalFormatting sqref="T93:V93">
    <cfRule type="expression" dxfId="3756" priority="263">
      <formula>T$9&gt;=20/24</formula>
    </cfRule>
    <cfRule type="expression" dxfId="3755" priority="264">
      <formula>AND(T$9&gt;=14/24,T$9&lt;20/24)</formula>
    </cfRule>
    <cfRule type="expression" dxfId="3754" priority="265">
      <formula>AND(T$9&gt;=8/24,T$9&lt;14/24)</formula>
    </cfRule>
    <cfRule type="expression" dxfId="3753" priority="266">
      <formula>T$9&lt;8/24</formula>
    </cfRule>
  </conditionalFormatting>
  <conditionalFormatting sqref="M93:Q93 S93">
    <cfRule type="expression" dxfId="3752" priority="259">
      <formula>M$9&gt;=20/24</formula>
    </cfRule>
    <cfRule type="expression" dxfId="3751" priority="260">
      <formula>AND(M$9&gt;=14/24,M$9&lt;20/24)</formula>
    </cfRule>
    <cfRule type="expression" dxfId="3750" priority="261">
      <formula>AND(M$9&gt;=8/24,M$9&lt;14/24)</formula>
    </cfRule>
    <cfRule type="expression" dxfId="3749" priority="262">
      <formula>M$9&lt;8/24</formula>
    </cfRule>
  </conditionalFormatting>
  <conditionalFormatting sqref="AA98:AF98">
    <cfRule type="expression" dxfId="3748" priority="255">
      <formula>AA$9&gt;=20/24</formula>
    </cfRule>
    <cfRule type="expression" dxfId="3747" priority="256">
      <formula>AND(AA$9&gt;=14/24,AA$9&lt;20/24)</formula>
    </cfRule>
    <cfRule type="expression" dxfId="3746" priority="257">
      <formula>AND(AA$9&gt;=8/24,AA$9&lt;14/24)</formula>
    </cfRule>
    <cfRule type="expression" dxfId="3745" priority="258">
      <formula>AA$9&lt;8/24</formula>
    </cfRule>
  </conditionalFormatting>
  <conditionalFormatting sqref="T98:Z98">
    <cfRule type="expression" dxfId="3744" priority="251">
      <formula>T$9&gt;=20/24</formula>
    </cfRule>
    <cfRule type="expression" dxfId="3743" priority="252">
      <formula>AND(T$9&gt;=14/24,T$9&lt;20/24)</formula>
    </cfRule>
    <cfRule type="expression" dxfId="3742" priority="253">
      <formula>AND(T$9&gt;=8/24,T$9&lt;14/24)</formula>
    </cfRule>
    <cfRule type="expression" dxfId="3741" priority="254">
      <formula>T$9&lt;8/24</formula>
    </cfRule>
  </conditionalFormatting>
  <conditionalFormatting sqref="A98">
    <cfRule type="expression" dxfId="3740" priority="250">
      <formula>$AH98=0</formula>
    </cfRule>
  </conditionalFormatting>
  <conditionalFormatting sqref="C98:L98">
    <cfRule type="expression" dxfId="3739" priority="246">
      <formula>C$9&gt;=20/24</formula>
    </cfRule>
    <cfRule type="expression" dxfId="3738" priority="247">
      <formula>AND(C$9&gt;=14/24,C$9&lt;20/24)</formula>
    </cfRule>
    <cfRule type="expression" dxfId="3737" priority="248">
      <formula>AND(C$9&gt;=8/24,C$9&lt;14/24)</formula>
    </cfRule>
    <cfRule type="expression" dxfId="3736" priority="249">
      <formula>C$9&lt;8/24</formula>
    </cfRule>
  </conditionalFormatting>
  <conditionalFormatting sqref="M98:Q98">
    <cfRule type="expression" dxfId="3735" priority="242">
      <formula>M$9&gt;=20/24</formula>
    </cfRule>
    <cfRule type="expression" dxfId="3734" priority="243">
      <formula>AND(M$9&gt;=14/24,M$9&lt;20/24)</formula>
    </cfRule>
    <cfRule type="expression" dxfId="3733" priority="244">
      <formula>AND(M$9&gt;=8/24,M$9&lt;14/24)</formula>
    </cfRule>
    <cfRule type="expression" dxfId="3732" priority="245">
      <formula>M$9&lt;8/24</formula>
    </cfRule>
  </conditionalFormatting>
  <conditionalFormatting sqref="S98">
    <cfRule type="expression" dxfId="3731" priority="238">
      <formula>S$9&gt;=20/24</formula>
    </cfRule>
    <cfRule type="expression" dxfId="3730" priority="239">
      <formula>AND(S$9&gt;=14/24,S$9&lt;20/24)</formula>
    </cfRule>
    <cfRule type="expression" dxfId="3729" priority="240">
      <formula>AND(S$9&gt;=8/24,S$9&lt;14/24)</formula>
    </cfRule>
    <cfRule type="expression" dxfId="3728" priority="241">
      <formula>S$9&lt;8/24</formula>
    </cfRule>
  </conditionalFormatting>
  <conditionalFormatting sqref="AA57:AF58">
    <cfRule type="expression" dxfId="3727" priority="222">
      <formula>AA$9&gt;=20/24</formula>
    </cfRule>
    <cfRule type="expression" dxfId="3726" priority="223">
      <formula>AND(AA$9&gt;=14/24,AA$9&lt;20/24)</formula>
    </cfRule>
    <cfRule type="expression" dxfId="3725" priority="224">
      <formula>AND(AA$9&gt;=8/24,AA$9&lt;14/24)</formula>
    </cfRule>
    <cfRule type="expression" dxfId="3724" priority="225">
      <formula>AA$9&lt;8/24</formula>
    </cfRule>
  </conditionalFormatting>
  <conditionalFormatting sqref="B67:B71 B83:B90 B73:B77 B79:B81 B52:B58 B11:E12 F12 B18:K30">
    <cfRule type="expression" dxfId="3723" priority="218">
      <formula>B$9&gt;=20/24</formula>
    </cfRule>
    <cfRule type="expression" dxfId="3722" priority="219">
      <formula>AND(B$9&gt;=14/24,B$9&lt;20/24)</formula>
    </cfRule>
    <cfRule type="expression" dxfId="3721" priority="220">
      <formula>AND(B$9&gt;=8/24,B$9&lt;14/24)</formula>
    </cfRule>
    <cfRule type="expression" dxfId="3720" priority="221">
      <formula>B$9&lt;8/24</formula>
    </cfRule>
  </conditionalFormatting>
  <conditionalFormatting sqref="B36:C36">
    <cfRule type="expression" dxfId="3719" priority="214">
      <formula>B$9&gt;=20/24</formula>
    </cfRule>
    <cfRule type="expression" dxfId="3718" priority="215">
      <formula>AND(B$9&gt;=14/24,B$9&lt;20/24)</formula>
    </cfRule>
    <cfRule type="expression" dxfId="3717" priority="216">
      <formula>AND(B$9&gt;=8/24,B$9&lt;14/24)</formula>
    </cfRule>
    <cfRule type="expression" dxfId="3716" priority="217">
      <formula>B$9&lt;8/24</formula>
    </cfRule>
  </conditionalFormatting>
  <conditionalFormatting sqref="B32:K32 B34:K34 B31:V31">
    <cfRule type="expression" dxfId="3715" priority="210">
      <formula>B$9&gt;=20/24</formula>
    </cfRule>
    <cfRule type="expression" dxfId="3714" priority="211">
      <formula>AND(B$9&gt;=14/24,B$9&lt;20/24)</formula>
    </cfRule>
    <cfRule type="expression" dxfId="3713" priority="212">
      <formula>AND(B$9&gt;=8/24,B$9&lt;14/24)</formula>
    </cfRule>
    <cfRule type="expression" dxfId="3712" priority="213">
      <formula>B$9&lt;8/24</formula>
    </cfRule>
  </conditionalFormatting>
  <conditionalFormatting sqref="B59:B66">
    <cfRule type="expression" dxfId="3711" priority="206">
      <formula>B$9&gt;=20/24</formula>
    </cfRule>
    <cfRule type="expression" dxfId="3710" priority="207">
      <formula>AND(B$9&gt;=14/24,B$9&lt;20/24)</formula>
    </cfRule>
    <cfRule type="expression" dxfId="3709" priority="208">
      <formula>AND(B$9&gt;=8/24,B$9&lt;14/24)</formula>
    </cfRule>
    <cfRule type="expression" dxfId="3708" priority="209">
      <formula>B$9&lt;8/24</formula>
    </cfRule>
  </conditionalFormatting>
  <conditionalFormatting sqref="B93:B96">
    <cfRule type="expression" dxfId="3707" priority="202">
      <formula>B$9&gt;=20/24</formula>
    </cfRule>
    <cfRule type="expression" dxfId="3706" priority="203">
      <formula>AND(B$9&gt;=14/24,B$9&lt;20/24)</formula>
    </cfRule>
    <cfRule type="expression" dxfId="3705" priority="204">
      <formula>AND(B$9&gt;=8/24,B$9&lt;14/24)</formula>
    </cfRule>
    <cfRule type="expression" dxfId="3704" priority="205">
      <formula>B$9&lt;8/24</formula>
    </cfRule>
  </conditionalFormatting>
  <conditionalFormatting sqref="B44:B55 B34:B42 C34:C36 C44:C46 C38:C42 B11:E12 F12 C48:C49 C47:J47 D34:K34 B18:K30 B32:K32 B31:V31">
    <cfRule type="expression" dxfId="3703" priority="201">
      <formula>B11&gt;$AG11</formula>
    </cfRule>
  </conditionalFormatting>
  <conditionalFormatting sqref="B97">
    <cfRule type="expression" dxfId="3702" priority="197">
      <formula>B$9&gt;=20/24</formula>
    </cfRule>
    <cfRule type="expression" dxfId="3701" priority="198">
      <formula>AND(B$9&gt;=14/24,B$9&lt;20/24)</formula>
    </cfRule>
    <cfRule type="expression" dxfId="3700" priority="199">
      <formula>AND(B$9&gt;=8/24,B$9&lt;14/24)</formula>
    </cfRule>
    <cfRule type="expression" dxfId="3699" priority="200">
      <formula>B$9&lt;8/24</formula>
    </cfRule>
  </conditionalFormatting>
  <conditionalFormatting sqref="B35:C35">
    <cfRule type="expression" dxfId="3698" priority="193">
      <formula>B$9&gt;=20/24</formula>
    </cfRule>
    <cfRule type="expression" dxfId="3697" priority="194">
      <formula>AND(B$9&gt;=14/24,B$9&lt;20/24)</formula>
    </cfRule>
    <cfRule type="expression" dxfId="3696" priority="195">
      <formula>AND(B$9&gt;=8/24,B$9&lt;14/24)</formula>
    </cfRule>
    <cfRule type="expression" dxfId="3695" priority="196">
      <formula>B$9&lt;8/24</formula>
    </cfRule>
  </conditionalFormatting>
  <conditionalFormatting sqref="B35:C35">
    <cfRule type="expression" dxfId="3694" priority="189">
      <formula>B$9&gt;=20/24</formula>
    </cfRule>
    <cfRule type="expression" dxfId="3693" priority="190">
      <formula>AND(B$9&gt;=14/24,B$9&lt;20/24)</formula>
    </cfRule>
    <cfRule type="expression" dxfId="3692" priority="191">
      <formula>AND(B$9&gt;=8/24,B$9&lt;14/24)</formula>
    </cfRule>
    <cfRule type="expression" dxfId="3691" priority="192">
      <formula>B$9&lt;8/24</formula>
    </cfRule>
  </conditionalFormatting>
  <conditionalFormatting sqref="B33:V33">
    <cfRule type="expression" dxfId="3690" priority="185">
      <formula>B$9&gt;=20/24</formula>
    </cfRule>
    <cfRule type="expression" dxfId="3689" priority="186">
      <formula>AND(B$9&gt;=14/24,B$9&lt;20/24)</formula>
    </cfRule>
    <cfRule type="expression" dxfId="3688" priority="187">
      <formula>AND(B$9&gt;=8/24,B$9&lt;14/24)</formula>
    </cfRule>
    <cfRule type="expression" dxfId="3687" priority="188">
      <formula>B$9&lt;8/24</formula>
    </cfRule>
  </conditionalFormatting>
  <conditionalFormatting sqref="B33:V33">
    <cfRule type="expression" dxfId="3686" priority="184">
      <formula>B33&gt;$AG33</formula>
    </cfRule>
  </conditionalFormatting>
  <conditionalFormatting sqref="B82">
    <cfRule type="expression" dxfId="3685" priority="180">
      <formula>B$9&gt;=20/24</formula>
    </cfRule>
    <cfRule type="expression" dxfId="3684" priority="181">
      <formula>AND(B$9&gt;=14/24,B$9&lt;20/24)</formula>
    </cfRule>
    <cfRule type="expression" dxfId="3683" priority="182">
      <formula>AND(B$9&gt;=8/24,B$9&lt;14/24)</formula>
    </cfRule>
    <cfRule type="expression" dxfId="3682" priority="183">
      <formula>B$9&lt;8/24</formula>
    </cfRule>
  </conditionalFormatting>
  <conditionalFormatting sqref="B43:C43">
    <cfRule type="expression" dxfId="3681" priority="179">
      <formula>B43&gt;$AG43</formula>
    </cfRule>
  </conditionalFormatting>
  <conditionalFormatting sqref="B78">
    <cfRule type="expression" dxfId="3680" priority="175">
      <formula>B$9&gt;=20/24</formula>
    </cfRule>
    <cfRule type="expression" dxfId="3679" priority="176">
      <formula>AND(B$9&gt;=14/24,B$9&lt;20/24)</formula>
    </cfRule>
    <cfRule type="expression" dxfId="3678" priority="177">
      <formula>AND(B$9&gt;=8/24,B$9&lt;14/24)</formula>
    </cfRule>
    <cfRule type="expression" dxfId="3677" priority="178">
      <formula>B$9&lt;8/24</formula>
    </cfRule>
  </conditionalFormatting>
  <conditionalFormatting sqref="B72">
    <cfRule type="expression" dxfId="3676" priority="171">
      <formula>B$9&gt;=20/24</formula>
    </cfRule>
    <cfRule type="expression" dxfId="3675" priority="172">
      <formula>AND(B$9&gt;=14/24,B$9&lt;20/24)</formula>
    </cfRule>
    <cfRule type="expression" dxfId="3674" priority="173">
      <formula>AND(B$9&gt;=8/24,B$9&lt;14/24)</formula>
    </cfRule>
    <cfRule type="expression" dxfId="3673" priority="174">
      <formula>B$9&lt;8/24</formula>
    </cfRule>
  </conditionalFormatting>
  <conditionalFormatting sqref="B98">
    <cfRule type="expression" dxfId="3672" priority="167">
      <formula>B$9&gt;=20/24</formula>
    </cfRule>
    <cfRule type="expression" dxfId="3671" priority="168">
      <formula>AND(B$9&gt;=14/24,B$9&lt;20/24)</formula>
    </cfRule>
    <cfRule type="expression" dxfId="3670" priority="169">
      <formula>AND(B$9&gt;=8/24,B$9&lt;14/24)</formula>
    </cfRule>
    <cfRule type="expression" dxfId="3669" priority="170">
      <formula>B$9&lt;8/24</formula>
    </cfRule>
  </conditionalFormatting>
  <conditionalFormatting sqref="B13:F16 G14:K16">
    <cfRule type="expression" dxfId="3668" priority="163">
      <formula>B$9&gt;=20/24</formula>
    </cfRule>
    <cfRule type="expression" dxfId="3667" priority="164">
      <formula>AND(B$9&gt;=14/24,B$9&lt;20/24)</formula>
    </cfRule>
    <cfRule type="expression" dxfId="3666" priority="165">
      <formula>AND(B$9&gt;=8/24,B$9&lt;14/24)</formula>
    </cfRule>
    <cfRule type="expression" dxfId="3665" priority="166">
      <formula>B$9&lt;8/24</formula>
    </cfRule>
  </conditionalFormatting>
  <conditionalFormatting sqref="B17:K17">
    <cfRule type="expression" dxfId="3664" priority="159">
      <formula>B$9&gt;=20/24</formula>
    </cfRule>
    <cfRule type="expression" dxfId="3663" priority="160">
      <formula>AND(B$9&gt;=14/24,B$9&lt;20/24)</formula>
    </cfRule>
    <cfRule type="expression" dxfId="3662" priority="161">
      <formula>AND(B$9&gt;=8/24,B$9&lt;14/24)</formula>
    </cfRule>
    <cfRule type="expression" dxfId="3661" priority="162">
      <formula>B$9&lt;8/24</formula>
    </cfRule>
  </conditionalFormatting>
  <conditionalFormatting sqref="B13:F13">
    <cfRule type="expression" dxfId="3660" priority="155">
      <formula>B$9&gt;=20/24</formula>
    </cfRule>
    <cfRule type="expression" dxfId="3659" priority="156">
      <formula>AND(B$9&gt;=14/24,B$9&lt;20/24)</formula>
    </cfRule>
    <cfRule type="expression" dxfId="3658" priority="157">
      <formula>AND(B$9&gt;=8/24,B$9&lt;14/24)</formula>
    </cfRule>
    <cfRule type="expression" dxfId="3657" priority="158">
      <formula>B$9&lt;8/24</formula>
    </cfRule>
  </conditionalFormatting>
  <conditionalFormatting sqref="R36 R11:R14 S12:V14 R32:V32 R16:V30">
    <cfRule type="expression" dxfId="3656" priority="151">
      <formula>R$9&gt;=20/24</formula>
    </cfRule>
    <cfRule type="expression" dxfId="3655" priority="152">
      <formula>AND(R$9&gt;=14/24,R$9&lt;20/24)</formula>
    </cfRule>
    <cfRule type="expression" dxfId="3654" priority="153">
      <formula>AND(R$9&gt;=8/24,R$9&lt;14/24)</formula>
    </cfRule>
    <cfRule type="expression" dxfId="3653" priority="154">
      <formula>R$9&lt;8/24</formula>
    </cfRule>
  </conditionalFormatting>
  <conditionalFormatting sqref="R34:V34">
    <cfRule type="expression" dxfId="3652" priority="147">
      <formula>R$9&gt;=20/24</formula>
    </cfRule>
    <cfRule type="expression" dxfId="3651" priority="148">
      <formula>AND(R$9&gt;=14/24,R$9&lt;20/24)</formula>
    </cfRule>
    <cfRule type="expression" dxfId="3650" priority="149">
      <formula>AND(R$9&gt;=8/24,R$9&lt;14/24)</formula>
    </cfRule>
    <cfRule type="expression" dxfId="3649" priority="150">
      <formula>R$9&lt;8/24</formula>
    </cfRule>
  </conditionalFormatting>
  <conditionalFormatting sqref="R34:R36 R11:R14 S34:V35 S12:V14 R32:V32 R16:V30">
    <cfRule type="expression" dxfId="3648" priority="146">
      <formula>R11&gt;$AG11</formula>
    </cfRule>
  </conditionalFormatting>
  <conditionalFormatting sqref="R35:V35">
    <cfRule type="expression" dxfId="3647" priority="142">
      <formula>R$9&gt;=20/24</formula>
    </cfRule>
    <cfRule type="expression" dxfId="3646" priority="143">
      <formula>AND(R$9&gt;=14/24,R$9&lt;20/24)</formula>
    </cfRule>
    <cfRule type="expression" dxfId="3645" priority="144">
      <formula>AND(R$9&gt;=8/24,R$9&lt;14/24)</formula>
    </cfRule>
    <cfRule type="expression" dxfId="3644" priority="145">
      <formula>R$9&lt;8/24</formula>
    </cfRule>
  </conditionalFormatting>
  <conditionalFormatting sqref="R15:V15">
    <cfRule type="expression" dxfId="3643" priority="133">
      <formula>R$9&gt;=20/24</formula>
    </cfRule>
    <cfRule type="expression" dxfId="3642" priority="134">
      <formula>AND(R$9&gt;=14/24,R$9&lt;20/24)</formula>
    </cfRule>
    <cfRule type="expression" dxfId="3641" priority="135">
      <formula>AND(R$9&gt;=8/24,R$9&lt;14/24)</formula>
    </cfRule>
    <cfRule type="expression" dxfId="3640" priority="136">
      <formula>R$9&lt;8/24</formula>
    </cfRule>
  </conditionalFormatting>
  <conditionalFormatting sqref="R15:V15">
    <cfRule type="expression" dxfId="3639" priority="132">
      <formula>R15&gt;$AG15</formula>
    </cfRule>
  </conditionalFormatting>
  <conditionalFormatting sqref="R39:R41">
    <cfRule type="expression" dxfId="3638" priority="128">
      <formula>R$9&gt;=20/24</formula>
    </cfRule>
    <cfRule type="expression" dxfId="3637" priority="129">
      <formula>AND(R$9&gt;=14/24,R$9&lt;20/24)</formula>
    </cfRule>
    <cfRule type="expression" dxfId="3636" priority="130">
      <formula>AND(R$9&gt;=8/24,R$9&lt;14/24)</formula>
    </cfRule>
    <cfRule type="expression" dxfId="3635" priority="131">
      <formula>R$9&lt;8/24</formula>
    </cfRule>
  </conditionalFormatting>
  <conditionalFormatting sqref="R42">
    <cfRule type="expression" dxfId="3634" priority="124">
      <formula>R$9&gt;=20/24</formula>
    </cfRule>
    <cfRule type="expression" dxfId="3633" priority="125">
      <formula>AND(R$9&gt;=14/24,R$9&lt;20/24)</formula>
    </cfRule>
    <cfRule type="expression" dxfId="3632" priority="126">
      <formula>AND(R$9&gt;=8/24,R$9&lt;14/24)</formula>
    </cfRule>
    <cfRule type="expression" dxfId="3631" priority="127">
      <formula>R$9&lt;8/24</formula>
    </cfRule>
  </conditionalFormatting>
  <conditionalFormatting sqref="R48:V48">
    <cfRule type="expression" dxfId="3630" priority="120">
      <formula>R$9&gt;=20/24</formula>
    </cfRule>
    <cfRule type="expression" dxfId="3629" priority="121">
      <formula>AND(R$9&gt;=14/24,R$9&lt;20/24)</formula>
    </cfRule>
    <cfRule type="expression" dxfId="3628" priority="122">
      <formula>AND(R$9&gt;=8/24,R$9&lt;14/24)</formula>
    </cfRule>
    <cfRule type="expression" dxfId="3627" priority="123">
      <formula>R$9&lt;8/24</formula>
    </cfRule>
  </conditionalFormatting>
  <conditionalFormatting sqref="R49:V49">
    <cfRule type="expression" dxfId="3626" priority="116">
      <formula>R$9&gt;=20/24</formula>
    </cfRule>
    <cfRule type="expression" dxfId="3625" priority="117">
      <formula>AND(R$9&gt;=14/24,R$9&lt;20/24)</formula>
    </cfRule>
    <cfRule type="expression" dxfId="3624" priority="118">
      <formula>AND(R$9&gt;=8/24,R$9&lt;14/24)</formula>
    </cfRule>
    <cfRule type="expression" dxfId="3623" priority="119">
      <formula>R$9&lt;8/24</formula>
    </cfRule>
  </conditionalFormatting>
  <conditionalFormatting sqref="R44:V47">
    <cfRule type="expression" dxfId="3622" priority="112">
      <formula>R$9&gt;=20/24</formula>
    </cfRule>
    <cfRule type="expression" dxfId="3621" priority="113">
      <formula>AND(R$9&gt;=14/24,R$9&lt;20/24)</formula>
    </cfRule>
    <cfRule type="expression" dxfId="3620" priority="114">
      <formula>AND(R$9&gt;=8/24,R$9&lt;14/24)</formula>
    </cfRule>
    <cfRule type="expression" dxfId="3619" priority="115">
      <formula>R$9&lt;8/24</formula>
    </cfRule>
  </conditionalFormatting>
  <conditionalFormatting sqref="R39:R42 R44:V49">
    <cfRule type="expression" dxfId="3618" priority="111">
      <formula>R39&gt;$AG39</formula>
    </cfRule>
  </conditionalFormatting>
  <conditionalFormatting sqref="R43:V43">
    <cfRule type="expression" dxfId="3617" priority="107">
      <formula>R$9&gt;=20/24</formula>
    </cfRule>
    <cfRule type="expression" dxfId="3616" priority="108">
      <formula>AND(R$9&gt;=14/24,R$9&lt;20/24)</formula>
    </cfRule>
    <cfRule type="expression" dxfId="3615" priority="109">
      <formula>AND(R$9&gt;=8/24,R$9&lt;14/24)</formula>
    </cfRule>
    <cfRule type="expression" dxfId="3614" priority="110">
      <formula>R$9&lt;8/24</formula>
    </cfRule>
  </conditionalFormatting>
  <conditionalFormatting sqref="R43:V43">
    <cfRule type="expression" dxfId="3613" priority="106">
      <formula>R43&gt;$AG43</formula>
    </cfRule>
  </conditionalFormatting>
  <conditionalFormatting sqref="R83:R90">
    <cfRule type="expression" dxfId="3612" priority="102">
      <formula>R$9&gt;=20/24</formula>
    </cfRule>
    <cfRule type="expression" dxfId="3611" priority="103">
      <formula>AND(R$9&gt;=14/24,R$9&lt;20/24)</formula>
    </cfRule>
    <cfRule type="expression" dxfId="3610" priority="104">
      <formula>AND(R$9&gt;=8/24,R$9&lt;14/24)</formula>
    </cfRule>
    <cfRule type="expression" dxfId="3609" priority="105">
      <formula>R$9&lt;8/24</formula>
    </cfRule>
  </conditionalFormatting>
  <conditionalFormatting sqref="R93:R96">
    <cfRule type="expression" dxfId="3608" priority="98">
      <formula>R$9&gt;=20/24</formula>
    </cfRule>
    <cfRule type="expression" dxfId="3607" priority="99">
      <formula>AND(R$9&gt;=14/24,R$9&lt;20/24)</formula>
    </cfRule>
    <cfRule type="expression" dxfId="3606" priority="100">
      <formula>AND(R$9&gt;=8/24,R$9&lt;14/24)</formula>
    </cfRule>
    <cfRule type="expression" dxfId="3605" priority="101">
      <formula>R$9&lt;8/24</formula>
    </cfRule>
  </conditionalFormatting>
  <conditionalFormatting sqref="R97">
    <cfRule type="expression" dxfId="3604" priority="94">
      <formula>R$9&gt;=20/24</formula>
    </cfRule>
    <cfRule type="expression" dxfId="3603" priority="95">
      <formula>AND(R$9&gt;=14/24,R$9&lt;20/24)</formula>
    </cfRule>
    <cfRule type="expression" dxfId="3602" priority="96">
      <formula>AND(R$9&gt;=8/24,R$9&lt;14/24)</formula>
    </cfRule>
    <cfRule type="expression" dxfId="3601" priority="97">
      <formula>R$9&lt;8/24</formula>
    </cfRule>
  </conditionalFormatting>
  <conditionalFormatting sqref="R93">
    <cfRule type="expression" dxfId="3600" priority="90">
      <formula>R$9&gt;=20/24</formula>
    </cfRule>
    <cfRule type="expression" dxfId="3599" priority="91">
      <formula>AND(R$9&gt;=14/24,R$9&lt;20/24)</formula>
    </cfRule>
    <cfRule type="expression" dxfId="3598" priority="92">
      <formula>AND(R$9&gt;=8/24,R$9&lt;14/24)</formula>
    </cfRule>
    <cfRule type="expression" dxfId="3597" priority="93">
      <formula>R$9&lt;8/24</formula>
    </cfRule>
  </conditionalFormatting>
  <conditionalFormatting sqref="R98">
    <cfRule type="expression" dxfId="3596" priority="86">
      <formula>R$9&gt;=20/24</formula>
    </cfRule>
    <cfRule type="expression" dxfId="3595" priority="87">
      <formula>AND(R$9&gt;=14/24,R$9&lt;20/24)</formula>
    </cfRule>
    <cfRule type="expression" dxfId="3594" priority="88">
      <formula>AND(R$9&gt;=8/24,R$9&lt;14/24)</formula>
    </cfRule>
    <cfRule type="expression" dxfId="3593" priority="89">
      <formula>R$9&lt;8/24</formula>
    </cfRule>
  </conditionalFormatting>
  <conditionalFormatting sqref="W39:W41 W52:W55 W57:W58 W11:Z11">
    <cfRule type="expression" dxfId="3592" priority="68">
      <formula>W$9&gt;=20/24</formula>
    </cfRule>
    <cfRule type="expression" dxfId="3591" priority="69">
      <formula>AND(W$9&gt;=14/24,W$9&lt;20/24)</formula>
    </cfRule>
    <cfRule type="expression" dxfId="3590" priority="70">
      <formula>AND(W$9&gt;=8/24,W$9&lt;14/24)</formula>
    </cfRule>
    <cfRule type="expression" dxfId="3589" priority="71">
      <formula>W$9&lt;8/24</formula>
    </cfRule>
  </conditionalFormatting>
  <conditionalFormatting sqref="W38">
    <cfRule type="expression" dxfId="3588" priority="64">
      <formula>W$9&gt;=20/24</formula>
    </cfRule>
    <cfRule type="expression" dxfId="3587" priority="65">
      <formula>AND(W$9&gt;=14/24,W$9&lt;20/24)</formula>
    </cfRule>
    <cfRule type="expression" dxfId="3586" priority="66">
      <formula>AND(W$9&gt;=8/24,W$9&lt;14/24)</formula>
    </cfRule>
    <cfRule type="expression" dxfId="3585" priority="67">
      <formula>W$9&lt;8/24</formula>
    </cfRule>
  </conditionalFormatting>
  <conditionalFormatting sqref="W56">
    <cfRule type="expression" dxfId="3584" priority="60">
      <formula>W$9&gt;=20/24</formula>
    </cfRule>
    <cfRule type="expression" dxfId="3583" priority="61">
      <formula>AND(W$9&gt;=14/24,W$9&lt;20/24)</formula>
    </cfRule>
    <cfRule type="expression" dxfId="3582" priority="62">
      <formula>AND(W$9&gt;=8/24,W$9&lt;14/24)</formula>
    </cfRule>
    <cfRule type="expression" dxfId="3581" priority="63">
      <formula>W$9&lt;8/24</formula>
    </cfRule>
  </conditionalFormatting>
  <conditionalFormatting sqref="W36:Z36">
    <cfRule type="expression" dxfId="3580" priority="56">
      <formula>W$9&gt;=20/24</formula>
    </cfRule>
    <cfRule type="expression" dxfId="3579" priority="57">
      <formula>AND(W$9&gt;=14/24,W$9&lt;20/24)</formula>
    </cfRule>
    <cfRule type="expression" dxfId="3578" priority="58">
      <formula>AND(W$9&gt;=8/24,W$9&lt;14/24)</formula>
    </cfRule>
    <cfRule type="expression" dxfId="3577" priority="59">
      <formula>W$9&lt;8/24</formula>
    </cfRule>
  </conditionalFormatting>
  <conditionalFormatting sqref="W42">
    <cfRule type="expression" dxfId="3576" priority="52">
      <formula>W$9&gt;=20/24</formula>
    </cfRule>
    <cfRule type="expression" dxfId="3575" priority="53">
      <formula>AND(W$9&gt;=14/24,W$9&lt;20/24)</formula>
    </cfRule>
    <cfRule type="expression" dxfId="3574" priority="54">
      <formula>AND(W$9&gt;=8/24,W$9&lt;14/24)</formula>
    </cfRule>
    <cfRule type="expression" dxfId="3573" priority="55">
      <formula>W$9&lt;8/24</formula>
    </cfRule>
  </conditionalFormatting>
  <conditionalFormatting sqref="W59:W66">
    <cfRule type="expression" dxfId="3572" priority="48">
      <formula>W$9&gt;=20/24</formula>
    </cfRule>
    <cfRule type="expression" dxfId="3571" priority="49">
      <formula>AND(W$9&gt;=14/24,W$9&lt;20/24)</formula>
    </cfRule>
    <cfRule type="expression" dxfId="3570" priority="50">
      <formula>AND(W$9&gt;=8/24,W$9&lt;14/24)</formula>
    </cfRule>
    <cfRule type="expression" dxfId="3569" priority="51">
      <formula>W$9&lt;8/24</formula>
    </cfRule>
  </conditionalFormatting>
  <conditionalFormatting sqref="W36:W42 W50:W55 W11:Z11 X36:Z36">
    <cfRule type="expression" dxfId="3568" priority="47">
      <formula>W11&gt;$AG11</formula>
    </cfRule>
  </conditionalFormatting>
  <conditionalFormatting sqref="W31:AF31">
    <cfRule type="expression" dxfId="3567" priority="43">
      <formula>W$9&gt;=20/24</formula>
    </cfRule>
    <cfRule type="expression" dxfId="3566" priority="44">
      <formula>AND(W$9&gt;=14/24,W$9&lt;20/24)</formula>
    </cfRule>
    <cfRule type="expression" dxfId="3565" priority="45">
      <formula>AND(W$9&gt;=8/24,W$9&lt;14/24)</formula>
    </cfRule>
    <cfRule type="expression" dxfId="3564" priority="46">
      <formula>W$9&lt;8/24</formula>
    </cfRule>
  </conditionalFormatting>
  <conditionalFormatting sqref="W31:AF31">
    <cfRule type="expression" dxfId="3563" priority="42">
      <formula>W31&gt;$AG31</formula>
    </cfRule>
  </conditionalFormatting>
  <conditionalFormatting sqref="W33:AF33">
    <cfRule type="expression" dxfId="3562" priority="38">
      <formula>W$9&gt;=20/24</formula>
    </cfRule>
    <cfRule type="expression" dxfId="3561" priority="39">
      <formula>AND(W$9&gt;=14/24,W$9&lt;20/24)</formula>
    </cfRule>
    <cfRule type="expression" dxfId="3560" priority="40">
      <formula>AND(W$9&gt;=8/24,W$9&lt;14/24)</formula>
    </cfRule>
    <cfRule type="expression" dxfId="3559" priority="41">
      <formula>W$9&lt;8/24</formula>
    </cfRule>
  </conditionalFormatting>
  <conditionalFormatting sqref="W33:AF33">
    <cfRule type="expression" dxfId="3558" priority="37">
      <formula>W33&gt;$AG33</formula>
    </cfRule>
  </conditionalFormatting>
  <conditionalFormatting sqref="W12:Z14 W16:AF30 AA13:AF14 W32:AF32">
    <cfRule type="expression" dxfId="3557" priority="33">
      <formula>W$9&gt;=20/24</formula>
    </cfRule>
    <cfRule type="expression" dxfId="3556" priority="34">
      <formula>AND(W$9&gt;=14/24,W$9&lt;20/24)</formula>
    </cfRule>
    <cfRule type="expression" dxfId="3555" priority="35">
      <formula>AND(W$9&gt;=8/24,W$9&lt;14/24)</formula>
    </cfRule>
    <cfRule type="expression" dxfId="3554" priority="36">
      <formula>W$9&lt;8/24</formula>
    </cfRule>
  </conditionalFormatting>
  <conditionalFormatting sqref="W34:AF34">
    <cfRule type="expression" dxfId="3553" priority="29">
      <formula>W$9&gt;=20/24</formula>
    </cfRule>
    <cfRule type="expression" dxfId="3552" priority="30">
      <formula>AND(W$9&gt;=14/24,W$9&lt;20/24)</formula>
    </cfRule>
    <cfRule type="expression" dxfId="3551" priority="31">
      <formula>AND(W$9&gt;=8/24,W$9&lt;14/24)</formula>
    </cfRule>
    <cfRule type="expression" dxfId="3550" priority="32">
      <formula>W$9&lt;8/24</formula>
    </cfRule>
  </conditionalFormatting>
  <conditionalFormatting sqref="W12:Z14 W16:AF30 W34:AF35 AA13:AF14 W32:AF32">
    <cfRule type="expression" dxfId="3549" priority="28">
      <formula>W12&gt;$AG12</formula>
    </cfRule>
  </conditionalFormatting>
  <conditionalFormatting sqref="W35:AF35">
    <cfRule type="expression" dxfId="3548" priority="24">
      <formula>W$9&gt;=20/24</formula>
    </cfRule>
    <cfRule type="expression" dxfId="3547" priority="25">
      <formula>AND(W$9&gt;=14/24,W$9&lt;20/24)</formula>
    </cfRule>
    <cfRule type="expression" dxfId="3546" priority="26">
      <formula>AND(W$9&gt;=8/24,W$9&lt;14/24)</formula>
    </cfRule>
    <cfRule type="expression" dxfId="3545" priority="27">
      <formula>W$9&lt;8/24</formula>
    </cfRule>
  </conditionalFormatting>
  <conditionalFormatting sqref="W15:AF15">
    <cfRule type="expression" dxfId="3544" priority="20">
      <formula>W$9&gt;=20/24</formula>
    </cfRule>
    <cfRule type="expression" dxfId="3543" priority="21">
      <formula>AND(W$9&gt;=14/24,W$9&lt;20/24)</formula>
    </cfRule>
    <cfRule type="expression" dxfId="3542" priority="22">
      <formula>AND(W$9&gt;=8/24,W$9&lt;14/24)</formula>
    </cfRule>
    <cfRule type="expression" dxfId="3541" priority="23">
      <formula>W$9&lt;8/24</formula>
    </cfRule>
  </conditionalFormatting>
  <conditionalFormatting sqref="W15:AF15">
    <cfRule type="expression" dxfId="3540" priority="19">
      <formula>W15&gt;$AG15</formula>
    </cfRule>
  </conditionalFormatting>
  <conditionalFormatting sqref="W48">
    <cfRule type="expression" dxfId="3539" priority="15">
      <formula>W$9&gt;=20/24</formula>
    </cfRule>
    <cfRule type="expression" dxfId="3538" priority="16">
      <formula>AND(W$9&gt;=14/24,W$9&lt;20/24)</formula>
    </cfRule>
    <cfRule type="expression" dxfId="3537" priority="17">
      <formula>AND(W$9&gt;=8/24,W$9&lt;14/24)</formula>
    </cfRule>
    <cfRule type="expression" dxfId="3536" priority="18">
      <formula>W$9&lt;8/24</formula>
    </cfRule>
  </conditionalFormatting>
  <conditionalFormatting sqref="W49">
    <cfRule type="expression" dxfId="3535" priority="11">
      <formula>W$9&gt;=20/24</formula>
    </cfRule>
    <cfRule type="expression" dxfId="3534" priority="12">
      <formula>AND(W$9&gt;=14/24,W$9&lt;20/24)</formula>
    </cfRule>
    <cfRule type="expression" dxfId="3533" priority="13">
      <formula>AND(W$9&gt;=8/24,W$9&lt;14/24)</formula>
    </cfRule>
    <cfRule type="expression" dxfId="3532" priority="14">
      <formula>W$9&lt;8/24</formula>
    </cfRule>
  </conditionalFormatting>
  <conditionalFormatting sqref="W44:W47">
    <cfRule type="expression" dxfId="3531" priority="7">
      <formula>W$9&gt;=20/24</formula>
    </cfRule>
    <cfRule type="expression" dxfId="3530" priority="8">
      <formula>AND(W$9&gt;=14/24,W$9&lt;20/24)</formula>
    </cfRule>
    <cfRule type="expression" dxfId="3529" priority="9">
      <formula>AND(W$9&gt;=8/24,W$9&lt;14/24)</formula>
    </cfRule>
    <cfRule type="expression" dxfId="3528" priority="10">
      <formula>W$9&lt;8/24</formula>
    </cfRule>
  </conditionalFormatting>
  <conditionalFormatting sqref="W44:W49">
    <cfRule type="expression" dxfId="3527" priority="6">
      <formula>W44&gt;$AG44</formula>
    </cfRule>
  </conditionalFormatting>
  <conditionalFormatting sqref="W43">
    <cfRule type="expression" dxfId="3526" priority="2">
      <formula>W$9&gt;=20/24</formula>
    </cfRule>
    <cfRule type="expression" dxfId="3525" priority="3">
      <formula>AND(W$9&gt;=14/24,W$9&lt;20/24)</formula>
    </cfRule>
    <cfRule type="expression" dxfId="3524" priority="4">
      <formula>AND(W$9&gt;=8/24,W$9&lt;14/24)</formula>
    </cfRule>
    <cfRule type="expression" dxfId="3523" priority="5">
      <formula>W$9&lt;8/24</formula>
    </cfRule>
  </conditionalFormatting>
  <conditionalFormatting sqref="W43">
    <cfRule type="expression" dxfId="3522" priority="1">
      <formula>W43&gt;$AG43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A11" sqref="AA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K2">
        <v>1657</v>
      </c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2078/07/22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K4">
        <f>AI8+AJ8+AK8</f>
        <v>1657</v>
      </c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-55.3</v>
      </c>
      <c r="C5" s="32">
        <f t="shared" ref="C5:AF5" si="0">C67</f>
        <v>-60.1</v>
      </c>
      <c r="D5" s="32">
        <f t="shared" si="0"/>
        <v>-50</v>
      </c>
      <c r="E5" s="32">
        <f t="shared" si="0"/>
        <v>-69.099999999999994</v>
      </c>
      <c r="F5" s="32">
        <f t="shared" si="0"/>
        <v>-70</v>
      </c>
      <c r="G5" s="32">
        <f t="shared" si="0"/>
        <v>-55</v>
      </c>
      <c r="H5" s="32">
        <f t="shared" si="0"/>
        <v>-56.4</v>
      </c>
      <c r="I5" s="32">
        <f t="shared" si="0"/>
        <v>-56.7</v>
      </c>
      <c r="J5" s="32">
        <f t="shared" si="0"/>
        <v>-50</v>
      </c>
      <c r="K5" s="32">
        <f t="shared" si="0"/>
        <v>-64.5</v>
      </c>
      <c r="L5" s="32">
        <f t="shared" si="0"/>
        <v>-64.400000000000006</v>
      </c>
      <c r="M5" s="32">
        <f t="shared" si="0"/>
        <v>-78</v>
      </c>
      <c r="N5" s="32">
        <f t="shared" si="0"/>
        <v>-84</v>
      </c>
      <c r="O5" s="32">
        <f t="shared" si="0"/>
        <v>-69.900000000000006</v>
      </c>
      <c r="P5" s="32">
        <f t="shared" si="0"/>
        <v>-85</v>
      </c>
      <c r="Q5" s="32">
        <f t="shared" si="0"/>
        <v>-55</v>
      </c>
      <c r="R5" s="32">
        <f t="shared" si="0"/>
        <v>-49.6</v>
      </c>
      <c r="S5" s="32">
        <f t="shared" si="0"/>
        <v>-64</v>
      </c>
      <c r="T5" s="32">
        <f t="shared" si="0"/>
        <v>-57</v>
      </c>
      <c r="U5" s="32">
        <f t="shared" si="0"/>
        <v>-74</v>
      </c>
      <c r="V5" s="32">
        <f t="shared" si="0"/>
        <v>-56</v>
      </c>
      <c r="W5" s="32">
        <f t="shared" si="0"/>
        <v>-49</v>
      </c>
      <c r="X5" s="32">
        <f t="shared" si="0"/>
        <v>-64.5</v>
      </c>
      <c r="Y5" s="32">
        <f t="shared" si="0"/>
        <v>-79</v>
      </c>
      <c r="Z5" s="32">
        <f t="shared" si="0"/>
        <v>-77</v>
      </c>
      <c r="AA5" s="32">
        <f t="shared" si="0"/>
        <v>-39.1</v>
      </c>
      <c r="AB5" s="32">
        <f t="shared" si="0"/>
        <v>-51</v>
      </c>
      <c r="AC5" s="32">
        <f t="shared" si="0"/>
        <v>-60</v>
      </c>
      <c r="AD5" s="32">
        <f t="shared" si="0"/>
        <v>-69</v>
      </c>
      <c r="AE5" s="32">
        <f t="shared" si="0"/>
        <v>-54</v>
      </c>
      <c r="AF5" s="32">
        <f t="shared" si="0"/>
        <v>-57.9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1056MW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Load=715</v>
      </c>
      <c r="B7" s="37">
        <f t="shared" ref="B7:AF7" si="1">B74</f>
        <v>756.04</v>
      </c>
      <c r="C7" s="37">
        <f t="shared" si="1"/>
        <v>740.04</v>
      </c>
      <c r="D7" s="37">
        <f t="shared" si="1"/>
        <v>715.43999999999994</v>
      </c>
      <c r="E7" s="37">
        <f t="shared" si="1"/>
        <v>716.63999999999987</v>
      </c>
      <c r="F7" s="37">
        <f t="shared" si="1"/>
        <v>774.13999999999987</v>
      </c>
      <c r="G7" s="37">
        <f t="shared" si="1"/>
        <v>846.7399999999999</v>
      </c>
      <c r="H7" s="37">
        <f t="shared" si="1"/>
        <v>872.04</v>
      </c>
      <c r="I7" s="37">
        <f t="shared" si="1"/>
        <v>936.64</v>
      </c>
      <c r="J7" s="37">
        <f t="shared" si="1"/>
        <v>994.6400000000001</v>
      </c>
      <c r="K7" s="37">
        <f t="shared" si="1"/>
        <v>1047.6400000000001</v>
      </c>
      <c r="L7" s="37">
        <f>L74</f>
        <v>1056.1399999999999</v>
      </c>
      <c r="M7" s="37">
        <f t="shared" si="1"/>
        <v>1017.44</v>
      </c>
      <c r="N7" s="37">
        <f t="shared" si="1"/>
        <v>973.24</v>
      </c>
      <c r="O7" s="37">
        <f t="shared" si="1"/>
        <v>973.74</v>
      </c>
      <c r="P7" s="37">
        <f t="shared" si="1"/>
        <v>941.43999999999994</v>
      </c>
      <c r="Q7" s="37">
        <f t="shared" si="1"/>
        <v>909.93999999999994</v>
      </c>
      <c r="R7" s="37">
        <f t="shared" si="1"/>
        <v>938.7399999999999</v>
      </c>
      <c r="S7" s="37">
        <f t="shared" si="1"/>
        <v>934.24</v>
      </c>
      <c r="T7" s="37">
        <f t="shared" si="1"/>
        <v>964.64</v>
      </c>
      <c r="U7" s="37">
        <f t="shared" si="1"/>
        <v>1052.74</v>
      </c>
      <c r="V7" s="37">
        <f t="shared" si="1"/>
        <v>1214.54</v>
      </c>
      <c r="W7" s="37">
        <f t="shared" si="1"/>
        <v>1357.14</v>
      </c>
      <c r="X7" s="37">
        <f t="shared" si="1"/>
        <v>1286.74</v>
      </c>
      <c r="Y7" s="37">
        <f t="shared" si="1"/>
        <v>1217.1399999999999</v>
      </c>
      <c r="Z7" s="37">
        <f t="shared" si="1"/>
        <v>1174.54</v>
      </c>
      <c r="AA7" s="37">
        <f t="shared" si="1"/>
        <v>1088.54</v>
      </c>
      <c r="AB7" s="37">
        <f t="shared" si="1"/>
        <v>1018.7400000000001</v>
      </c>
      <c r="AC7" s="37">
        <f t="shared" si="1"/>
        <v>965.24</v>
      </c>
      <c r="AD7" s="37">
        <f t="shared" si="1"/>
        <v>878.14</v>
      </c>
      <c r="AE7" s="37">
        <f t="shared" si="1"/>
        <v>814.83999999999992</v>
      </c>
      <c r="AF7" s="37">
        <f t="shared" si="1"/>
        <v>786.63999999999987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>
        <v>1120</v>
      </c>
      <c r="AJ8" s="1">
        <v>437</v>
      </c>
      <c r="AK8">
        <v>100</v>
      </c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60</v>
      </c>
      <c r="C11" s="49">
        <v>60</v>
      </c>
      <c r="D11" s="49">
        <v>60</v>
      </c>
      <c r="E11" s="49">
        <v>70</v>
      </c>
      <c r="F11" s="49">
        <v>90</v>
      </c>
      <c r="G11" s="49">
        <v>110</v>
      </c>
      <c r="H11" s="49">
        <v>100</v>
      </c>
      <c r="I11" s="49">
        <v>130</v>
      </c>
      <c r="J11" s="49">
        <v>150</v>
      </c>
      <c r="K11" s="49">
        <v>150</v>
      </c>
      <c r="L11" s="50">
        <v>150</v>
      </c>
      <c r="M11" s="50">
        <v>120</v>
      </c>
      <c r="N11" s="50">
        <v>130</v>
      </c>
      <c r="O11" s="50">
        <v>110</v>
      </c>
      <c r="P11" s="50">
        <v>110</v>
      </c>
      <c r="Q11" s="51">
        <v>90</v>
      </c>
      <c r="R11" s="52">
        <v>90</v>
      </c>
      <c r="S11" s="52">
        <v>81.3</v>
      </c>
      <c r="T11" s="52">
        <v>80</v>
      </c>
      <c r="U11" s="52">
        <v>120</v>
      </c>
      <c r="V11" s="52">
        <v>230</v>
      </c>
      <c r="W11" s="52">
        <v>360</v>
      </c>
      <c r="X11" s="52">
        <v>280</v>
      </c>
      <c r="Y11" s="53">
        <v>250</v>
      </c>
      <c r="Z11" s="54">
        <v>230</v>
      </c>
      <c r="AA11" s="54">
        <v>200</v>
      </c>
      <c r="AB11" s="54">
        <v>170</v>
      </c>
      <c r="AC11" s="54">
        <v>150</v>
      </c>
      <c r="AD11" s="54">
        <v>130</v>
      </c>
      <c r="AE11" s="54">
        <v>80</v>
      </c>
      <c r="AF11" s="54">
        <v>80</v>
      </c>
      <c r="AG11" s="55">
        <v>456</v>
      </c>
      <c r="AH11" s="56">
        <f>MAX(B11:AF11)</f>
        <v>360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50</v>
      </c>
      <c r="J12" s="49">
        <v>50</v>
      </c>
      <c r="K12" s="49">
        <v>50</v>
      </c>
      <c r="L12" s="49">
        <v>60</v>
      </c>
      <c r="M12" s="49">
        <v>60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49">
        <v>50</v>
      </c>
      <c r="T12" s="49">
        <v>50</v>
      </c>
      <c r="U12" s="60">
        <v>50</v>
      </c>
      <c r="V12" s="60">
        <v>50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50</v>
      </c>
      <c r="AC12" s="60">
        <v>50</v>
      </c>
      <c r="AD12" s="60">
        <v>40</v>
      </c>
      <c r="AE12" s="60">
        <v>40</v>
      </c>
      <c r="AF12" s="60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49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13</v>
      </c>
      <c r="C13" s="49">
        <v>13</v>
      </c>
      <c r="D13" s="49">
        <v>13</v>
      </c>
      <c r="E13" s="49">
        <v>13</v>
      </c>
      <c r="F13" s="49">
        <v>13</v>
      </c>
      <c r="G13" s="49">
        <v>13</v>
      </c>
      <c r="H13" s="49">
        <v>13</v>
      </c>
      <c r="I13" s="49">
        <v>13</v>
      </c>
      <c r="J13" s="49">
        <v>13</v>
      </c>
      <c r="K13" s="49">
        <v>26</v>
      </c>
      <c r="L13" s="49">
        <v>26</v>
      </c>
      <c r="M13" s="49">
        <v>26</v>
      </c>
      <c r="N13" s="49">
        <v>26</v>
      </c>
      <c r="O13" s="49">
        <v>42</v>
      </c>
      <c r="P13" s="49">
        <v>42</v>
      </c>
      <c r="Q13" s="49">
        <v>42</v>
      </c>
      <c r="R13" s="49">
        <v>42</v>
      </c>
      <c r="S13" s="49">
        <v>42</v>
      </c>
      <c r="T13" s="49">
        <v>42</v>
      </c>
      <c r="U13" s="49">
        <v>42</v>
      </c>
      <c r="V13" s="49">
        <v>42</v>
      </c>
      <c r="W13" s="60">
        <v>42</v>
      </c>
      <c r="X13" s="60">
        <v>42</v>
      </c>
      <c r="Y13" s="60">
        <v>42</v>
      </c>
      <c r="Z13" s="60">
        <v>42</v>
      </c>
      <c r="AA13" s="60">
        <v>42</v>
      </c>
      <c r="AB13" s="60">
        <v>42</v>
      </c>
      <c r="AC13" s="60">
        <v>42</v>
      </c>
      <c r="AD13" s="60">
        <v>20</v>
      </c>
      <c r="AE13" s="60">
        <v>20</v>
      </c>
      <c r="AF13" s="60">
        <v>20</v>
      </c>
      <c r="AG13" s="61">
        <v>52.4</v>
      </c>
      <c r="AH13" s="56">
        <f t="shared" si="2"/>
        <v>42</v>
      </c>
      <c r="AI13" s="57">
        <f t="shared" si="3"/>
        <v>13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25.3</v>
      </c>
      <c r="C14" s="49">
        <v>25.3</v>
      </c>
      <c r="D14" s="49">
        <v>25.3</v>
      </c>
      <c r="E14" s="49">
        <v>25.3</v>
      </c>
      <c r="F14" s="49">
        <v>25.3</v>
      </c>
      <c r="G14" s="49">
        <v>25.3</v>
      </c>
      <c r="H14" s="49">
        <v>25.3</v>
      </c>
      <c r="I14" s="49">
        <v>25.3</v>
      </c>
      <c r="J14" s="49">
        <v>25.3</v>
      </c>
      <c r="K14" s="49">
        <v>25.3</v>
      </c>
      <c r="L14" s="50">
        <v>25.3</v>
      </c>
      <c r="M14" s="50">
        <v>25.3</v>
      </c>
      <c r="N14" s="50">
        <v>25.3</v>
      </c>
      <c r="O14" s="50">
        <v>25.3</v>
      </c>
      <c r="P14" s="50">
        <v>25.6</v>
      </c>
      <c r="Q14" s="50">
        <v>25.5</v>
      </c>
      <c r="R14" s="50">
        <v>25.5</v>
      </c>
      <c r="S14" s="50">
        <v>25.5</v>
      </c>
      <c r="T14" s="50">
        <v>25.5</v>
      </c>
      <c r="U14" s="50">
        <v>25.5</v>
      </c>
      <c r="V14" s="50">
        <v>25.5</v>
      </c>
      <c r="W14" s="62">
        <v>25.5</v>
      </c>
      <c r="X14" s="62">
        <v>25.5</v>
      </c>
      <c r="Y14" s="62">
        <v>25.5</v>
      </c>
      <c r="Z14" s="62">
        <v>25.5</v>
      </c>
      <c r="AA14" s="62">
        <v>25.5</v>
      </c>
      <c r="AB14" s="62">
        <v>25.5</v>
      </c>
      <c r="AC14" s="62">
        <v>25.5</v>
      </c>
      <c r="AD14" s="62">
        <v>25.5</v>
      </c>
      <c r="AE14" s="62">
        <v>25.5</v>
      </c>
      <c r="AF14" s="62">
        <v>25.5</v>
      </c>
      <c r="AG14" s="61">
        <v>50</v>
      </c>
      <c r="AH14" s="56">
        <f t="shared" si="2"/>
        <v>25.6</v>
      </c>
      <c r="AI14" s="57">
        <f t="shared" si="3"/>
        <v>25.3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36.700000000000003</v>
      </c>
      <c r="C15" s="63">
        <v>36.700000000000003</v>
      </c>
      <c r="D15" s="63">
        <v>36.700000000000003</v>
      </c>
      <c r="E15" s="63">
        <v>36.700000000000003</v>
      </c>
      <c r="F15" s="63">
        <v>36.700000000000003</v>
      </c>
      <c r="G15" s="63">
        <v>36.700000000000003</v>
      </c>
      <c r="H15" s="63">
        <v>36.700000000000003</v>
      </c>
      <c r="I15" s="63">
        <v>36.700000000000003</v>
      </c>
      <c r="J15" s="63">
        <v>36.799999999999997</v>
      </c>
      <c r="K15" s="63">
        <v>36.799999999999997</v>
      </c>
      <c r="L15" s="50">
        <v>36.799999999999997</v>
      </c>
      <c r="M15" s="50">
        <v>41.7</v>
      </c>
      <c r="N15" s="50">
        <v>41.9</v>
      </c>
      <c r="O15" s="50">
        <v>41.9</v>
      </c>
      <c r="P15" s="50">
        <v>41.8</v>
      </c>
      <c r="Q15" s="50">
        <v>41.9</v>
      </c>
      <c r="R15" s="50">
        <v>41.9</v>
      </c>
      <c r="S15" s="50">
        <v>41.9</v>
      </c>
      <c r="T15" s="50">
        <v>41.9</v>
      </c>
      <c r="U15" s="50">
        <v>41.9</v>
      </c>
      <c r="V15" s="50">
        <v>41.9</v>
      </c>
      <c r="W15" s="62">
        <v>41.9</v>
      </c>
      <c r="X15" s="62">
        <v>41.9</v>
      </c>
      <c r="Y15" s="62">
        <v>41.9</v>
      </c>
      <c r="Z15" s="62">
        <v>41.9</v>
      </c>
      <c r="AA15" s="62">
        <v>41.9</v>
      </c>
      <c r="AB15" s="62">
        <v>41.9</v>
      </c>
      <c r="AC15" s="62">
        <v>41.9</v>
      </c>
      <c r="AD15" s="62">
        <v>36.9</v>
      </c>
      <c r="AE15" s="62">
        <v>36.9</v>
      </c>
      <c r="AF15" s="62">
        <v>36.9</v>
      </c>
      <c r="AG15" s="64">
        <v>45</v>
      </c>
      <c r="AH15" s="56">
        <f t="shared" si="2"/>
        <v>41.9</v>
      </c>
      <c r="AI15" s="57">
        <f t="shared" si="3"/>
        <v>36.700000000000003</v>
      </c>
      <c r="AK15" s="1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23</v>
      </c>
      <c r="J16" s="49">
        <v>23</v>
      </c>
      <c r="K16" s="49">
        <v>23</v>
      </c>
      <c r="L16" s="50">
        <v>23</v>
      </c>
      <c r="M16" s="50">
        <v>23</v>
      </c>
      <c r="N16" s="50">
        <v>0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65">
        <v>14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15</v>
      </c>
      <c r="AE16" s="65">
        <v>15</v>
      </c>
      <c r="AF16" s="65">
        <v>15</v>
      </c>
      <c r="AG16" s="61">
        <v>45</v>
      </c>
      <c r="AH16" s="56">
        <f t="shared" si="2"/>
        <v>23</v>
      </c>
      <c r="AI16" s="57">
        <f t="shared" si="3"/>
        <v>0</v>
      </c>
      <c r="AK16" s="1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25</v>
      </c>
      <c r="C17" s="49">
        <v>25</v>
      </c>
      <c r="D17" s="49">
        <v>25</v>
      </c>
      <c r="E17" s="49">
        <v>25</v>
      </c>
      <c r="F17" s="49">
        <v>25</v>
      </c>
      <c r="G17" s="49">
        <v>25</v>
      </c>
      <c r="H17" s="49">
        <v>25</v>
      </c>
      <c r="I17" s="49">
        <v>25</v>
      </c>
      <c r="J17" s="49">
        <v>25</v>
      </c>
      <c r="K17" s="49">
        <v>25</v>
      </c>
      <c r="L17" s="50">
        <v>25</v>
      </c>
      <c r="M17" s="50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62">
        <v>5</v>
      </c>
      <c r="X17" s="62">
        <v>5</v>
      </c>
      <c r="Y17" s="62">
        <v>5</v>
      </c>
      <c r="Z17" s="62">
        <v>5</v>
      </c>
      <c r="AA17" s="62">
        <v>5</v>
      </c>
      <c r="AB17" s="62">
        <v>5</v>
      </c>
      <c r="AC17" s="62">
        <v>5</v>
      </c>
      <c r="AD17" s="62">
        <v>5</v>
      </c>
      <c r="AE17" s="62">
        <v>5</v>
      </c>
      <c r="AF17" s="62">
        <v>5</v>
      </c>
      <c r="AG17" s="61">
        <v>42</v>
      </c>
      <c r="AH17" s="56">
        <f t="shared" si="2"/>
        <v>25</v>
      </c>
      <c r="AI17" s="57">
        <f t="shared" si="3"/>
        <v>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23.5</v>
      </c>
      <c r="C19" s="49">
        <v>23.5</v>
      </c>
      <c r="D19" s="49">
        <v>20.5</v>
      </c>
      <c r="E19" s="49">
        <v>20.5</v>
      </c>
      <c r="F19" s="49">
        <v>20.5</v>
      </c>
      <c r="G19" s="49">
        <v>20.5</v>
      </c>
      <c r="H19" s="49">
        <v>20.5</v>
      </c>
      <c r="I19" s="49">
        <v>25.2</v>
      </c>
      <c r="J19" s="49">
        <v>25.2</v>
      </c>
      <c r="K19" s="49">
        <v>25.2</v>
      </c>
      <c r="L19" s="50">
        <v>25.2</v>
      </c>
      <c r="M19" s="50">
        <v>25.2</v>
      </c>
      <c r="N19" s="50">
        <v>25.2</v>
      </c>
      <c r="O19" s="50">
        <v>22.5</v>
      </c>
      <c r="P19" s="50">
        <v>22.5</v>
      </c>
      <c r="Q19" s="50">
        <v>22.5</v>
      </c>
      <c r="R19" s="50">
        <v>22.5</v>
      </c>
      <c r="S19" s="50">
        <v>22.5</v>
      </c>
      <c r="T19" s="50">
        <v>22.5</v>
      </c>
      <c r="U19" s="50">
        <v>22.5</v>
      </c>
      <c r="V19" s="50">
        <v>22.5</v>
      </c>
      <c r="W19" s="50">
        <v>22.5</v>
      </c>
      <c r="X19" s="50">
        <v>22.5</v>
      </c>
      <c r="Y19" s="50">
        <v>22.5</v>
      </c>
      <c r="Z19" s="50">
        <v>22.5</v>
      </c>
      <c r="AA19" s="50">
        <v>22.5</v>
      </c>
      <c r="AB19" s="50">
        <v>22.5</v>
      </c>
      <c r="AC19" s="50">
        <v>22.5</v>
      </c>
      <c r="AD19" s="50">
        <v>22.5</v>
      </c>
      <c r="AE19" s="50">
        <v>22.5</v>
      </c>
      <c r="AF19" s="50">
        <v>22.5</v>
      </c>
      <c r="AG19" s="61">
        <v>30</v>
      </c>
      <c r="AH19" s="56">
        <f t="shared" si="2"/>
        <v>25.2</v>
      </c>
      <c r="AI19" s="57">
        <f t="shared" si="3"/>
        <v>20.5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22</v>
      </c>
      <c r="C23" s="49">
        <v>22</v>
      </c>
      <c r="D23" s="49">
        <v>22</v>
      </c>
      <c r="E23" s="49">
        <v>22</v>
      </c>
      <c r="F23" s="49">
        <v>22</v>
      </c>
      <c r="G23" s="49">
        <v>22</v>
      </c>
      <c r="H23" s="49">
        <v>22</v>
      </c>
      <c r="I23" s="49">
        <v>22</v>
      </c>
      <c r="J23" s="49">
        <v>22</v>
      </c>
      <c r="K23" s="49">
        <v>22</v>
      </c>
      <c r="L23" s="50">
        <v>22</v>
      </c>
      <c r="M23" s="50">
        <v>22</v>
      </c>
      <c r="N23" s="50">
        <v>22</v>
      </c>
      <c r="O23" s="50">
        <v>22</v>
      </c>
      <c r="P23" s="50">
        <v>22</v>
      </c>
      <c r="Q23" s="50">
        <v>0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50">
        <v>16</v>
      </c>
      <c r="AF23" s="50">
        <v>16</v>
      </c>
      <c r="AG23" s="61">
        <v>25</v>
      </c>
      <c r="AH23" s="56">
        <f t="shared" si="2"/>
        <v>22</v>
      </c>
      <c r="AI23" s="57">
        <f t="shared" si="3"/>
        <v>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22</v>
      </c>
      <c r="C24" s="49">
        <v>22</v>
      </c>
      <c r="D24" s="49">
        <v>22</v>
      </c>
      <c r="E24" s="49">
        <v>22</v>
      </c>
      <c r="F24" s="49">
        <v>22</v>
      </c>
      <c r="G24" s="49">
        <v>22</v>
      </c>
      <c r="H24" s="49">
        <v>22</v>
      </c>
      <c r="I24" s="49">
        <v>22</v>
      </c>
      <c r="J24" s="49">
        <v>22</v>
      </c>
      <c r="K24" s="49">
        <v>22</v>
      </c>
      <c r="L24" s="50">
        <v>20</v>
      </c>
      <c r="M24" s="50">
        <v>20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20</v>
      </c>
      <c r="AE24" s="50">
        <v>20</v>
      </c>
      <c r="AF24" s="50">
        <v>20</v>
      </c>
      <c r="AG24" s="61">
        <v>25</v>
      </c>
      <c r="AH24" s="56">
        <f t="shared" si="2"/>
        <v>22</v>
      </c>
      <c r="AI24" s="57">
        <f t="shared" si="3"/>
        <v>20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22</v>
      </c>
      <c r="C25" s="49">
        <v>22</v>
      </c>
      <c r="D25" s="49">
        <v>22</v>
      </c>
      <c r="E25" s="49">
        <v>22</v>
      </c>
      <c r="F25" s="49">
        <v>22</v>
      </c>
      <c r="G25" s="49">
        <v>22</v>
      </c>
      <c r="H25" s="49">
        <v>22</v>
      </c>
      <c r="I25" s="49">
        <v>22</v>
      </c>
      <c r="J25" s="49">
        <v>22</v>
      </c>
      <c r="K25" s="49">
        <v>22</v>
      </c>
      <c r="L25" s="50">
        <v>22</v>
      </c>
      <c r="M25" s="50">
        <v>22</v>
      </c>
      <c r="N25" s="50">
        <v>22</v>
      </c>
      <c r="O25" s="50">
        <v>22</v>
      </c>
      <c r="P25" s="50">
        <v>22</v>
      </c>
      <c r="Q25" s="50">
        <v>22</v>
      </c>
      <c r="R25" s="50">
        <v>22</v>
      </c>
      <c r="S25" s="50">
        <v>22</v>
      </c>
      <c r="T25" s="50">
        <v>22</v>
      </c>
      <c r="U25" s="50">
        <v>22</v>
      </c>
      <c r="V25" s="50">
        <v>22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22</v>
      </c>
      <c r="AE25" s="50">
        <v>22</v>
      </c>
      <c r="AF25" s="50">
        <v>22</v>
      </c>
      <c r="AG25" s="61">
        <v>24.2</v>
      </c>
      <c r="AH25" s="56">
        <f t="shared" si="2"/>
        <v>22</v>
      </c>
      <c r="AI25" s="57">
        <f t="shared" si="3"/>
        <v>22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4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14.9</v>
      </c>
      <c r="C27" s="49">
        <v>14.9</v>
      </c>
      <c r="D27" s="49">
        <v>14.9</v>
      </c>
      <c r="E27" s="49">
        <v>14.9</v>
      </c>
      <c r="F27" s="49">
        <v>14.9</v>
      </c>
      <c r="G27" s="49">
        <v>14.9</v>
      </c>
      <c r="H27" s="49">
        <v>14.9</v>
      </c>
      <c r="I27" s="49">
        <v>14.9</v>
      </c>
      <c r="J27" s="49">
        <v>14.9</v>
      </c>
      <c r="K27" s="49">
        <v>14.9</v>
      </c>
      <c r="L27" s="50">
        <v>14.9</v>
      </c>
      <c r="M27" s="50">
        <v>14.9</v>
      </c>
      <c r="N27" s="50">
        <v>14.9</v>
      </c>
      <c r="O27" s="50">
        <v>14.9</v>
      </c>
      <c r="P27" s="50">
        <v>14.9</v>
      </c>
      <c r="Q27" s="50">
        <v>14.9</v>
      </c>
      <c r="R27" s="50">
        <v>14.9</v>
      </c>
      <c r="S27" s="50">
        <v>14.9</v>
      </c>
      <c r="T27" s="50">
        <v>14.9</v>
      </c>
      <c r="U27" s="50">
        <v>14.9</v>
      </c>
      <c r="V27" s="50">
        <v>14.9</v>
      </c>
      <c r="W27" s="50">
        <v>14.9</v>
      </c>
      <c r="X27" s="50">
        <v>14.9</v>
      </c>
      <c r="Y27" s="50">
        <v>14.9</v>
      </c>
      <c r="Z27" s="50">
        <v>14.9</v>
      </c>
      <c r="AA27" s="50">
        <v>14.9</v>
      </c>
      <c r="AB27" s="50">
        <v>14.9</v>
      </c>
      <c r="AC27" s="50">
        <v>14.9</v>
      </c>
      <c r="AD27" s="50">
        <v>14.9</v>
      </c>
      <c r="AE27" s="50">
        <v>14.9</v>
      </c>
      <c r="AF27" s="50">
        <v>14.9</v>
      </c>
      <c r="AG27" s="61">
        <v>23.5</v>
      </c>
      <c r="AH27" s="56">
        <f t="shared" si="2"/>
        <v>14.9</v>
      </c>
      <c r="AI27" s="57">
        <f t="shared" si="3"/>
        <v>14.9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10</v>
      </c>
      <c r="C28" s="49">
        <v>10</v>
      </c>
      <c r="D28" s="49">
        <v>10</v>
      </c>
      <c r="E28" s="49">
        <v>10</v>
      </c>
      <c r="F28" s="49">
        <v>10</v>
      </c>
      <c r="G28" s="49">
        <v>10</v>
      </c>
      <c r="H28" s="49">
        <v>10</v>
      </c>
      <c r="I28" s="49">
        <v>10</v>
      </c>
      <c r="J28" s="49">
        <v>10</v>
      </c>
      <c r="K28" s="49">
        <v>10</v>
      </c>
      <c r="L28" s="50">
        <v>10</v>
      </c>
      <c r="M28" s="50">
        <v>10</v>
      </c>
      <c r="N28" s="50">
        <v>10</v>
      </c>
      <c r="O28" s="50">
        <v>10</v>
      </c>
      <c r="P28" s="50">
        <v>10</v>
      </c>
      <c r="Q28" s="50">
        <v>10</v>
      </c>
      <c r="R28" s="50">
        <v>10</v>
      </c>
      <c r="S28" s="50">
        <v>10</v>
      </c>
      <c r="T28" s="50">
        <v>10</v>
      </c>
      <c r="U28" s="50">
        <v>10</v>
      </c>
      <c r="V28" s="50">
        <v>10</v>
      </c>
      <c r="W28" s="50">
        <v>10</v>
      </c>
      <c r="X28" s="50">
        <v>10</v>
      </c>
      <c r="Y28" s="50">
        <v>10</v>
      </c>
      <c r="Z28" s="50">
        <v>10</v>
      </c>
      <c r="AA28" s="50">
        <v>10</v>
      </c>
      <c r="AB28" s="50">
        <v>10</v>
      </c>
      <c r="AC28" s="50">
        <v>10</v>
      </c>
      <c r="AD28" s="50">
        <v>10</v>
      </c>
      <c r="AE28" s="50">
        <v>10</v>
      </c>
      <c r="AF28" s="50">
        <v>10</v>
      </c>
      <c r="AG28" s="61">
        <v>22.2</v>
      </c>
      <c r="AH28" s="56">
        <f t="shared" si="2"/>
        <v>10</v>
      </c>
      <c r="AI28" s="57">
        <f t="shared" si="3"/>
        <v>10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9.1999999999999993</v>
      </c>
      <c r="C33" s="63">
        <v>9.1999999999999993</v>
      </c>
      <c r="D33" s="63">
        <v>9.1999999999999993</v>
      </c>
      <c r="E33" s="63">
        <v>9.1999999999999993</v>
      </c>
      <c r="F33" s="63">
        <v>9.1999999999999993</v>
      </c>
      <c r="G33" s="63">
        <v>9.1999999999999993</v>
      </c>
      <c r="H33" s="63">
        <v>9.1999999999999993</v>
      </c>
      <c r="I33" s="63">
        <v>9.1999999999999993</v>
      </c>
      <c r="J33" s="63">
        <v>9.1999999999999993</v>
      </c>
      <c r="K33" s="63">
        <v>9.1999999999999993</v>
      </c>
      <c r="L33" s="50">
        <v>9.1999999999999993</v>
      </c>
      <c r="M33" s="50">
        <v>9.1999999999999993</v>
      </c>
      <c r="N33" s="50">
        <v>9.1999999999999993</v>
      </c>
      <c r="O33" s="50">
        <v>9.1999999999999993</v>
      </c>
      <c r="P33" s="50">
        <v>9.1999999999999993</v>
      </c>
      <c r="Q33" s="50">
        <v>9.1999999999999993</v>
      </c>
      <c r="R33" s="50">
        <v>9.1999999999999993</v>
      </c>
      <c r="S33" s="50">
        <v>9.1999999999999993</v>
      </c>
      <c r="T33" s="50">
        <v>9.1999999999999993</v>
      </c>
      <c r="U33" s="50">
        <v>9.1999999999999993</v>
      </c>
      <c r="V33" s="50">
        <v>9.1999999999999993</v>
      </c>
      <c r="W33" s="50">
        <v>9.1999999999999993</v>
      </c>
      <c r="X33" s="50">
        <v>9.1999999999999993</v>
      </c>
      <c r="Y33" s="50">
        <v>9.1999999999999993</v>
      </c>
      <c r="Z33" s="50">
        <v>9.1999999999999993</v>
      </c>
      <c r="AA33" s="50">
        <v>9.1999999999999993</v>
      </c>
      <c r="AB33" s="50">
        <v>9.1999999999999993</v>
      </c>
      <c r="AC33" s="50">
        <v>9.1999999999999993</v>
      </c>
      <c r="AD33" s="50">
        <v>9.1999999999999993</v>
      </c>
      <c r="AE33" s="50">
        <v>9.1999999999999993</v>
      </c>
      <c r="AF33" s="50">
        <v>9.1999999999999993</v>
      </c>
      <c r="AG33" s="69">
        <v>20</v>
      </c>
      <c r="AH33" s="56">
        <f t="shared" si="2"/>
        <v>9.1999999999999993</v>
      </c>
      <c r="AI33" s="57">
        <f t="shared" si="3"/>
        <v>9.1999999999999993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63">
        <v>125.6</v>
      </c>
      <c r="C36" s="63">
        <v>125.6</v>
      </c>
      <c r="D36" s="63">
        <f>63.5+62.1</f>
        <v>125.6</v>
      </c>
      <c r="E36" s="63">
        <f>63.5+62.1</f>
        <v>125.6</v>
      </c>
      <c r="F36" s="63">
        <f>62.4+61.7</f>
        <v>124.1</v>
      </c>
      <c r="G36" s="63">
        <f>62.1+61.5</f>
        <v>123.6</v>
      </c>
      <c r="H36" s="63">
        <f>62.1+61.3</f>
        <v>123.4</v>
      </c>
      <c r="I36" s="63">
        <f>62.4+61.3</f>
        <v>123.69999999999999</v>
      </c>
      <c r="J36" s="63">
        <f>62.6+61</f>
        <v>123.6</v>
      </c>
      <c r="K36" s="63">
        <f>61.8+61.9</f>
        <v>123.69999999999999</v>
      </c>
      <c r="L36" s="72">
        <v>123</v>
      </c>
      <c r="M36" s="72">
        <f>62+62.6</f>
        <v>124.6</v>
      </c>
      <c r="N36" s="72">
        <f>61.8+62.6</f>
        <v>124.4</v>
      </c>
      <c r="O36" s="72">
        <f>62+62.7</f>
        <v>124.7</v>
      </c>
      <c r="P36" s="72">
        <v>126</v>
      </c>
      <c r="Q36" s="72">
        <f>48.3+63.5</f>
        <v>111.8</v>
      </c>
      <c r="R36" s="72">
        <f>63.3+62.5</f>
        <v>125.8</v>
      </c>
      <c r="S36" s="72">
        <f>62.1+63.7</f>
        <v>125.80000000000001</v>
      </c>
      <c r="T36" s="72">
        <f>55.5+62.1</f>
        <v>117.6</v>
      </c>
      <c r="U36" s="72">
        <f>62+61.4</f>
        <v>123.4</v>
      </c>
      <c r="V36" s="72">
        <f>61+60.7</f>
        <v>121.7</v>
      </c>
      <c r="W36" s="72">
        <v>95.1</v>
      </c>
      <c r="X36" s="72">
        <v>120</v>
      </c>
      <c r="Y36" s="72">
        <v>120</v>
      </c>
      <c r="Z36" s="72">
        <v>120</v>
      </c>
      <c r="AA36" s="72">
        <f>61.2+60.9</f>
        <v>122.1</v>
      </c>
      <c r="AB36" s="72">
        <f>61.8+61.3</f>
        <v>123.1</v>
      </c>
      <c r="AC36" s="72">
        <f>61.7+62.4</f>
        <v>124.1</v>
      </c>
      <c r="AD36" s="72">
        <f>62+63</f>
        <v>125</v>
      </c>
      <c r="AE36" s="72">
        <f>62.4+63.3</f>
        <v>125.69999999999999</v>
      </c>
      <c r="AF36" s="72">
        <f>62.5+63.4</f>
        <v>125.9</v>
      </c>
      <c r="AG36" s="69">
        <v>240</v>
      </c>
      <c r="AH36" s="56">
        <f t="shared" si="2"/>
        <v>126</v>
      </c>
      <c r="AI36" s="57">
        <f t="shared" si="3"/>
        <v>95.1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641.79999999999995</v>
      </c>
      <c r="C37" s="74">
        <f t="shared" si="4"/>
        <v>641.79999999999995</v>
      </c>
      <c r="D37" s="74">
        <f t="shared" si="4"/>
        <v>634.79999999999995</v>
      </c>
      <c r="E37" s="74">
        <f t="shared" si="4"/>
        <v>644.79999999999995</v>
      </c>
      <c r="F37" s="74">
        <f t="shared" si="4"/>
        <v>664.8</v>
      </c>
      <c r="G37" s="74">
        <f t="shared" si="4"/>
        <v>684.8</v>
      </c>
      <c r="H37" s="74">
        <f t="shared" si="4"/>
        <v>674.8</v>
      </c>
      <c r="I37" s="74">
        <f t="shared" si="4"/>
        <v>719.5</v>
      </c>
      <c r="J37" s="74">
        <f t="shared" si="4"/>
        <v>739.6</v>
      </c>
      <c r="K37" s="74">
        <f t="shared" si="4"/>
        <v>752.6</v>
      </c>
      <c r="L37" s="74">
        <f t="shared" si="4"/>
        <v>760.6</v>
      </c>
      <c r="M37" s="74">
        <f t="shared" si="4"/>
        <v>735.5</v>
      </c>
      <c r="N37" s="74">
        <f t="shared" si="4"/>
        <v>712.69999999999993</v>
      </c>
      <c r="O37" s="74">
        <f t="shared" si="4"/>
        <v>729</v>
      </c>
      <c r="P37" s="74">
        <f t="shared" si="4"/>
        <v>729.19999999999993</v>
      </c>
      <c r="Q37" s="74">
        <f t="shared" si="4"/>
        <v>687.19999999999993</v>
      </c>
      <c r="R37" s="74">
        <f t="shared" si="4"/>
        <v>703.19999999999993</v>
      </c>
      <c r="S37" s="74">
        <f t="shared" si="4"/>
        <v>694.5</v>
      </c>
      <c r="T37" s="74">
        <f t="shared" si="4"/>
        <v>693.19999999999993</v>
      </c>
      <c r="U37" s="74">
        <f t="shared" si="4"/>
        <v>733.19999999999993</v>
      </c>
      <c r="V37" s="74">
        <f t="shared" si="4"/>
        <v>834.19999999999993</v>
      </c>
      <c r="W37" s="74">
        <f t="shared" si="4"/>
        <v>963.2</v>
      </c>
      <c r="X37" s="74">
        <f t="shared" si="4"/>
        <v>883.2</v>
      </c>
      <c r="Y37" s="74">
        <f t="shared" si="4"/>
        <v>853.19999999999993</v>
      </c>
      <c r="Z37" s="74">
        <f t="shared" si="4"/>
        <v>833.19999999999993</v>
      </c>
      <c r="AA37" s="74">
        <f t="shared" si="4"/>
        <v>807.19999999999993</v>
      </c>
      <c r="AB37" s="74">
        <f t="shared" si="4"/>
        <v>767.2</v>
      </c>
      <c r="AC37" s="74">
        <f t="shared" si="4"/>
        <v>747.2</v>
      </c>
      <c r="AD37" s="74">
        <f t="shared" si="4"/>
        <v>682.19999999999993</v>
      </c>
      <c r="AE37" s="74">
        <f t="shared" si="4"/>
        <v>632.19999999999993</v>
      </c>
      <c r="AF37" s="74">
        <f t="shared" si="4"/>
        <v>632.19999999999993</v>
      </c>
      <c r="AG37" s="69">
        <f>SUM(AG11:AG36)</f>
        <v>1481.8299999999997</v>
      </c>
      <c r="AH37" s="56">
        <f t="shared" si="2"/>
        <v>963.2</v>
      </c>
      <c r="AI37" s="57">
        <f t="shared" si="3"/>
        <v>632.19999999999993</v>
      </c>
      <c r="AK37" s="58"/>
    </row>
    <row r="38" spans="1:88" x14ac:dyDescent="0.25">
      <c r="A38" s="59" t="s">
        <v>45</v>
      </c>
      <c r="B38" s="63">
        <v>36.1</v>
      </c>
      <c r="C38" s="63">
        <v>31</v>
      </c>
      <c r="D38" s="63">
        <v>30.4</v>
      </c>
      <c r="E38" s="63">
        <v>30</v>
      </c>
      <c r="F38" s="63">
        <v>30.3</v>
      </c>
      <c r="G38" s="63">
        <v>48.5</v>
      </c>
      <c r="H38" s="63">
        <v>61.1</v>
      </c>
      <c r="I38" s="63">
        <v>71.099999999999994</v>
      </c>
      <c r="J38" s="63">
        <v>81.3</v>
      </c>
      <c r="K38" s="63">
        <v>102</v>
      </c>
      <c r="L38" s="50">
        <v>101.5</v>
      </c>
      <c r="M38" s="50">
        <v>101.5</v>
      </c>
      <c r="N38" s="50">
        <v>111.6</v>
      </c>
      <c r="O38" s="50">
        <v>97.2</v>
      </c>
      <c r="P38" s="50">
        <v>81.099999999999994</v>
      </c>
      <c r="Q38" s="50">
        <v>81</v>
      </c>
      <c r="R38" s="50">
        <v>81.099999999999994</v>
      </c>
      <c r="S38" s="50">
        <v>80.5</v>
      </c>
      <c r="T38" s="50">
        <v>91.2</v>
      </c>
      <c r="U38" s="50">
        <v>123</v>
      </c>
      <c r="V38" s="50">
        <v>146</v>
      </c>
      <c r="W38" s="50">
        <v>145.69999999999999</v>
      </c>
      <c r="X38" s="50">
        <v>145.69999999999999</v>
      </c>
      <c r="Y38" s="50">
        <v>145.69999999999999</v>
      </c>
      <c r="Z38" s="50">
        <v>145</v>
      </c>
      <c r="AA38" s="50">
        <v>46.6</v>
      </c>
      <c r="AB38" s="50">
        <v>61</v>
      </c>
      <c r="AC38" s="50">
        <v>60.8</v>
      </c>
      <c r="AD38" s="50">
        <v>51.3</v>
      </c>
      <c r="AE38" s="50">
        <v>46</v>
      </c>
      <c r="AF38" s="50">
        <v>45.5</v>
      </c>
      <c r="AG38" s="64">
        <v>144</v>
      </c>
      <c r="AH38" s="56">
        <f t="shared" si="2"/>
        <v>146</v>
      </c>
      <c r="AI38" s="57">
        <f t="shared" si="3"/>
        <v>30</v>
      </c>
      <c r="AK38" s="58"/>
    </row>
    <row r="39" spans="1:88" x14ac:dyDescent="0.25">
      <c r="A39" s="68" t="s">
        <v>46</v>
      </c>
      <c r="B39" s="63">
        <v>27.2</v>
      </c>
      <c r="C39" s="63">
        <v>25.6</v>
      </c>
      <c r="D39" s="63">
        <v>23</v>
      </c>
      <c r="E39" s="63">
        <v>23.4</v>
      </c>
      <c r="F39" s="63">
        <v>23.6</v>
      </c>
      <c r="G39" s="63">
        <v>23</v>
      </c>
      <c r="H39" s="63">
        <v>46.8</v>
      </c>
      <c r="I39" s="63">
        <v>48.2</v>
      </c>
      <c r="J39" s="63">
        <v>48.2</v>
      </c>
      <c r="K39" s="63">
        <v>62</v>
      </c>
      <c r="L39" s="52">
        <v>62.4</v>
      </c>
      <c r="M39" s="52">
        <v>62.4</v>
      </c>
      <c r="N39" s="52">
        <v>63.8</v>
      </c>
      <c r="O39" s="52">
        <v>49.9</v>
      </c>
      <c r="P39" s="52">
        <v>50</v>
      </c>
      <c r="Q39" s="52">
        <v>50</v>
      </c>
      <c r="R39" s="52">
        <v>50</v>
      </c>
      <c r="S39" s="52">
        <v>52.3</v>
      </c>
      <c r="T39" s="52">
        <v>59.4</v>
      </c>
      <c r="U39" s="52">
        <v>69.2</v>
      </c>
      <c r="V39" s="52">
        <v>72</v>
      </c>
      <c r="W39" s="52">
        <v>73.2</v>
      </c>
      <c r="X39" s="52">
        <v>73.2</v>
      </c>
      <c r="Y39" s="52">
        <v>73.2</v>
      </c>
      <c r="Z39" s="52">
        <v>60</v>
      </c>
      <c r="AA39" s="52">
        <v>60</v>
      </c>
      <c r="AB39" s="52">
        <v>49.1</v>
      </c>
      <c r="AC39" s="52">
        <v>51.2</v>
      </c>
      <c r="AD39" s="52">
        <v>50.3</v>
      </c>
      <c r="AE39" s="52">
        <v>43.2</v>
      </c>
      <c r="AF39" s="52">
        <v>29.7</v>
      </c>
      <c r="AG39" s="69">
        <v>70</v>
      </c>
      <c r="AH39" s="56">
        <f t="shared" si="2"/>
        <v>73.2</v>
      </c>
      <c r="AI39" s="57">
        <f t="shared" si="3"/>
        <v>23</v>
      </c>
      <c r="AK39" s="58"/>
    </row>
    <row r="40" spans="1:88" x14ac:dyDescent="0.25">
      <c r="A40" s="68" t="s">
        <v>47</v>
      </c>
      <c r="B40" s="63">
        <v>19.7</v>
      </c>
      <c r="C40" s="63">
        <v>17.2</v>
      </c>
      <c r="D40" s="63">
        <v>0</v>
      </c>
      <c r="E40" s="63">
        <v>0</v>
      </c>
      <c r="F40" s="63">
        <v>37.299999999999997</v>
      </c>
      <c r="G40" s="63">
        <v>36.9</v>
      </c>
      <c r="H40" s="63">
        <v>37</v>
      </c>
      <c r="I40" s="63">
        <v>45.8</v>
      </c>
      <c r="J40" s="63">
        <v>56.7</v>
      </c>
      <c r="K40" s="63">
        <v>67.2</v>
      </c>
      <c r="L40" s="52">
        <v>67.3</v>
      </c>
      <c r="M40" s="52">
        <v>67.3</v>
      </c>
      <c r="N40" s="52">
        <v>54.9</v>
      </c>
      <c r="O40" s="52">
        <v>53.6</v>
      </c>
      <c r="P40" s="52">
        <v>52.7</v>
      </c>
      <c r="Q40" s="52">
        <v>32.799999999999997</v>
      </c>
      <c r="R40" s="52">
        <v>40.6</v>
      </c>
      <c r="S40" s="52">
        <v>47.5</v>
      </c>
      <c r="T40" s="52">
        <v>46.5</v>
      </c>
      <c r="U40" s="52">
        <v>69.3</v>
      </c>
      <c r="V40" s="52">
        <v>69</v>
      </c>
      <c r="W40" s="52">
        <v>69.8</v>
      </c>
      <c r="X40" s="52">
        <v>69.8</v>
      </c>
      <c r="Y40" s="52">
        <v>69.8</v>
      </c>
      <c r="Z40" s="52">
        <v>60</v>
      </c>
      <c r="AA40" s="52">
        <v>60</v>
      </c>
      <c r="AB40" s="52">
        <v>55.4</v>
      </c>
      <c r="AC40" s="52">
        <v>54.7</v>
      </c>
      <c r="AD40" s="52">
        <v>53.7</v>
      </c>
      <c r="AE40" s="52">
        <v>38.799999999999997</v>
      </c>
      <c r="AF40" s="52">
        <v>37.6</v>
      </c>
      <c r="AG40" s="69">
        <v>69</v>
      </c>
      <c r="AH40" s="56">
        <f t="shared" si="2"/>
        <v>69.8</v>
      </c>
      <c r="AI40" s="57">
        <f t="shared" si="3"/>
        <v>0</v>
      </c>
      <c r="AK40" s="58"/>
    </row>
    <row r="41" spans="1:88" x14ac:dyDescent="0.25">
      <c r="A41" s="68" t="s">
        <v>48</v>
      </c>
      <c r="B41" s="63">
        <v>12.1</v>
      </c>
      <c r="C41" s="63">
        <v>10.1</v>
      </c>
      <c r="D41" s="63">
        <v>9.8000000000000007</v>
      </c>
      <c r="E41" s="63">
        <v>20.100000000000001</v>
      </c>
      <c r="F41" s="63">
        <v>20.7</v>
      </c>
      <c r="G41" s="63">
        <v>41.1</v>
      </c>
      <c r="H41" s="63">
        <v>41.3</v>
      </c>
      <c r="I41" s="63">
        <v>41.3</v>
      </c>
      <c r="J41" s="63">
        <v>51.4</v>
      </c>
      <c r="K41" s="63">
        <v>60.9</v>
      </c>
      <c r="L41" s="52">
        <v>61.4</v>
      </c>
      <c r="M41" s="52">
        <v>61.4</v>
      </c>
      <c r="N41" s="52">
        <v>43.9</v>
      </c>
      <c r="O41" s="52">
        <v>42.1</v>
      </c>
      <c r="P41" s="52">
        <v>42.1</v>
      </c>
      <c r="Q41" s="52">
        <v>42.6</v>
      </c>
      <c r="R41" s="52">
        <v>42.1</v>
      </c>
      <c r="S41" s="52">
        <v>52.1</v>
      </c>
      <c r="T41" s="52">
        <v>60</v>
      </c>
      <c r="U41" s="52">
        <v>60.7</v>
      </c>
      <c r="V41" s="52">
        <v>60</v>
      </c>
      <c r="W41" s="52">
        <v>60.9</v>
      </c>
      <c r="X41" s="52">
        <v>60.9</v>
      </c>
      <c r="Y41" s="52">
        <v>60.9</v>
      </c>
      <c r="Z41" s="52">
        <v>60</v>
      </c>
      <c r="AA41" s="52">
        <v>60.2</v>
      </c>
      <c r="AB41" s="52">
        <v>43.4</v>
      </c>
      <c r="AC41" s="52">
        <v>22.7</v>
      </c>
      <c r="AD41" s="52">
        <v>21</v>
      </c>
      <c r="AE41" s="52">
        <v>20</v>
      </c>
      <c r="AF41" s="52">
        <v>10.3</v>
      </c>
      <c r="AG41" s="69">
        <v>60</v>
      </c>
      <c r="AH41" s="56">
        <f t="shared" si="2"/>
        <v>61.4</v>
      </c>
      <c r="AI41" s="57">
        <f t="shared" si="3"/>
        <v>9.8000000000000007</v>
      </c>
      <c r="AK41" s="58"/>
    </row>
    <row r="42" spans="1:88" x14ac:dyDescent="0.25">
      <c r="A42" s="68" t="s">
        <v>49</v>
      </c>
      <c r="B42" s="63">
        <v>14.1</v>
      </c>
      <c r="C42" s="63">
        <v>14.1</v>
      </c>
      <c r="D42" s="63">
        <v>14.1</v>
      </c>
      <c r="E42" s="63">
        <v>14.1</v>
      </c>
      <c r="F42" s="63">
        <v>14.1</v>
      </c>
      <c r="G42" s="63">
        <v>14.1</v>
      </c>
      <c r="H42" s="63">
        <v>14.1</v>
      </c>
      <c r="I42" s="63">
        <v>14.1</v>
      </c>
      <c r="J42" s="63">
        <v>14.1</v>
      </c>
      <c r="K42" s="63">
        <v>14.1</v>
      </c>
      <c r="L42" s="50">
        <v>14</v>
      </c>
      <c r="M42" s="50">
        <v>14</v>
      </c>
      <c r="N42" s="50">
        <v>14</v>
      </c>
      <c r="O42" s="50">
        <v>15.5</v>
      </c>
      <c r="P42" s="50">
        <v>15</v>
      </c>
      <c r="Q42" s="50">
        <v>15</v>
      </c>
      <c r="R42" s="50">
        <v>15</v>
      </c>
      <c r="S42" s="50">
        <v>15</v>
      </c>
      <c r="T42" s="50">
        <v>15</v>
      </c>
      <c r="U42" s="50">
        <v>15</v>
      </c>
      <c r="V42" s="50">
        <v>29</v>
      </c>
      <c r="W42" s="50">
        <v>29</v>
      </c>
      <c r="X42" s="50">
        <v>29</v>
      </c>
      <c r="Y42" s="50">
        <v>29</v>
      </c>
      <c r="Z42" s="50">
        <v>29</v>
      </c>
      <c r="AA42" s="50">
        <v>29.3</v>
      </c>
      <c r="AB42" s="50">
        <v>29.3</v>
      </c>
      <c r="AC42" s="50">
        <v>24.3</v>
      </c>
      <c r="AD42" s="50">
        <v>24.3</v>
      </c>
      <c r="AE42" s="50">
        <v>24.3</v>
      </c>
      <c r="AF42" s="50">
        <v>24.9</v>
      </c>
      <c r="AG42" s="69">
        <v>30</v>
      </c>
      <c r="AH42" s="56">
        <f t="shared" si="2"/>
        <v>29.3</v>
      </c>
      <c r="AI42" s="57">
        <f t="shared" si="3"/>
        <v>14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75">
        <v>15</v>
      </c>
      <c r="C44" s="75">
        <v>15</v>
      </c>
      <c r="D44" s="75">
        <v>15</v>
      </c>
      <c r="E44" s="75">
        <v>15</v>
      </c>
      <c r="F44" s="75">
        <v>15</v>
      </c>
      <c r="G44" s="75">
        <v>15</v>
      </c>
      <c r="H44" s="75">
        <v>15</v>
      </c>
      <c r="I44" s="75">
        <v>15</v>
      </c>
      <c r="J44" s="75">
        <v>15</v>
      </c>
      <c r="K44" s="75">
        <v>15</v>
      </c>
      <c r="L44" s="50">
        <v>15</v>
      </c>
      <c r="M44" s="50">
        <v>15</v>
      </c>
      <c r="N44" s="50">
        <v>15</v>
      </c>
      <c r="O44" s="50">
        <v>15</v>
      </c>
      <c r="P44" s="50">
        <v>15</v>
      </c>
      <c r="Q44" s="50">
        <v>15</v>
      </c>
      <c r="R44" s="50">
        <v>15</v>
      </c>
      <c r="S44" s="50">
        <v>15</v>
      </c>
      <c r="T44" s="50">
        <v>15</v>
      </c>
      <c r="U44" s="50">
        <v>15</v>
      </c>
      <c r="V44" s="50">
        <v>18</v>
      </c>
      <c r="W44" s="50">
        <v>18</v>
      </c>
      <c r="X44" s="50">
        <v>18</v>
      </c>
      <c r="Y44" s="50">
        <v>18</v>
      </c>
      <c r="Z44" s="50">
        <v>18</v>
      </c>
      <c r="AA44" s="50">
        <v>18</v>
      </c>
      <c r="AB44" s="50">
        <v>18</v>
      </c>
      <c r="AC44" s="50">
        <v>18</v>
      </c>
      <c r="AD44" s="50">
        <v>18</v>
      </c>
      <c r="AE44" s="50">
        <v>18</v>
      </c>
      <c r="AF44" s="50">
        <v>18</v>
      </c>
      <c r="AG44" s="69">
        <v>24</v>
      </c>
      <c r="AH44" s="56">
        <f t="shared" si="2"/>
        <v>18</v>
      </c>
      <c r="AI44" s="57">
        <f t="shared" si="3"/>
        <v>15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12</v>
      </c>
      <c r="C46" s="63">
        <v>12</v>
      </c>
      <c r="D46" s="63">
        <v>12</v>
      </c>
      <c r="E46" s="63">
        <v>12</v>
      </c>
      <c r="F46" s="63">
        <v>12</v>
      </c>
      <c r="G46" s="63">
        <v>12</v>
      </c>
      <c r="H46" s="63">
        <v>12</v>
      </c>
      <c r="I46" s="63">
        <v>12</v>
      </c>
      <c r="J46" s="63">
        <v>12</v>
      </c>
      <c r="K46" s="63">
        <v>12</v>
      </c>
      <c r="L46" s="50">
        <v>12</v>
      </c>
      <c r="M46" s="50">
        <v>12</v>
      </c>
      <c r="N46" s="50">
        <v>12</v>
      </c>
      <c r="O46" s="50">
        <v>12</v>
      </c>
      <c r="P46" s="50">
        <v>12</v>
      </c>
      <c r="Q46" s="50">
        <v>12</v>
      </c>
      <c r="R46" s="50">
        <v>12</v>
      </c>
      <c r="S46" s="50">
        <v>12</v>
      </c>
      <c r="T46" s="50">
        <v>12</v>
      </c>
      <c r="U46" s="50">
        <v>12</v>
      </c>
      <c r="V46" s="50">
        <v>13</v>
      </c>
      <c r="W46" s="50">
        <v>13</v>
      </c>
      <c r="X46" s="50">
        <v>13</v>
      </c>
      <c r="Y46" s="50">
        <v>13</v>
      </c>
      <c r="Z46" s="50">
        <v>13</v>
      </c>
      <c r="AA46" s="50">
        <v>13</v>
      </c>
      <c r="AB46" s="50">
        <v>13</v>
      </c>
      <c r="AC46" s="50">
        <v>13</v>
      </c>
      <c r="AD46" s="50">
        <v>13</v>
      </c>
      <c r="AE46" s="50">
        <v>13</v>
      </c>
      <c r="AF46" s="50">
        <v>13</v>
      </c>
      <c r="AG46" s="69">
        <v>14.1</v>
      </c>
      <c r="AH46" s="56">
        <f t="shared" si="2"/>
        <v>13</v>
      </c>
      <c r="AI46" s="57">
        <f t="shared" si="3"/>
        <v>12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75">
        <v>14</v>
      </c>
      <c r="C47" s="75">
        <v>14</v>
      </c>
      <c r="D47" s="75">
        <v>7</v>
      </c>
      <c r="E47" s="75">
        <v>7</v>
      </c>
      <c r="F47" s="75">
        <v>7</v>
      </c>
      <c r="G47" s="75">
        <v>7</v>
      </c>
      <c r="H47" s="75">
        <v>7</v>
      </c>
      <c r="I47" s="75">
        <v>7</v>
      </c>
      <c r="J47" s="75">
        <v>7</v>
      </c>
      <c r="K47" s="75">
        <v>7</v>
      </c>
      <c r="L47" s="50">
        <v>7</v>
      </c>
      <c r="M47" s="50">
        <v>7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14</v>
      </c>
      <c r="AG47" s="69">
        <v>14</v>
      </c>
      <c r="AH47" s="56">
        <f t="shared" si="2"/>
        <v>14</v>
      </c>
      <c r="AI47" s="57">
        <f t="shared" si="3"/>
        <v>7</v>
      </c>
      <c r="AK47" s="58"/>
    </row>
    <row r="48" spans="1:88" x14ac:dyDescent="0.25">
      <c r="A48" s="68" t="s">
        <v>55</v>
      </c>
      <c r="B48" s="63">
        <v>9.6</v>
      </c>
      <c r="C48" s="63">
        <v>9.6</v>
      </c>
      <c r="D48" s="63">
        <v>9.6</v>
      </c>
      <c r="E48" s="63">
        <v>9.6</v>
      </c>
      <c r="F48" s="63">
        <v>9.6</v>
      </c>
      <c r="G48" s="63">
        <v>9.6</v>
      </c>
      <c r="H48" s="63">
        <v>9.6</v>
      </c>
      <c r="I48" s="63">
        <v>9.6</v>
      </c>
      <c r="J48" s="63">
        <v>9.6</v>
      </c>
      <c r="K48" s="63">
        <v>9.6</v>
      </c>
      <c r="L48" s="50">
        <v>9.6</v>
      </c>
      <c r="M48" s="50">
        <v>9.6</v>
      </c>
      <c r="N48" s="50">
        <v>9.6</v>
      </c>
      <c r="O48" s="50">
        <v>9.6</v>
      </c>
      <c r="P48" s="50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0">
        <v>9.6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50">
        <v>9.6</v>
      </c>
      <c r="AF48" s="50">
        <v>9.6</v>
      </c>
      <c r="AG48" s="69">
        <v>10.050000000000001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169.53999999999996</v>
      </c>
      <c r="C51" s="74">
        <f t="shared" si="6"/>
        <v>158.33999999999997</v>
      </c>
      <c r="D51" s="74">
        <f t="shared" si="6"/>
        <v>130.63999999999999</v>
      </c>
      <c r="E51" s="74">
        <f t="shared" si="6"/>
        <v>140.93999999999997</v>
      </c>
      <c r="F51" s="74">
        <f t="shared" si="6"/>
        <v>179.33999999999997</v>
      </c>
      <c r="G51" s="74">
        <f t="shared" si="6"/>
        <v>216.93999999999997</v>
      </c>
      <c r="H51" s="74">
        <f t="shared" si="6"/>
        <v>253.63999999999996</v>
      </c>
      <c r="I51" s="74">
        <f t="shared" si="6"/>
        <v>273.83999999999997</v>
      </c>
      <c r="J51" s="74">
        <f t="shared" si="6"/>
        <v>305.04000000000002</v>
      </c>
      <c r="K51" s="74">
        <f t="shared" si="6"/>
        <v>359.54</v>
      </c>
      <c r="L51" s="74">
        <f t="shared" si="6"/>
        <v>359.94</v>
      </c>
      <c r="M51" s="74">
        <f t="shared" si="6"/>
        <v>359.94</v>
      </c>
      <c r="N51" s="74">
        <f t="shared" si="6"/>
        <v>344.54</v>
      </c>
      <c r="O51" s="74">
        <f t="shared" si="6"/>
        <v>314.64</v>
      </c>
      <c r="P51" s="74">
        <f t="shared" si="6"/>
        <v>297.24</v>
      </c>
      <c r="Q51" s="74">
        <f t="shared" si="6"/>
        <v>277.74</v>
      </c>
      <c r="R51" s="74">
        <f t="shared" si="6"/>
        <v>285.14</v>
      </c>
      <c r="S51" s="74">
        <f t="shared" si="6"/>
        <v>303.74</v>
      </c>
      <c r="T51" s="74">
        <f t="shared" si="6"/>
        <v>328.44000000000005</v>
      </c>
      <c r="U51" s="74">
        <f t="shared" si="6"/>
        <v>393.54</v>
      </c>
      <c r="V51" s="74">
        <f t="shared" si="6"/>
        <v>436.34000000000003</v>
      </c>
      <c r="W51" s="74">
        <f t="shared" si="6"/>
        <v>442.94</v>
      </c>
      <c r="X51" s="74">
        <f t="shared" si="6"/>
        <v>442.94</v>
      </c>
      <c r="Y51" s="74">
        <f t="shared" si="6"/>
        <v>442.94</v>
      </c>
      <c r="Z51" s="74">
        <f t="shared" si="6"/>
        <v>418.34000000000003</v>
      </c>
      <c r="AA51" s="74">
        <f t="shared" si="6"/>
        <v>320.44000000000005</v>
      </c>
      <c r="AB51" s="74">
        <f t="shared" si="6"/>
        <v>302.54000000000008</v>
      </c>
      <c r="AC51" s="74">
        <f t="shared" si="6"/>
        <v>278.04000000000002</v>
      </c>
      <c r="AD51" s="74">
        <f t="shared" si="6"/>
        <v>264.94000000000005</v>
      </c>
      <c r="AE51" s="74">
        <f t="shared" si="6"/>
        <v>236.64</v>
      </c>
      <c r="AF51" s="74">
        <f t="shared" si="6"/>
        <v>212.33999999999997</v>
      </c>
      <c r="AG51" s="79">
        <f>SUM(AG38:AG50)</f>
        <v>489.91</v>
      </c>
      <c r="AH51" s="56">
        <f t="shared" si="2"/>
        <v>442.94</v>
      </c>
      <c r="AI51" s="57">
        <f t="shared" si="3"/>
        <v>130.63999999999999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14.9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14.9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7.5</v>
      </c>
      <c r="Y53" s="50">
        <v>0</v>
      </c>
      <c r="Z53" s="50">
        <v>0</v>
      </c>
      <c r="AA53" s="50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9">
        <v>32</v>
      </c>
      <c r="AH53" s="56">
        <f t="shared" si="2"/>
        <v>7.5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2.7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83">
        <v>14</v>
      </c>
      <c r="AH54" s="56">
        <f t="shared" si="2"/>
        <v>2.7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 t="shared" si="7"/>
        <v>0</v>
      </c>
      <c r="X55" s="74">
        <f t="shared" si="7"/>
        <v>25.099999999999998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25.099999999999998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-55.3</v>
      </c>
      <c r="C58" s="52">
        <v>-60.1</v>
      </c>
      <c r="D58" s="52">
        <v>-50</v>
      </c>
      <c r="E58" s="52">
        <v>-69.099999999999994</v>
      </c>
      <c r="F58" s="52">
        <v>-70</v>
      </c>
      <c r="G58" s="50">
        <v>-55</v>
      </c>
      <c r="H58" s="50">
        <v>-56.4</v>
      </c>
      <c r="I58" s="50">
        <v>-56.7</v>
      </c>
      <c r="J58" s="50">
        <v>-50</v>
      </c>
      <c r="K58" s="50">
        <v>-64.5</v>
      </c>
      <c r="L58" s="52">
        <v>-64.400000000000006</v>
      </c>
      <c r="M58" s="52">
        <v>-78</v>
      </c>
      <c r="N58" s="52">
        <v>-84</v>
      </c>
      <c r="O58" s="52">
        <v>-69.900000000000006</v>
      </c>
      <c r="P58" s="52">
        <v>-85</v>
      </c>
      <c r="Q58" s="52">
        <v>-55</v>
      </c>
      <c r="R58" s="52">
        <v>-49.6</v>
      </c>
      <c r="S58" s="52">
        <v>-64</v>
      </c>
      <c r="T58" s="52">
        <v>-57</v>
      </c>
      <c r="U58" s="52">
        <v>-74</v>
      </c>
      <c r="V58" s="52">
        <v>-56</v>
      </c>
      <c r="W58" s="52">
        <v>-49</v>
      </c>
      <c r="X58" s="52">
        <v>-64.5</v>
      </c>
      <c r="Y58" s="52">
        <v>-79</v>
      </c>
      <c r="Z58" s="52">
        <v>-77</v>
      </c>
      <c r="AA58" s="52">
        <v>-39.1</v>
      </c>
      <c r="AB58" s="52">
        <v>-51</v>
      </c>
      <c r="AC58" s="52">
        <v>-60</v>
      </c>
      <c r="AD58" s="52">
        <v>-69</v>
      </c>
      <c r="AE58" s="52">
        <v>-54</v>
      </c>
      <c r="AF58" s="52">
        <v>-57.9</v>
      </c>
      <c r="AG58" s="86"/>
      <c r="AH58" s="56">
        <f t="shared" si="2"/>
        <v>-39.1</v>
      </c>
      <c r="AI58" s="57">
        <f t="shared" si="3"/>
        <v>-85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50">
        <v>0</v>
      </c>
      <c r="O60" s="50">
        <v>0</v>
      </c>
      <c r="P60" s="50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2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62">
        <v>0</v>
      </c>
      <c r="O61" s="62">
        <v>0</v>
      </c>
      <c r="P61" s="6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2">
        <v>0</v>
      </c>
      <c r="O62" s="62">
        <v>0</v>
      </c>
      <c r="P62" s="6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5">
        <v>0</v>
      </c>
      <c r="O65" s="65">
        <v>0</v>
      </c>
      <c r="P65" s="65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5">
        <v>0</v>
      </c>
      <c r="O66" s="65">
        <v>0</v>
      </c>
      <c r="P66" s="65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2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-55.3</v>
      </c>
      <c r="C67" s="74">
        <f t="shared" ref="C67:AF67" si="8">SUM(C56:C66)</f>
        <v>-60.1</v>
      </c>
      <c r="D67" s="74">
        <f t="shared" si="8"/>
        <v>-50</v>
      </c>
      <c r="E67" s="74">
        <f t="shared" si="8"/>
        <v>-69.099999999999994</v>
      </c>
      <c r="F67" s="74">
        <f t="shared" si="8"/>
        <v>-70</v>
      </c>
      <c r="G67" s="74">
        <f t="shared" si="8"/>
        <v>-55</v>
      </c>
      <c r="H67" s="74">
        <f t="shared" si="8"/>
        <v>-56.4</v>
      </c>
      <c r="I67" s="74">
        <f t="shared" si="8"/>
        <v>-56.7</v>
      </c>
      <c r="J67" s="74">
        <f t="shared" si="8"/>
        <v>-50</v>
      </c>
      <c r="K67" s="74">
        <f t="shared" si="8"/>
        <v>-64.5</v>
      </c>
      <c r="L67" s="74">
        <f t="shared" si="8"/>
        <v>-64.400000000000006</v>
      </c>
      <c r="M67" s="74">
        <f t="shared" si="8"/>
        <v>-78</v>
      </c>
      <c r="N67" s="74">
        <f t="shared" si="8"/>
        <v>-84</v>
      </c>
      <c r="O67" s="74">
        <f t="shared" si="8"/>
        <v>-69.900000000000006</v>
      </c>
      <c r="P67" s="74">
        <f t="shared" si="8"/>
        <v>-85</v>
      </c>
      <c r="Q67" s="74">
        <f t="shared" si="8"/>
        <v>-55</v>
      </c>
      <c r="R67" s="74">
        <f t="shared" si="8"/>
        <v>-49.6</v>
      </c>
      <c r="S67" s="74">
        <f t="shared" si="8"/>
        <v>-64</v>
      </c>
      <c r="T67" s="74">
        <f t="shared" si="8"/>
        <v>-57</v>
      </c>
      <c r="U67" s="74">
        <f t="shared" si="8"/>
        <v>-74</v>
      </c>
      <c r="V67" s="74">
        <f t="shared" si="8"/>
        <v>-56</v>
      </c>
      <c r="W67" s="74">
        <f t="shared" si="8"/>
        <v>-49</v>
      </c>
      <c r="X67" s="74">
        <f t="shared" si="8"/>
        <v>-64.5</v>
      </c>
      <c r="Y67" s="74">
        <f t="shared" si="8"/>
        <v>-79</v>
      </c>
      <c r="Z67" s="74">
        <f t="shared" si="8"/>
        <v>-77</v>
      </c>
      <c r="AA67" s="74">
        <f t="shared" si="8"/>
        <v>-39.1</v>
      </c>
      <c r="AB67" s="74">
        <f t="shared" si="8"/>
        <v>-51</v>
      </c>
      <c r="AC67" s="74">
        <f t="shared" si="8"/>
        <v>-60</v>
      </c>
      <c r="AD67" s="74">
        <f t="shared" si="8"/>
        <v>-69</v>
      </c>
      <c r="AE67" s="74">
        <f t="shared" si="8"/>
        <v>-54</v>
      </c>
      <c r="AF67" s="74">
        <f t="shared" si="8"/>
        <v>-57.9</v>
      </c>
      <c r="AG67" s="79">
        <f>SUM(AG56:AG66)</f>
        <v>0</v>
      </c>
      <c r="AH67" s="56">
        <f t="shared" si="2"/>
        <v>-39.1</v>
      </c>
      <c r="AI67" s="57">
        <f t="shared" si="3"/>
        <v>-85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756.04</v>
      </c>
      <c r="C72" s="90">
        <f t="shared" ref="C72:AG72" si="10">C67+C55+C51+C37+C71</f>
        <v>740.04</v>
      </c>
      <c r="D72" s="90">
        <f t="shared" si="10"/>
        <v>715.43999999999994</v>
      </c>
      <c r="E72" s="90">
        <f t="shared" si="10"/>
        <v>716.63999999999987</v>
      </c>
      <c r="F72" s="90">
        <f t="shared" si="10"/>
        <v>774.13999999999987</v>
      </c>
      <c r="G72" s="90">
        <f t="shared" si="10"/>
        <v>846.7399999999999</v>
      </c>
      <c r="H72" s="90">
        <f t="shared" si="10"/>
        <v>872.04</v>
      </c>
      <c r="I72" s="90">
        <f t="shared" si="10"/>
        <v>936.64</v>
      </c>
      <c r="J72" s="90">
        <f t="shared" si="10"/>
        <v>994.6400000000001</v>
      </c>
      <c r="K72" s="90">
        <f t="shared" si="10"/>
        <v>1047.6400000000001</v>
      </c>
      <c r="L72" s="90">
        <f t="shared" si="10"/>
        <v>1056.1399999999999</v>
      </c>
      <c r="M72" s="90">
        <f t="shared" si="10"/>
        <v>1017.44</v>
      </c>
      <c r="N72" s="90">
        <f t="shared" si="10"/>
        <v>973.24</v>
      </c>
      <c r="O72" s="90">
        <f t="shared" si="10"/>
        <v>973.74</v>
      </c>
      <c r="P72" s="90">
        <f t="shared" si="10"/>
        <v>941.43999999999994</v>
      </c>
      <c r="Q72" s="90">
        <f t="shared" si="10"/>
        <v>909.93999999999994</v>
      </c>
      <c r="R72" s="90">
        <f t="shared" si="10"/>
        <v>938.7399999999999</v>
      </c>
      <c r="S72" s="90">
        <f t="shared" si="10"/>
        <v>934.24</v>
      </c>
      <c r="T72" s="90">
        <f t="shared" si="10"/>
        <v>964.64</v>
      </c>
      <c r="U72" s="90">
        <f t="shared" si="10"/>
        <v>1052.74</v>
      </c>
      <c r="V72" s="90">
        <f t="shared" si="10"/>
        <v>1214.54</v>
      </c>
      <c r="W72" s="90">
        <f t="shared" si="10"/>
        <v>1357.14</v>
      </c>
      <c r="X72" s="90">
        <f t="shared" si="10"/>
        <v>1286.74</v>
      </c>
      <c r="Y72" s="90">
        <f t="shared" si="10"/>
        <v>1217.1399999999999</v>
      </c>
      <c r="Z72" s="90">
        <f t="shared" si="10"/>
        <v>1174.54</v>
      </c>
      <c r="AA72" s="90">
        <f t="shared" si="10"/>
        <v>1088.54</v>
      </c>
      <c r="AB72" s="90">
        <f t="shared" si="10"/>
        <v>1018.7400000000001</v>
      </c>
      <c r="AC72" s="90">
        <f t="shared" si="10"/>
        <v>965.24</v>
      </c>
      <c r="AD72" s="90">
        <f t="shared" si="10"/>
        <v>878.14</v>
      </c>
      <c r="AE72" s="90">
        <f t="shared" si="10"/>
        <v>814.83999999999992</v>
      </c>
      <c r="AF72" s="90">
        <f t="shared" si="10"/>
        <v>786.63999999999987</v>
      </c>
      <c r="AG72" s="90">
        <f t="shared" si="10"/>
        <v>2133.14</v>
      </c>
      <c r="AH72" s="56">
        <f t="shared" si="2"/>
        <v>1357.14</v>
      </c>
      <c r="AI72" s="57">
        <f t="shared" si="3"/>
        <v>715.43999999999994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756.04</v>
      </c>
      <c r="C74" s="90">
        <f t="shared" ref="C74:AF74" si="11">C71+C67+C55+C51+C37+C73</f>
        <v>740.04</v>
      </c>
      <c r="D74" s="90">
        <f t="shared" si="11"/>
        <v>715.43999999999994</v>
      </c>
      <c r="E74" s="90">
        <f t="shared" si="11"/>
        <v>716.63999999999987</v>
      </c>
      <c r="F74" s="90">
        <f t="shared" si="11"/>
        <v>774.13999999999987</v>
      </c>
      <c r="G74" s="90">
        <f t="shared" si="11"/>
        <v>846.7399999999999</v>
      </c>
      <c r="H74" s="90">
        <f t="shared" si="11"/>
        <v>872.04</v>
      </c>
      <c r="I74" s="90">
        <f t="shared" si="11"/>
        <v>936.64</v>
      </c>
      <c r="J74" s="90">
        <f t="shared" si="11"/>
        <v>994.6400000000001</v>
      </c>
      <c r="K74" s="90">
        <f t="shared" si="11"/>
        <v>1047.6400000000001</v>
      </c>
      <c r="L74" s="90">
        <f t="shared" si="11"/>
        <v>1056.1399999999999</v>
      </c>
      <c r="M74" s="90">
        <f t="shared" si="11"/>
        <v>1017.44</v>
      </c>
      <c r="N74" s="90">
        <f t="shared" si="11"/>
        <v>973.24</v>
      </c>
      <c r="O74" s="90">
        <f t="shared" si="11"/>
        <v>973.74</v>
      </c>
      <c r="P74" s="90">
        <f t="shared" si="11"/>
        <v>941.43999999999994</v>
      </c>
      <c r="Q74" s="90">
        <f t="shared" si="11"/>
        <v>909.93999999999994</v>
      </c>
      <c r="R74" s="90">
        <f t="shared" si="11"/>
        <v>938.7399999999999</v>
      </c>
      <c r="S74" s="90">
        <f t="shared" si="11"/>
        <v>934.24</v>
      </c>
      <c r="T74" s="90">
        <f t="shared" si="11"/>
        <v>964.64</v>
      </c>
      <c r="U74" s="90">
        <f t="shared" si="11"/>
        <v>1052.74</v>
      </c>
      <c r="V74" s="90">
        <f t="shared" si="11"/>
        <v>1214.54</v>
      </c>
      <c r="W74" s="90">
        <f t="shared" si="11"/>
        <v>1357.14</v>
      </c>
      <c r="X74" s="90">
        <f t="shared" si="11"/>
        <v>1286.74</v>
      </c>
      <c r="Y74" s="90">
        <f t="shared" si="11"/>
        <v>1217.1399999999999</v>
      </c>
      <c r="Z74" s="90">
        <f t="shared" si="11"/>
        <v>1174.54</v>
      </c>
      <c r="AA74" s="90">
        <f t="shared" si="11"/>
        <v>1088.54</v>
      </c>
      <c r="AB74" s="90">
        <f t="shared" si="11"/>
        <v>1018.7400000000001</v>
      </c>
      <c r="AC74" s="90">
        <f t="shared" si="11"/>
        <v>965.24</v>
      </c>
      <c r="AD74" s="90">
        <f t="shared" si="11"/>
        <v>878.14</v>
      </c>
      <c r="AE74" s="90">
        <f t="shared" si="11"/>
        <v>814.83999999999992</v>
      </c>
      <c r="AF74" s="90">
        <f t="shared" si="11"/>
        <v>786.63999999999987</v>
      </c>
      <c r="AG74" s="79">
        <f>AG71+AG67+AG55+AG51+AG37+AG73</f>
        <v>2133.14</v>
      </c>
      <c r="AH74" s="56">
        <f t="shared" si="2"/>
        <v>1357.14</v>
      </c>
      <c r="AI74" s="57">
        <f t="shared" si="3"/>
        <v>715.43999999999994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55.3</v>
      </c>
      <c r="C78" s="60">
        <f t="shared" ref="C78:AF78" si="15">IF(C58&lt;0,C58*-1,0)</f>
        <v>60.1</v>
      </c>
      <c r="D78" s="60">
        <f t="shared" si="15"/>
        <v>50</v>
      </c>
      <c r="E78" s="60">
        <f t="shared" si="15"/>
        <v>69.099999999999994</v>
      </c>
      <c r="F78" s="60">
        <f t="shared" si="15"/>
        <v>70</v>
      </c>
      <c r="G78" s="60">
        <f t="shared" si="15"/>
        <v>55</v>
      </c>
      <c r="H78" s="60">
        <f t="shared" si="15"/>
        <v>56.4</v>
      </c>
      <c r="I78" s="60">
        <f t="shared" si="15"/>
        <v>56.7</v>
      </c>
      <c r="J78" s="60">
        <f t="shared" si="15"/>
        <v>50</v>
      </c>
      <c r="K78" s="60">
        <f t="shared" si="15"/>
        <v>64.5</v>
      </c>
      <c r="L78" s="60">
        <f t="shared" si="15"/>
        <v>64.400000000000006</v>
      </c>
      <c r="M78" s="60">
        <f t="shared" si="15"/>
        <v>78</v>
      </c>
      <c r="N78" s="60">
        <f t="shared" si="15"/>
        <v>84</v>
      </c>
      <c r="O78" s="60">
        <f t="shared" si="15"/>
        <v>69.900000000000006</v>
      </c>
      <c r="P78" s="60">
        <f t="shared" si="15"/>
        <v>85</v>
      </c>
      <c r="Q78" s="60">
        <f t="shared" si="15"/>
        <v>55</v>
      </c>
      <c r="R78" s="60">
        <f t="shared" si="15"/>
        <v>49.6</v>
      </c>
      <c r="S78" s="60">
        <f t="shared" si="15"/>
        <v>64</v>
      </c>
      <c r="T78" s="60">
        <f t="shared" si="15"/>
        <v>57</v>
      </c>
      <c r="U78" s="60">
        <f t="shared" si="15"/>
        <v>74</v>
      </c>
      <c r="V78" s="60">
        <f t="shared" si="15"/>
        <v>56</v>
      </c>
      <c r="W78" s="60">
        <f t="shared" si="15"/>
        <v>49</v>
      </c>
      <c r="X78" s="60">
        <f t="shared" si="15"/>
        <v>64.5</v>
      </c>
      <c r="Y78" s="60">
        <f t="shared" si="15"/>
        <v>79</v>
      </c>
      <c r="Z78" s="60">
        <f t="shared" si="15"/>
        <v>77</v>
      </c>
      <c r="AA78" s="60">
        <f t="shared" si="15"/>
        <v>39.1</v>
      </c>
      <c r="AB78" s="60">
        <f t="shared" si="15"/>
        <v>51</v>
      </c>
      <c r="AC78" s="60">
        <f t="shared" si="15"/>
        <v>60</v>
      </c>
      <c r="AD78" s="60">
        <f t="shared" si="15"/>
        <v>69</v>
      </c>
      <c r="AE78" s="60">
        <f t="shared" si="15"/>
        <v>54</v>
      </c>
      <c r="AF78" s="60">
        <f t="shared" si="15"/>
        <v>57.9</v>
      </c>
      <c r="AG78" s="93"/>
      <c r="AH78" s="56">
        <f t="shared" ref="AH78:AH90" si="16">MAX(B78:AF78)</f>
        <v>85</v>
      </c>
      <c r="AI78" s="57">
        <f t="shared" ref="AI78:AI90" si="17">MIN(B78:AF78)</f>
        <v>39.1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55.3</v>
      </c>
      <c r="C81" s="74">
        <f t="shared" si="19"/>
        <v>60.1</v>
      </c>
      <c r="D81" s="74">
        <f t="shared" si="19"/>
        <v>50</v>
      </c>
      <c r="E81" s="74">
        <f t="shared" si="19"/>
        <v>69.099999999999994</v>
      </c>
      <c r="F81" s="74">
        <f t="shared" si="19"/>
        <v>70</v>
      </c>
      <c r="G81" s="74">
        <f t="shared" si="19"/>
        <v>55</v>
      </c>
      <c r="H81" s="74">
        <f t="shared" si="19"/>
        <v>56.4</v>
      </c>
      <c r="I81" s="74">
        <f t="shared" si="19"/>
        <v>56.7</v>
      </c>
      <c r="J81" s="74">
        <f t="shared" si="19"/>
        <v>50</v>
      </c>
      <c r="K81" s="74">
        <f t="shared" si="19"/>
        <v>64.5</v>
      </c>
      <c r="L81" s="74">
        <f t="shared" si="19"/>
        <v>64.400000000000006</v>
      </c>
      <c r="M81" s="74">
        <f t="shared" si="19"/>
        <v>78</v>
      </c>
      <c r="N81" s="74">
        <f t="shared" si="19"/>
        <v>84</v>
      </c>
      <c r="O81" s="74">
        <f t="shared" si="19"/>
        <v>69.900000000000006</v>
      </c>
      <c r="P81" s="74">
        <f t="shared" si="19"/>
        <v>85</v>
      </c>
      <c r="Q81" s="74">
        <f t="shared" si="19"/>
        <v>55</v>
      </c>
      <c r="R81" s="74">
        <f t="shared" si="19"/>
        <v>49.6</v>
      </c>
      <c r="S81" s="74">
        <f t="shared" si="19"/>
        <v>64</v>
      </c>
      <c r="T81" s="74">
        <f t="shared" si="19"/>
        <v>57</v>
      </c>
      <c r="U81" s="74">
        <f t="shared" si="19"/>
        <v>74</v>
      </c>
      <c r="V81" s="74">
        <f t="shared" si="19"/>
        <v>56</v>
      </c>
      <c r="W81" s="74">
        <f t="shared" si="19"/>
        <v>49</v>
      </c>
      <c r="X81" s="74">
        <f t="shared" si="19"/>
        <v>64.5</v>
      </c>
      <c r="Y81" s="74">
        <f t="shared" si="19"/>
        <v>79</v>
      </c>
      <c r="Z81" s="74">
        <f t="shared" si="19"/>
        <v>77</v>
      </c>
      <c r="AA81" s="74">
        <f t="shared" si="19"/>
        <v>39.1</v>
      </c>
      <c r="AB81" s="74">
        <f t="shared" si="19"/>
        <v>51</v>
      </c>
      <c r="AC81" s="74">
        <f t="shared" si="19"/>
        <v>60</v>
      </c>
      <c r="AD81" s="74">
        <f t="shared" si="19"/>
        <v>69</v>
      </c>
      <c r="AE81" s="74">
        <f t="shared" si="19"/>
        <v>54</v>
      </c>
      <c r="AF81" s="74">
        <f t="shared" si="19"/>
        <v>57.9</v>
      </c>
      <c r="AG81" s="79">
        <f t="shared" si="19"/>
        <v>0</v>
      </c>
      <c r="AH81" s="56">
        <f t="shared" si="16"/>
        <v>85</v>
      </c>
      <c r="AI81" s="57">
        <f t="shared" si="17"/>
        <v>39.1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1622.6799999999998</v>
      </c>
      <c r="C82" s="74">
        <f t="shared" si="20"/>
        <v>1600.2799999999997</v>
      </c>
      <c r="D82" s="74">
        <f t="shared" si="20"/>
        <v>1530.8799999999999</v>
      </c>
      <c r="E82" s="74">
        <f t="shared" si="20"/>
        <v>1571.4799999999996</v>
      </c>
      <c r="F82" s="74">
        <f t="shared" si="20"/>
        <v>1688.2799999999997</v>
      </c>
      <c r="G82" s="74">
        <f t="shared" si="20"/>
        <v>1803.4799999999998</v>
      </c>
      <c r="H82" s="74">
        <f t="shared" si="20"/>
        <v>1856.88</v>
      </c>
      <c r="I82" s="74">
        <f t="shared" si="20"/>
        <v>1986.68</v>
      </c>
      <c r="J82" s="74">
        <f t="shared" si="20"/>
        <v>2089.2800000000002</v>
      </c>
      <c r="K82" s="74">
        <f t="shared" si="20"/>
        <v>2224.2800000000002</v>
      </c>
      <c r="L82" s="74">
        <f t="shared" si="20"/>
        <v>2241.08</v>
      </c>
      <c r="M82" s="74">
        <f t="shared" si="20"/>
        <v>2190.88</v>
      </c>
      <c r="N82" s="74">
        <f t="shared" si="20"/>
        <v>2114.48</v>
      </c>
      <c r="O82" s="74">
        <f t="shared" si="20"/>
        <v>2087.2800000000002</v>
      </c>
      <c r="P82" s="74">
        <f t="shared" si="20"/>
        <v>2052.88</v>
      </c>
      <c r="Q82" s="74">
        <f t="shared" si="20"/>
        <v>1929.8799999999999</v>
      </c>
      <c r="R82" s="74">
        <f t="shared" si="20"/>
        <v>1976.6799999999996</v>
      </c>
      <c r="S82" s="74">
        <f t="shared" si="20"/>
        <v>1996.48</v>
      </c>
      <c r="T82" s="74">
        <f t="shared" si="20"/>
        <v>2043.28</v>
      </c>
      <c r="U82" s="74">
        <f t="shared" si="20"/>
        <v>2253.48</v>
      </c>
      <c r="V82" s="74">
        <f t="shared" si="20"/>
        <v>2541.08</v>
      </c>
      <c r="W82" s="74">
        <f t="shared" si="20"/>
        <v>2812.28</v>
      </c>
      <c r="X82" s="74">
        <f t="shared" si="20"/>
        <v>2702.48</v>
      </c>
      <c r="Y82" s="74">
        <f t="shared" si="20"/>
        <v>2592.2799999999997</v>
      </c>
      <c r="Z82" s="74">
        <f t="shared" si="20"/>
        <v>2503.08</v>
      </c>
      <c r="AA82" s="74">
        <f t="shared" si="20"/>
        <v>2255.2799999999997</v>
      </c>
      <c r="AB82" s="74">
        <f t="shared" si="20"/>
        <v>2139.4800000000005</v>
      </c>
      <c r="AC82" s="74">
        <f t="shared" si="20"/>
        <v>2050.48</v>
      </c>
      <c r="AD82" s="74">
        <f t="shared" si="20"/>
        <v>1894.28</v>
      </c>
      <c r="AE82" s="74">
        <f t="shared" si="20"/>
        <v>1737.6799999999998</v>
      </c>
      <c r="AF82" s="74">
        <f t="shared" si="20"/>
        <v>1689.08</v>
      </c>
      <c r="AG82" s="79">
        <f t="shared" si="20"/>
        <v>4338.08</v>
      </c>
      <c r="AH82" s="56">
        <f t="shared" si="16"/>
        <v>2812.28</v>
      </c>
      <c r="AI82" s="57">
        <f t="shared" si="17"/>
        <v>1530.8799999999999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49.912999999999997</v>
      </c>
      <c r="C83" s="96">
        <v>50.027999999999999</v>
      </c>
      <c r="D83" s="96">
        <v>49.954999999999998</v>
      </c>
      <c r="E83" s="96">
        <v>49.972999999999999</v>
      </c>
      <c r="F83" s="96">
        <v>49.902999999999999</v>
      </c>
      <c r="G83" s="96">
        <v>49.994</v>
      </c>
      <c r="H83" s="96">
        <v>50.012</v>
      </c>
      <c r="I83" s="96">
        <v>49.866999999999997</v>
      </c>
      <c r="J83" s="96">
        <v>49.77</v>
      </c>
      <c r="K83" s="96">
        <v>49.963000000000001</v>
      </c>
      <c r="L83" s="96">
        <v>49.884</v>
      </c>
      <c r="M83" s="96">
        <v>49.884</v>
      </c>
      <c r="N83" s="96">
        <v>49.884</v>
      </c>
      <c r="O83" s="96">
        <v>50.015999999999998</v>
      </c>
      <c r="P83" s="96">
        <v>50.084000000000003</v>
      </c>
      <c r="Q83" s="96">
        <v>50.042999999999999</v>
      </c>
      <c r="R83" s="96">
        <v>49.966000000000001</v>
      </c>
      <c r="S83" s="96">
        <v>49.8</v>
      </c>
      <c r="T83" s="96">
        <v>49.984000000000002</v>
      </c>
      <c r="U83" s="96">
        <v>49.912999999999997</v>
      </c>
      <c r="V83" s="96">
        <v>49.82</v>
      </c>
      <c r="W83" s="96">
        <v>49.84</v>
      </c>
      <c r="X83" s="96">
        <v>49.923000000000002</v>
      </c>
      <c r="Y83" s="96">
        <v>49.984000000000002</v>
      </c>
      <c r="Z83" s="96">
        <v>50.09</v>
      </c>
      <c r="AA83" s="96">
        <v>50.06</v>
      </c>
      <c r="AB83" s="96">
        <v>50.07</v>
      </c>
      <c r="AC83" s="96">
        <v>49.9</v>
      </c>
      <c r="AD83" s="96">
        <v>49.95</v>
      </c>
      <c r="AE83" s="96">
        <v>50.07</v>
      </c>
      <c r="AF83" s="96">
        <v>50.01</v>
      </c>
      <c r="AG83" s="98"/>
      <c r="AH83" s="56">
        <f t="shared" si="16"/>
        <v>50.09</v>
      </c>
      <c r="AI83" s="57">
        <f t="shared" si="17"/>
        <v>49.77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127.5</v>
      </c>
      <c r="C84" s="52">
        <v>128.30000000000001</v>
      </c>
      <c r="D84" s="52">
        <v>129.1</v>
      </c>
      <c r="E84" s="52">
        <v>129</v>
      </c>
      <c r="F84" s="52">
        <v>128.30000000000001</v>
      </c>
      <c r="G84" s="52">
        <v>127</v>
      </c>
      <c r="H84" s="52">
        <v>126.8</v>
      </c>
      <c r="I84" s="52">
        <v>124.7</v>
      </c>
      <c r="J84" s="52">
        <v>124.3</v>
      </c>
      <c r="K84" s="52">
        <v>123.9</v>
      </c>
      <c r="L84" s="52">
        <v>124.8</v>
      </c>
      <c r="M84" s="52">
        <v>124.8</v>
      </c>
      <c r="N84" s="52">
        <v>124.8</v>
      </c>
      <c r="O84" s="52">
        <v>124.3</v>
      </c>
      <c r="P84" s="52">
        <v>124</v>
      </c>
      <c r="Q84" s="52">
        <v>125.8</v>
      </c>
      <c r="R84" s="52">
        <v>124.6</v>
      </c>
      <c r="S84" s="52">
        <v>124.4</v>
      </c>
      <c r="T84" s="100">
        <v>125.6</v>
      </c>
      <c r="U84" s="100">
        <v>125.6</v>
      </c>
      <c r="V84" s="100">
        <v>124.2</v>
      </c>
      <c r="W84" s="100">
        <v>124.2</v>
      </c>
      <c r="X84" s="100">
        <v>126.3</v>
      </c>
      <c r="Y84" s="100">
        <v>126.1</v>
      </c>
      <c r="Z84" s="100">
        <v>126.1</v>
      </c>
      <c r="AA84" s="100">
        <v>126.5</v>
      </c>
      <c r="AB84" s="100">
        <v>127.2</v>
      </c>
      <c r="AC84" s="100">
        <v>126.4</v>
      </c>
      <c r="AD84" s="100">
        <v>127.1</v>
      </c>
      <c r="AE84" s="52">
        <v>127.8</v>
      </c>
      <c r="AF84" s="52">
        <v>128.30000000000001</v>
      </c>
      <c r="AG84" s="102"/>
      <c r="AH84" s="56">
        <f t="shared" si="16"/>
        <v>129.1</v>
      </c>
      <c r="AI84" s="57">
        <f t="shared" si="17"/>
        <v>123.9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130.9</v>
      </c>
      <c r="C85" s="52">
        <v>131.9</v>
      </c>
      <c r="D85" s="52">
        <v>132.1</v>
      </c>
      <c r="E85" s="52">
        <v>132.30000000000001</v>
      </c>
      <c r="F85" s="52">
        <v>131.69999999999999</v>
      </c>
      <c r="G85" s="52">
        <v>130.6</v>
      </c>
      <c r="H85" s="52">
        <v>130.19999999999999</v>
      </c>
      <c r="I85" s="52">
        <v>128.19999999999999</v>
      </c>
      <c r="J85" s="52">
        <v>127.8</v>
      </c>
      <c r="K85" s="52">
        <v>127</v>
      </c>
      <c r="L85" s="52">
        <v>128.19999999999999</v>
      </c>
      <c r="M85" s="52">
        <v>128.19999999999999</v>
      </c>
      <c r="N85" s="52">
        <v>128.19999999999999</v>
      </c>
      <c r="O85" s="52">
        <v>127.7</v>
      </c>
      <c r="P85" s="52">
        <v>127.8</v>
      </c>
      <c r="Q85" s="52">
        <v>129.1</v>
      </c>
      <c r="R85" s="52">
        <v>127.3</v>
      </c>
      <c r="S85" s="52">
        <v>127.7</v>
      </c>
      <c r="T85" s="100">
        <v>128.69999999999999</v>
      </c>
      <c r="U85" s="100">
        <v>128.30000000000001</v>
      </c>
      <c r="V85" s="100">
        <v>127.2</v>
      </c>
      <c r="W85" s="100">
        <v>127</v>
      </c>
      <c r="X85" s="100">
        <v>128.5</v>
      </c>
      <c r="Y85" s="100">
        <v>128.5</v>
      </c>
      <c r="Z85" s="100">
        <v>128.9</v>
      </c>
      <c r="AA85" s="100">
        <v>129.19999999999999</v>
      </c>
      <c r="AB85" s="100">
        <v>130.19999999999999</v>
      </c>
      <c r="AC85" s="100">
        <v>129.30000000000001</v>
      </c>
      <c r="AD85" s="100">
        <v>130.30000000000001</v>
      </c>
      <c r="AE85" s="52">
        <v>130.9</v>
      </c>
      <c r="AF85" s="52">
        <v>131.19999999999999</v>
      </c>
      <c r="AG85" s="102"/>
      <c r="AH85" s="56">
        <f t="shared" si="16"/>
        <v>132.30000000000001</v>
      </c>
      <c r="AI85" s="57">
        <f t="shared" si="17"/>
        <v>127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131.19999999999999</v>
      </c>
      <c r="C86" s="52">
        <v>131.1</v>
      </c>
      <c r="D86" s="52">
        <v>130.80000000000001</v>
      </c>
      <c r="E86" s="52">
        <v>130.69999999999999</v>
      </c>
      <c r="F86" s="52">
        <v>130.19999999999999</v>
      </c>
      <c r="G86" s="52">
        <v>129.19999999999999</v>
      </c>
      <c r="H86" s="52">
        <v>129.19999999999999</v>
      </c>
      <c r="I86" s="52">
        <v>126</v>
      </c>
      <c r="J86" s="52">
        <v>128</v>
      </c>
      <c r="K86" s="52">
        <v>127.5</v>
      </c>
      <c r="L86" s="52">
        <v>126.8</v>
      </c>
      <c r="M86" s="52">
        <v>126.8</v>
      </c>
      <c r="N86" s="52">
        <v>126.8</v>
      </c>
      <c r="O86" s="52">
        <v>128.4</v>
      </c>
      <c r="P86" s="52">
        <v>129.6</v>
      </c>
      <c r="Q86" s="52">
        <v>128.69999999999999</v>
      </c>
      <c r="R86" s="52">
        <v>127.6</v>
      </c>
      <c r="S86" s="52">
        <v>125.8</v>
      </c>
      <c r="T86" s="52">
        <v>127.1</v>
      </c>
      <c r="U86" s="52">
        <v>127.5</v>
      </c>
      <c r="V86" s="52">
        <v>123.8</v>
      </c>
      <c r="W86" s="100">
        <v>127.6</v>
      </c>
      <c r="X86" s="100">
        <v>130.69999999999999</v>
      </c>
      <c r="Y86" s="100">
        <v>130.4</v>
      </c>
      <c r="Z86" s="100">
        <v>130.9</v>
      </c>
      <c r="AA86" s="100">
        <v>130.6</v>
      </c>
      <c r="AB86" s="100">
        <v>131.6</v>
      </c>
      <c r="AC86" s="100">
        <v>130</v>
      </c>
      <c r="AD86" s="100">
        <v>128.80000000000001</v>
      </c>
      <c r="AE86" s="52">
        <v>129.19999999999999</v>
      </c>
      <c r="AF86" s="52">
        <v>130.80000000000001</v>
      </c>
      <c r="AG86" s="102"/>
      <c r="AH86" s="56">
        <f t="shared" si="16"/>
        <v>131.6</v>
      </c>
      <c r="AI86" s="57">
        <f t="shared" si="17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134.1</v>
      </c>
      <c r="C87" s="52">
        <v>134.30000000000001</v>
      </c>
      <c r="D87" s="52">
        <v>134.19999999999999</v>
      </c>
      <c r="E87" s="52">
        <v>134.19999999999999</v>
      </c>
      <c r="F87" s="52">
        <v>133.80000000000001</v>
      </c>
      <c r="G87" s="52">
        <v>132.9</v>
      </c>
      <c r="H87" s="52">
        <v>132.6</v>
      </c>
      <c r="I87" s="52">
        <v>129.80000000000001</v>
      </c>
      <c r="J87" s="52">
        <v>132.1</v>
      </c>
      <c r="K87" s="52">
        <v>131.4</v>
      </c>
      <c r="L87" s="52">
        <v>130.5</v>
      </c>
      <c r="M87" s="52">
        <v>130.5</v>
      </c>
      <c r="N87" s="52">
        <v>130.5</v>
      </c>
      <c r="O87" s="52">
        <v>131.9</v>
      </c>
      <c r="P87" s="52">
        <v>133.1</v>
      </c>
      <c r="Q87" s="52">
        <v>132.19999999999999</v>
      </c>
      <c r="R87" s="52">
        <v>131.19999999999999</v>
      </c>
      <c r="S87" s="52">
        <v>129.80000000000001</v>
      </c>
      <c r="T87" s="52">
        <v>130.80000000000001</v>
      </c>
      <c r="U87" s="52">
        <v>130.9</v>
      </c>
      <c r="V87" s="52">
        <v>127</v>
      </c>
      <c r="W87" s="100">
        <v>128.69999999999999</v>
      </c>
      <c r="X87" s="100">
        <v>132.80000000000001</v>
      </c>
      <c r="Y87" s="100">
        <v>133.19999999999999</v>
      </c>
      <c r="Z87" s="100">
        <v>131.9</v>
      </c>
      <c r="AA87" s="100">
        <v>133.80000000000001</v>
      </c>
      <c r="AB87" s="100">
        <v>135.1</v>
      </c>
      <c r="AC87" s="100">
        <v>132.69999999999999</v>
      </c>
      <c r="AD87" s="100">
        <v>132.1</v>
      </c>
      <c r="AE87" s="52">
        <v>132.30000000000001</v>
      </c>
      <c r="AF87" s="52">
        <v>133.6</v>
      </c>
      <c r="AG87" s="102"/>
      <c r="AH87" s="56">
        <f t="shared" si="16"/>
        <v>135.1</v>
      </c>
      <c r="AI87" s="57">
        <f t="shared" si="17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132.4</v>
      </c>
      <c r="C88" s="104">
        <v>133.1</v>
      </c>
      <c r="D88" s="104">
        <v>134.30000000000001</v>
      </c>
      <c r="E88" s="104">
        <v>133.69999999999999</v>
      </c>
      <c r="F88" s="104">
        <v>133.19999999999999</v>
      </c>
      <c r="G88" s="104">
        <v>133.1</v>
      </c>
      <c r="H88" s="104">
        <v>132.80000000000001</v>
      </c>
      <c r="I88" s="104">
        <v>133.6</v>
      </c>
      <c r="J88" s="104">
        <v>131.5</v>
      </c>
      <c r="K88" s="104">
        <v>133.30000000000001</v>
      </c>
      <c r="L88" s="104">
        <v>133.80000000000001</v>
      </c>
      <c r="M88" s="104">
        <v>133.80000000000001</v>
      </c>
      <c r="N88" s="104">
        <v>133.80000000000001</v>
      </c>
      <c r="O88" s="104">
        <v>132.4</v>
      </c>
      <c r="P88" s="104">
        <v>132.19999999999999</v>
      </c>
      <c r="Q88" s="104">
        <v>133.80000000000001</v>
      </c>
      <c r="R88" s="104">
        <v>131.9</v>
      </c>
      <c r="S88" s="104">
        <v>131.5</v>
      </c>
      <c r="T88" s="104">
        <v>132.6</v>
      </c>
      <c r="U88" s="104">
        <v>135.30000000000001</v>
      </c>
      <c r="V88" s="104">
        <v>133</v>
      </c>
      <c r="W88" s="100">
        <v>131.69999999999999</v>
      </c>
      <c r="X88" s="100">
        <v>132.5</v>
      </c>
      <c r="Y88" s="100">
        <v>135.19999999999999</v>
      </c>
      <c r="Z88" s="100">
        <v>131.9</v>
      </c>
      <c r="AA88" s="100">
        <v>132.6</v>
      </c>
      <c r="AB88" s="100">
        <v>132.1</v>
      </c>
      <c r="AC88" s="100">
        <v>134.4</v>
      </c>
      <c r="AD88" s="100">
        <v>134.80000000000001</v>
      </c>
      <c r="AE88" s="104">
        <v>131.80000000000001</v>
      </c>
      <c r="AF88" s="104">
        <v>132.19999999999999</v>
      </c>
      <c r="AG88" s="106"/>
      <c r="AH88" s="56">
        <f t="shared" si="16"/>
        <v>135.30000000000001</v>
      </c>
      <c r="AI88" s="57">
        <f t="shared" si="17"/>
        <v>131.5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133.80000000000001</v>
      </c>
      <c r="C89" s="52">
        <v>135.1</v>
      </c>
      <c r="D89" s="52">
        <v>136.19999999999999</v>
      </c>
      <c r="E89" s="52">
        <v>135.69999999999999</v>
      </c>
      <c r="F89" s="52">
        <v>134.9</v>
      </c>
      <c r="G89" s="52">
        <v>134.5</v>
      </c>
      <c r="H89" s="52">
        <v>133.19999999999999</v>
      </c>
      <c r="I89" s="52">
        <v>132.69999999999999</v>
      </c>
      <c r="J89" s="52">
        <v>131.30000000000001</v>
      </c>
      <c r="K89" s="52">
        <v>132.30000000000001</v>
      </c>
      <c r="L89" s="52">
        <v>132.19999999999999</v>
      </c>
      <c r="M89" s="52">
        <v>132.19999999999999</v>
      </c>
      <c r="N89" s="52">
        <v>132.19999999999999</v>
      </c>
      <c r="O89" s="52">
        <v>131.1</v>
      </c>
      <c r="P89" s="52">
        <v>132</v>
      </c>
      <c r="Q89" s="52">
        <v>133</v>
      </c>
      <c r="R89" s="52">
        <v>129.9</v>
      </c>
      <c r="S89" s="52">
        <v>129.30000000000001</v>
      </c>
      <c r="T89" s="52">
        <v>129.19999999999999</v>
      </c>
      <c r="U89" s="52">
        <v>132.9</v>
      </c>
      <c r="V89" s="52">
        <v>131</v>
      </c>
      <c r="W89" s="100">
        <v>127.4</v>
      </c>
      <c r="X89" s="100">
        <v>129.5</v>
      </c>
      <c r="Y89" s="100">
        <v>134</v>
      </c>
      <c r="Z89" s="100">
        <v>130.69999999999999</v>
      </c>
      <c r="AA89" s="100">
        <v>131.69999999999999</v>
      </c>
      <c r="AB89" s="100">
        <v>130.30000000000001</v>
      </c>
      <c r="AC89" s="100">
        <v>133.1</v>
      </c>
      <c r="AD89" s="100">
        <v>134.9</v>
      </c>
      <c r="AE89" s="52">
        <v>131.6</v>
      </c>
      <c r="AF89" s="52">
        <v>132.19999999999999</v>
      </c>
      <c r="AG89" s="102"/>
      <c r="AH89" s="56">
        <f t="shared" si="16"/>
        <v>136.19999999999999</v>
      </c>
      <c r="AI89" s="57">
        <f t="shared" si="17"/>
        <v>127.4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66.5</v>
      </c>
      <c r="C90" s="107">
        <v>67</v>
      </c>
      <c r="D90" s="107">
        <v>67.3</v>
      </c>
      <c r="E90" s="107">
        <v>67.3</v>
      </c>
      <c r="F90" s="107">
        <v>66.900000000000006</v>
      </c>
      <c r="G90" s="107">
        <v>66.5</v>
      </c>
      <c r="H90" s="107">
        <v>66.2</v>
      </c>
      <c r="I90" s="107">
        <v>65</v>
      </c>
      <c r="J90" s="107">
        <v>65</v>
      </c>
      <c r="K90" s="107">
        <v>64.599999999999994</v>
      </c>
      <c r="L90" s="107">
        <v>65.2</v>
      </c>
      <c r="M90" s="107">
        <v>65.2</v>
      </c>
      <c r="N90" s="107">
        <v>65.2</v>
      </c>
      <c r="O90" s="107">
        <v>64.900000000000006</v>
      </c>
      <c r="P90" s="107">
        <v>64.8</v>
      </c>
      <c r="Q90" s="107">
        <v>65.599999999999994</v>
      </c>
      <c r="R90" s="107">
        <v>64.7</v>
      </c>
      <c r="S90" s="107">
        <v>65</v>
      </c>
      <c r="T90" s="107">
        <v>65.5</v>
      </c>
      <c r="U90" s="107">
        <v>65.400000000000006</v>
      </c>
      <c r="V90" s="107">
        <v>64.8</v>
      </c>
      <c r="W90" s="107">
        <v>64.900000000000006</v>
      </c>
      <c r="X90" s="107">
        <v>65.599999999999994</v>
      </c>
      <c r="Y90" s="107">
        <v>65.8</v>
      </c>
      <c r="Z90" s="107">
        <v>65.7</v>
      </c>
      <c r="AA90" s="107">
        <v>65.900000000000006</v>
      </c>
      <c r="AB90" s="107">
        <v>66.3</v>
      </c>
      <c r="AC90" s="107">
        <v>65.7</v>
      </c>
      <c r="AD90" s="107">
        <v>66.3</v>
      </c>
      <c r="AE90" s="107">
        <v>66.7</v>
      </c>
      <c r="AF90" s="107">
        <v>66.900000000000006</v>
      </c>
      <c r="AG90" s="109"/>
      <c r="AH90" s="56">
        <f t="shared" si="16"/>
        <v>67.3</v>
      </c>
      <c r="AI90" s="57">
        <f t="shared" si="17"/>
        <v>64.599999999999994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152.83999999999997</v>
      </c>
      <c r="C92" s="114">
        <f t="shared" ref="C92:AF92" si="21">SUM(C15,C18,C21:C22,C41,C43:C44,C46,C48,C93:C96,C101,C107,C113,C122,C124,C136,C143,C146:C147,C154,C156,C158,C162:C164,C166:C168,C173,C179:C180,C182:C184,C192,C197)</f>
        <v>122.14</v>
      </c>
      <c r="D92" s="114">
        <f t="shared" si="21"/>
        <v>107.43999999999998</v>
      </c>
      <c r="E92" s="114">
        <f t="shared" si="21"/>
        <v>118.53999999999998</v>
      </c>
      <c r="F92" s="115">
        <f t="shared" si="21"/>
        <v>142.23999999999998</v>
      </c>
      <c r="G92" s="115">
        <f t="shared" si="21"/>
        <v>159.33999999999997</v>
      </c>
      <c r="H92" s="115">
        <f t="shared" si="21"/>
        <v>178.93999999999997</v>
      </c>
      <c r="I92" s="115">
        <f t="shared" si="21"/>
        <v>213.23999999999998</v>
      </c>
      <c r="J92" s="115">
        <f t="shared" si="21"/>
        <v>240.43999999999994</v>
      </c>
      <c r="K92" s="115">
        <f t="shared" si="21"/>
        <v>255.03999999999994</v>
      </c>
      <c r="L92" s="115">
        <f t="shared" si="21"/>
        <v>243.53999999999996</v>
      </c>
      <c r="M92" s="115">
        <f t="shared" si="21"/>
        <v>248.43999999999997</v>
      </c>
      <c r="N92" s="115">
        <f t="shared" si="21"/>
        <v>241.93999999999997</v>
      </c>
      <c r="O92" s="115">
        <f t="shared" si="21"/>
        <v>236.64</v>
      </c>
      <c r="P92" s="115">
        <f t="shared" si="21"/>
        <v>227.93999999999997</v>
      </c>
      <c r="Q92" s="115">
        <f t="shared" si="21"/>
        <v>222.04</v>
      </c>
      <c r="R92" s="115">
        <f t="shared" si="21"/>
        <v>222.43999999999997</v>
      </c>
      <c r="S92" s="115">
        <f t="shared" si="21"/>
        <v>224.73999999999995</v>
      </c>
      <c r="T92" s="115">
        <f t="shared" si="21"/>
        <v>229.53999999999996</v>
      </c>
      <c r="U92" s="115">
        <f t="shared" si="21"/>
        <v>256.24</v>
      </c>
      <c r="V92" s="115">
        <f t="shared" si="21"/>
        <v>298.94</v>
      </c>
      <c r="W92" s="115">
        <f t="shared" si="21"/>
        <v>338.14000000000004</v>
      </c>
      <c r="X92" s="115">
        <f t="shared" si="21"/>
        <v>325.54000000000002</v>
      </c>
      <c r="Y92" s="115">
        <f t="shared" si="21"/>
        <v>310.24</v>
      </c>
      <c r="Z92" s="115">
        <f t="shared" si="21"/>
        <v>263.14000000000004</v>
      </c>
      <c r="AA92" s="115">
        <f t="shared" si="21"/>
        <v>263.24000000000007</v>
      </c>
      <c r="AB92" s="115">
        <f t="shared" si="21"/>
        <v>235.94</v>
      </c>
      <c r="AC92" s="115">
        <f t="shared" si="21"/>
        <v>192.13999999999996</v>
      </c>
      <c r="AD92" s="115">
        <f t="shared" si="21"/>
        <v>174.53999999999996</v>
      </c>
      <c r="AE92" s="115">
        <f t="shared" si="21"/>
        <v>140.63999999999996</v>
      </c>
      <c r="AF92" s="115">
        <f t="shared" si="21"/>
        <v>137.23999999999998</v>
      </c>
      <c r="AG92" s="116"/>
      <c r="AH92" s="56">
        <f>MAX(B92:AF92)</f>
        <v>338.14000000000004</v>
      </c>
      <c r="AI92" s="57">
        <f>MIN(B92:AF92)</f>
        <v>107.43999999999998</v>
      </c>
    </row>
    <row r="93" spans="1:88" x14ac:dyDescent="0.25">
      <c r="A93" s="117" t="s">
        <v>96</v>
      </c>
      <c r="B93" s="60">
        <v>33.5</v>
      </c>
      <c r="C93" s="60">
        <v>31.5</v>
      </c>
      <c r="D93" s="60">
        <v>21.7</v>
      </c>
      <c r="E93" s="60">
        <v>17.600000000000001</v>
      </c>
      <c r="F93" s="118">
        <v>32.9</v>
      </c>
      <c r="G93" s="118">
        <v>32.6</v>
      </c>
      <c r="H93" s="118">
        <v>39</v>
      </c>
      <c r="I93" s="118">
        <v>43</v>
      </c>
      <c r="J93" s="118">
        <v>41.9</v>
      </c>
      <c r="K93" s="118">
        <v>57.6</v>
      </c>
      <c r="L93" s="54">
        <v>60.4</v>
      </c>
      <c r="M93" s="54">
        <v>60.4</v>
      </c>
      <c r="N93" s="54">
        <v>64.599999999999994</v>
      </c>
      <c r="O93" s="54">
        <v>61.5</v>
      </c>
      <c r="P93" s="118">
        <v>48.1</v>
      </c>
      <c r="Q93" s="118">
        <v>49.9</v>
      </c>
      <c r="R93" s="118">
        <v>51.9</v>
      </c>
      <c r="S93" s="118">
        <v>58.1</v>
      </c>
      <c r="T93" s="54">
        <v>55.6</v>
      </c>
      <c r="U93" s="54">
        <v>63</v>
      </c>
      <c r="V93" s="54">
        <v>63.4</v>
      </c>
      <c r="W93" s="118">
        <v>43.9</v>
      </c>
      <c r="X93" s="118">
        <v>48</v>
      </c>
      <c r="Y93" s="118">
        <v>56.6</v>
      </c>
      <c r="Z93" s="118">
        <v>32.200000000000003</v>
      </c>
      <c r="AA93" s="118">
        <v>33.9</v>
      </c>
      <c r="AB93" s="54">
        <v>35.700000000000003</v>
      </c>
      <c r="AC93" s="54">
        <v>52.3</v>
      </c>
      <c r="AD93" s="54">
        <v>56.9</v>
      </c>
      <c r="AE93" s="54">
        <v>40.200000000000003</v>
      </c>
      <c r="AF93" s="54">
        <v>34.200000000000003</v>
      </c>
      <c r="AG93" s="120">
        <v>75</v>
      </c>
      <c r="AH93" s="56">
        <f t="shared" ref="AH93:AH98" si="22">IF(ABS(MAX(B93:AF93))&gt;ABS(MIN(B93:AF93)),MAX(B93:AF93),MIN(B93:AF93))</f>
        <v>64.599999999999994</v>
      </c>
      <c r="AI93" s="121">
        <f t="shared" ref="AI93:AI98" si="23">INDEX($B$9:$AF$9,1,MATCH(AH93,B93:AF93,0))</f>
        <v>0.41666666666666702</v>
      </c>
    </row>
    <row r="94" spans="1:88" x14ac:dyDescent="0.25">
      <c r="A94" s="122" t="s">
        <v>97</v>
      </c>
      <c r="B94" s="62">
        <v>-37</v>
      </c>
      <c r="C94" s="62">
        <v>-65.900000000000006</v>
      </c>
      <c r="D94" s="62">
        <v>-69</v>
      </c>
      <c r="E94" s="62">
        <v>-69.400000000000006</v>
      </c>
      <c r="F94" s="62">
        <v>-65.900000000000006</v>
      </c>
      <c r="G94" s="62">
        <v>-72</v>
      </c>
      <c r="H94" s="62">
        <v>-65</v>
      </c>
      <c r="I94" s="62">
        <v>-53</v>
      </c>
      <c r="J94" s="62">
        <v>-50</v>
      </c>
      <c r="K94" s="62">
        <v>-55</v>
      </c>
      <c r="L94" s="62">
        <v>-60</v>
      </c>
      <c r="M94" s="62">
        <v>-60</v>
      </c>
      <c r="N94" s="62">
        <v>-52</v>
      </c>
      <c r="O94" s="62">
        <v>-52.9</v>
      </c>
      <c r="P94" s="62">
        <v>-52</v>
      </c>
      <c r="Q94" s="62">
        <v>-53.6</v>
      </c>
      <c r="R94" s="62">
        <v>-56</v>
      </c>
      <c r="S94" s="62">
        <v>-60</v>
      </c>
      <c r="T94" s="62">
        <v>-64</v>
      </c>
      <c r="U94" s="62">
        <v>-54</v>
      </c>
      <c r="V94" s="62">
        <v>-46</v>
      </c>
      <c r="W94" s="62">
        <v>-35</v>
      </c>
      <c r="X94" s="62">
        <v>-35</v>
      </c>
      <c r="Y94" s="62">
        <v>-40</v>
      </c>
      <c r="Z94" s="62">
        <f>-25-29.7</f>
        <v>-54.7</v>
      </c>
      <c r="AA94" s="62">
        <f>-25-29.6</f>
        <v>-54.6</v>
      </c>
      <c r="AB94" s="52">
        <f>-23.7-28.9</f>
        <v>-52.599999999999994</v>
      </c>
      <c r="AC94" s="52">
        <f>-25-31.4</f>
        <v>-56.4</v>
      </c>
      <c r="AD94" s="52">
        <f>-26.9-32</f>
        <v>-58.9</v>
      </c>
      <c r="AE94" s="52">
        <f>-31.9-37.9</f>
        <v>-69.8</v>
      </c>
      <c r="AF94" s="52">
        <f>-29.8-35.1</f>
        <v>-64.900000000000006</v>
      </c>
      <c r="AG94" s="120">
        <v>240</v>
      </c>
      <c r="AH94" s="56">
        <f t="shared" si="22"/>
        <v>-72</v>
      </c>
      <c r="AI94" s="121">
        <f t="shared" si="23"/>
        <v>0.22916666666666666</v>
      </c>
    </row>
    <row r="95" spans="1:88" x14ac:dyDescent="0.25">
      <c r="A95" s="122" t="s">
        <v>98</v>
      </c>
      <c r="B95" s="62">
        <v>-7.4</v>
      </c>
      <c r="C95" s="62">
        <v>-3</v>
      </c>
      <c r="D95" s="62">
        <v>-1.8</v>
      </c>
      <c r="E95" s="62">
        <v>1</v>
      </c>
      <c r="F95" s="62">
        <v>-3.6</v>
      </c>
      <c r="G95" s="62">
        <v>-3.5</v>
      </c>
      <c r="H95" s="62">
        <v>-2.1</v>
      </c>
      <c r="I95" s="62">
        <v>-1</v>
      </c>
      <c r="J95" s="62">
        <v>5.7</v>
      </c>
      <c r="K95" s="62">
        <v>6.7</v>
      </c>
      <c r="L95" s="62">
        <v>2.2999999999999998</v>
      </c>
      <c r="M95" s="62">
        <v>2.2999999999999998</v>
      </c>
      <c r="N95" s="62">
        <v>8</v>
      </c>
      <c r="O95" s="62">
        <v>1.3</v>
      </c>
      <c r="P95" s="62">
        <v>-1.3</v>
      </c>
      <c r="Q95" s="62">
        <v>3</v>
      </c>
      <c r="R95" s="62">
        <v>2.1</v>
      </c>
      <c r="S95" s="62">
        <v>-2.4</v>
      </c>
      <c r="T95" s="62">
        <v>4.2</v>
      </c>
      <c r="U95" s="62">
        <v>4.7</v>
      </c>
      <c r="V95" s="62">
        <v>6.1</v>
      </c>
      <c r="W95" s="62">
        <v>9.1</v>
      </c>
      <c r="X95" s="62">
        <v>19</v>
      </c>
      <c r="Y95" s="62">
        <v>12.7</v>
      </c>
      <c r="Z95" s="62">
        <v>6.9</v>
      </c>
      <c r="AA95" s="62">
        <v>3.7</v>
      </c>
      <c r="AB95" s="52">
        <v>5.3</v>
      </c>
      <c r="AC95" s="52">
        <v>-3.8</v>
      </c>
      <c r="AD95" s="52">
        <v>-2.8</v>
      </c>
      <c r="AE95" s="52">
        <v>-2.2000000000000002</v>
      </c>
      <c r="AF95" s="52">
        <v>-5.0999999999999996</v>
      </c>
      <c r="AG95" s="120">
        <v>60</v>
      </c>
      <c r="AH95" s="56">
        <f t="shared" si="22"/>
        <v>19</v>
      </c>
      <c r="AI95" s="121">
        <f t="shared" si="23"/>
        <v>0.77083333333333337</v>
      </c>
    </row>
    <row r="96" spans="1:88" x14ac:dyDescent="0.25">
      <c r="A96" s="124" t="s">
        <v>99</v>
      </c>
      <c r="B96" s="65">
        <v>-9.5</v>
      </c>
      <c r="C96" s="65">
        <v>-11.7</v>
      </c>
      <c r="D96" s="65">
        <v>-14.4</v>
      </c>
      <c r="E96" s="65">
        <v>-11.9</v>
      </c>
      <c r="F96" s="65">
        <v>-3</v>
      </c>
      <c r="G96" s="65">
        <v>0</v>
      </c>
      <c r="H96" s="65">
        <v>4.5999999999999996</v>
      </c>
      <c r="I96" s="65">
        <v>21.8</v>
      </c>
      <c r="J96" s="65">
        <v>30.2</v>
      </c>
      <c r="K96" s="65">
        <v>23.6</v>
      </c>
      <c r="L96" s="65">
        <v>18.2</v>
      </c>
      <c r="M96" s="65">
        <v>18.2</v>
      </c>
      <c r="N96" s="65">
        <v>11.1</v>
      </c>
      <c r="O96" s="65">
        <v>18.3</v>
      </c>
      <c r="P96" s="65">
        <v>24.8</v>
      </c>
      <c r="Q96" s="65">
        <v>13.8</v>
      </c>
      <c r="R96" s="65">
        <v>16</v>
      </c>
      <c r="S96" s="65">
        <v>10.6</v>
      </c>
      <c r="T96" s="65">
        <v>7.4</v>
      </c>
      <c r="U96" s="65">
        <v>15.5</v>
      </c>
      <c r="V96" s="65">
        <v>45.1</v>
      </c>
      <c r="W96" s="65">
        <v>88.9</v>
      </c>
      <c r="X96" s="65">
        <v>62.3</v>
      </c>
      <c r="Y96" s="65">
        <v>49.7</v>
      </c>
      <c r="Z96" s="65">
        <v>48.4</v>
      </c>
      <c r="AA96" s="65">
        <v>49.7</v>
      </c>
      <c r="AB96" s="125">
        <v>33.799999999999997</v>
      </c>
      <c r="AC96" s="125">
        <v>7</v>
      </c>
      <c r="AD96" s="125">
        <v>-7</v>
      </c>
      <c r="AE96" s="125">
        <v>-12.9</v>
      </c>
      <c r="AF96" s="125">
        <v>-2.6</v>
      </c>
      <c r="AG96" s="127">
        <v>120</v>
      </c>
      <c r="AH96" s="56">
        <f t="shared" si="22"/>
        <v>88.9</v>
      </c>
      <c r="AI96" s="121">
        <f t="shared" si="23"/>
        <v>0.75</v>
      </c>
    </row>
    <row r="97" spans="1:37" x14ac:dyDescent="0.25">
      <c r="A97" s="124" t="s">
        <v>100</v>
      </c>
      <c r="B97" s="65">
        <v>18.600000000000001</v>
      </c>
      <c r="C97" s="65">
        <v>17.5</v>
      </c>
      <c r="D97" s="65">
        <v>15.7</v>
      </c>
      <c r="E97" s="65">
        <v>16.8</v>
      </c>
      <c r="F97" s="65">
        <v>20.8</v>
      </c>
      <c r="G97" s="65">
        <v>27.3</v>
      </c>
      <c r="H97" s="65">
        <v>26.7</v>
      </c>
      <c r="I97" s="65">
        <v>37.4</v>
      </c>
      <c r="J97" s="65">
        <v>40.9</v>
      </c>
      <c r="K97" s="65">
        <v>36.299999999999997</v>
      </c>
      <c r="L97" s="65">
        <v>29.8</v>
      </c>
      <c r="M97" s="65">
        <v>29.8</v>
      </c>
      <c r="N97" s="65">
        <v>27.4</v>
      </c>
      <c r="O97" s="65">
        <v>34.299999999999997</v>
      </c>
      <c r="P97" s="65">
        <v>41.3</v>
      </c>
      <c r="Q97" s="65">
        <v>31.2</v>
      </c>
      <c r="R97" s="65">
        <v>34.9</v>
      </c>
      <c r="S97" s="65">
        <v>30.6</v>
      </c>
      <c r="T97" s="65">
        <v>27.6</v>
      </c>
      <c r="U97" s="65">
        <v>28.1</v>
      </c>
      <c r="V97" s="65">
        <v>46.2</v>
      </c>
      <c r="W97" s="65">
        <v>76.400000000000006</v>
      </c>
      <c r="X97" s="65">
        <v>56</v>
      </c>
      <c r="Y97" s="65">
        <v>47.6</v>
      </c>
      <c r="Z97" s="65">
        <v>53</v>
      </c>
      <c r="AA97" s="65">
        <v>53.9</v>
      </c>
      <c r="AB97" s="125">
        <v>47.1</v>
      </c>
      <c r="AC97" s="125">
        <v>31.5</v>
      </c>
      <c r="AD97" s="125">
        <v>17.2</v>
      </c>
      <c r="AE97" s="125">
        <v>17.2</v>
      </c>
      <c r="AF97" s="125">
        <v>24.3</v>
      </c>
      <c r="AG97" s="127"/>
      <c r="AH97" s="56">
        <f t="shared" si="22"/>
        <v>76.400000000000006</v>
      </c>
      <c r="AI97" s="121">
        <f t="shared" si="23"/>
        <v>0.75</v>
      </c>
    </row>
    <row r="98" spans="1:37" ht="15.75" thickBot="1" x14ac:dyDescent="0.3">
      <c r="A98" s="124" t="s">
        <v>101</v>
      </c>
      <c r="B98" s="65">
        <v>29</v>
      </c>
      <c r="C98" s="65">
        <v>30.2</v>
      </c>
      <c r="D98" s="65">
        <v>23.9</v>
      </c>
      <c r="E98" s="65">
        <v>29</v>
      </c>
      <c r="F98" s="65">
        <v>34</v>
      </c>
      <c r="G98" s="65">
        <v>31.1</v>
      </c>
      <c r="H98" s="65">
        <v>35.9</v>
      </c>
      <c r="I98" s="65">
        <v>37.200000000000003</v>
      </c>
      <c r="J98" s="65">
        <v>43.6</v>
      </c>
      <c r="K98" s="65">
        <v>34</v>
      </c>
      <c r="L98" s="65">
        <v>27.8</v>
      </c>
      <c r="M98" s="65">
        <v>27.8</v>
      </c>
      <c r="N98" s="65">
        <v>19.3</v>
      </c>
      <c r="O98" s="65">
        <v>24.3</v>
      </c>
      <c r="P98" s="65">
        <v>32.299999999999997</v>
      </c>
      <c r="Q98" s="65">
        <v>27.6</v>
      </c>
      <c r="R98" s="65">
        <v>28.1</v>
      </c>
      <c r="S98" s="65">
        <v>28.4</v>
      </c>
      <c r="T98" s="65">
        <v>32.700000000000003</v>
      </c>
      <c r="U98" s="65">
        <v>30.6</v>
      </c>
      <c r="V98" s="65">
        <v>30.8</v>
      </c>
      <c r="W98" s="65">
        <v>48.8</v>
      </c>
      <c r="X98" s="65">
        <v>55.1</v>
      </c>
      <c r="Y98" s="65">
        <v>46.4</v>
      </c>
      <c r="Z98" s="65">
        <v>73.3</v>
      </c>
      <c r="AA98" s="65">
        <v>72.5</v>
      </c>
      <c r="AB98" s="125">
        <v>55</v>
      </c>
      <c r="AC98" s="125">
        <v>35.9</v>
      </c>
      <c r="AD98" s="125">
        <v>29</v>
      </c>
      <c r="AE98" s="125">
        <v>39.200000000000003</v>
      </c>
      <c r="AF98" s="125">
        <v>38.299999999999997</v>
      </c>
      <c r="AG98" s="128"/>
      <c r="AH98" s="56">
        <f t="shared" si="22"/>
        <v>73.3</v>
      </c>
      <c r="AI98" s="121">
        <f t="shared" si="23"/>
        <v>0.8125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1056.1399999999999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22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2078/07/22)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2078/07/22)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756.04</v>
      </c>
      <c r="U212" s="173">
        <f t="shared" si="52"/>
        <v>740.04</v>
      </c>
      <c r="V212" s="173">
        <f t="shared" si="52"/>
        <v>715.43999999999994</v>
      </c>
      <c r="W212" s="173">
        <f t="shared" si="52"/>
        <v>716.63999999999987</v>
      </c>
      <c r="X212" s="173">
        <f t="shared" si="52"/>
        <v>774.13999999999987</v>
      </c>
      <c r="Y212" s="173">
        <f t="shared" si="52"/>
        <v>846.7399999999999</v>
      </c>
      <c r="Z212" s="173">
        <f t="shared" si="52"/>
        <v>872.04</v>
      </c>
      <c r="AA212" s="173">
        <f t="shared" si="52"/>
        <v>936.64</v>
      </c>
      <c r="AB212" s="173">
        <f t="shared" si="52"/>
        <v>994.6400000000001</v>
      </c>
      <c r="AC212" s="173">
        <f t="shared" si="52"/>
        <v>1047.6400000000001</v>
      </c>
      <c r="AD212" s="173">
        <f t="shared" si="52"/>
        <v>1056.1399999999999</v>
      </c>
      <c r="AE212" s="173">
        <f t="shared" si="52"/>
        <v>1017.44</v>
      </c>
      <c r="AF212" s="173">
        <f t="shared" si="52"/>
        <v>973.24</v>
      </c>
      <c r="AG212" s="173">
        <f t="shared" si="52"/>
        <v>973.74</v>
      </c>
      <c r="AH212" s="173">
        <f t="shared" si="52"/>
        <v>941.43999999999994</v>
      </c>
      <c r="AI212" s="173">
        <f t="shared" si="52"/>
        <v>909.93999999999994</v>
      </c>
      <c r="AJ212" s="173">
        <f t="shared" si="52"/>
        <v>938.7399999999999</v>
      </c>
      <c r="AK212" s="173">
        <f t="shared" si="52"/>
        <v>934.24</v>
      </c>
      <c r="AL212" s="173">
        <f t="shared" si="52"/>
        <v>964.64</v>
      </c>
      <c r="AM212" s="173">
        <f t="shared" si="52"/>
        <v>1052.74</v>
      </c>
      <c r="AN212" s="173">
        <f t="shared" si="52"/>
        <v>1214.54</v>
      </c>
      <c r="AO212" s="173">
        <f t="shared" si="52"/>
        <v>1357.14</v>
      </c>
      <c r="AP212" s="173">
        <f t="shared" si="52"/>
        <v>1286.74</v>
      </c>
      <c r="AQ212" s="173">
        <f t="shared" si="52"/>
        <v>1217.1399999999999</v>
      </c>
      <c r="AR212" s="173">
        <f t="shared" si="52"/>
        <v>1174.54</v>
      </c>
      <c r="AS212" s="173">
        <f t="shared" si="52"/>
        <v>1088.54</v>
      </c>
      <c r="AT212" s="173">
        <f t="shared" si="52"/>
        <v>1018.7400000000001</v>
      </c>
      <c r="AU212" s="173">
        <f t="shared" si="52"/>
        <v>965.24</v>
      </c>
      <c r="AV212" s="173">
        <f t="shared" si="52"/>
        <v>878.14</v>
      </c>
      <c r="AW212" s="173">
        <f t="shared" si="52"/>
        <v>814.83999999999992</v>
      </c>
      <c r="AX212" s="173">
        <f t="shared" si="52"/>
        <v>786.63999999999987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521" priority="340">
      <formula>S$9&gt;=20/24</formula>
    </cfRule>
    <cfRule type="expression" dxfId="3520" priority="341">
      <formula>AND(S$9&gt;=14/24,S$9&lt;20/24)</formula>
    </cfRule>
    <cfRule type="expression" dxfId="3519" priority="342">
      <formula>AND(S$9&gt;=8/24,S$9&lt;14/24)</formula>
    </cfRule>
    <cfRule type="expression" dxfId="3518" priority="343">
      <formula>S$9&lt;8/24</formula>
    </cfRule>
  </conditionalFormatting>
  <conditionalFormatting sqref="B8:AF10 AA80:AF80 B80:Q80 B81:AF81 C192:AF198 M36:Q36 B67:AF71 T211:AX211 L38:Q38 Q41 M12:Q12 O16:Q16 L57:Q58 Q39:W40 B73:AF77 B79:AF79 B55:AF55 B56:K60 O13:Q14 L59:M60 B62:M66 L39:P41 Q17 O17:P32 N59:Q66 R12:T14 U41:W41 R16:U17 N44:U47 V45:V47 U13:V14 V17 W84:AD90 M11:AF11 W18:AF22 X39:AF41 L52:AF54 R57:AF66 AE83:AF90 W24:AF30">
    <cfRule type="expression" dxfId="3517" priority="336">
      <formula>B$9&gt;=20/24</formula>
    </cfRule>
    <cfRule type="expression" dxfId="3516" priority="337">
      <formula>AND(B$9&gt;=14/24,B$9&lt;20/24)</formula>
    </cfRule>
    <cfRule type="expression" dxfId="3515" priority="338">
      <formula>AND(B$9&gt;=8/24,B$9&lt;14/24)</formula>
    </cfRule>
    <cfRule type="expression" dxfId="3514" priority="339">
      <formula>B$9&lt;8/24</formula>
    </cfRule>
  </conditionalFormatting>
  <conditionalFormatting sqref="B190:AF190">
    <cfRule type="expression" dxfId="3513" priority="332">
      <formula>B$9&gt;=20/24</formula>
    </cfRule>
    <cfRule type="expression" dxfId="3512" priority="333">
      <formula>AND(B$9&gt;=14/24,B$9&lt;20/24)</formula>
    </cfRule>
    <cfRule type="expression" dxfId="3511" priority="334">
      <formula>AND(B$9&gt;=8/24,B$9&lt;14/24)</formula>
    </cfRule>
    <cfRule type="expression" dxfId="3510" priority="335">
      <formula>B$9&lt;8/24</formula>
    </cfRule>
  </conditionalFormatting>
  <conditionalFormatting sqref="AL4:AL6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L56:T56">
    <cfRule type="expression" dxfId="3509" priority="327">
      <formula>L$9&gt;=20/24</formula>
    </cfRule>
    <cfRule type="expression" dxfId="3508" priority="328">
      <formula>AND(L$9&gt;=14/24,L$9&lt;20/24)</formula>
    </cfRule>
    <cfRule type="expression" dxfId="3507" priority="329">
      <formula>AND(L$9&gt;=8/24,L$9&lt;14/24)</formula>
    </cfRule>
    <cfRule type="expression" dxfId="3506" priority="330">
      <formula>L$9&lt;8/24</formula>
    </cfRule>
  </conditionalFormatting>
  <conditionalFormatting sqref="L42:U42">
    <cfRule type="expression" dxfId="3505" priority="323">
      <formula>L$9&gt;=20/24</formula>
    </cfRule>
    <cfRule type="expression" dxfId="3504" priority="324">
      <formula>AND(L$9&gt;=14/24,L$9&lt;20/24)</formula>
    </cfRule>
    <cfRule type="expression" dxfId="3503" priority="325">
      <formula>AND(L$9&gt;=8/24,L$9&lt;14/24)</formula>
    </cfRule>
    <cfRule type="expression" dxfId="3502" priority="326">
      <formula>L$9&lt;8/24</formula>
    </cfRule>
  </conditionalFormatting>
  <conditionalFormatting sqref="R38:AF38">
    <cfRule type="expression" dxfId="3501" priority="315">
      <formula>R$9&gt;=20/24</formula>
    </cfRule>
    <cfRule type="expression" dxfId="3500" priority="316">
      <formula>AND(R$9&gt;=14/24,R$9&lt;20/24)</formula>
    </cfRule>
    <cfRule type="expression" dxfId="3499" priority="317">
      <formula>AND(R$9&gt;=8/24,R$9&lt;14/24)</formula>
    </cfRule>
    <cfRule type="expression" dxfId="3498" priority="318">
      <formula>R$9&lt;8/24</formula>
    </cfRule>
  </conditionalFormatting>
  <conditionalFormatting sqref="U56:AF56">
    <cfRule type="expression" dxfId="3497" priority="311">
      <formula>U$9&gt;=20/24</formula>
    </cfRule>
    <cfRule type="expression" dxfId="3496" priority="312">
      <formula>AND(U$9&gt;=14/24,U$9&lt;20/24)</formula>
    </cfRule>
    <cfRule type="expression" dxfId="3495" priority="313">
      <formula>AND(U$9&gt;=8/24,U$9&lt;14/24)</formula>
    </cfRule>
    <cfRule type="expression" dxfId="3494" priority="314">
      <formula>U$9&lt;8/24</formula>
    </cfRule>
  </conditionalFormatting>
  <conditionalFormatting sqref="R80:Z80">
    <cfRule type="expression" dxfId="3493" priority="307">
      <formula>R$9&gt;=20/24</formula>
    </cfRule>
    <cfRule type="expression" dxfId="3492" priority="308">
      <formula>AND(R$9&gt;=14/24,R$9&lt;20/24)</formula>
    </cfRule>
    <cfRule type="expression" dxfId="3491" priority="309">
      <formula>AND(R$9&gt;=8/24,R$9&lt;14/24)</formula>
    </cfRule>
    <cfRule type="expression" dxfId="3490" priority="310">
      <formula>R$9&lt;8/24</formula>
    </cfRule>
  </conditionalFormatting>
  <conditionalFormatting sqref="T83:AD83">
    <cfRule type="expression" dxfId="3489" priority="303">
      <formula>T$9&gt;=20/24</formula>
    </cfRule>
    <cfRule type="expression" dxfId="3488" priority="304">
      <formula>AND(T$9&gt;=14/24,T$9&lt;20/24)</formula>
    </cfRule>
    <cfRule type="expression" dxfId="3487" priority="305">
      <formula>AND(T$9&gt;=8/24,T$9&lt;14/24)</formula>
    </cfRule>
    <cfRule type="expression" dxfId="3486" priority="306">
      <formula>T$9&lt;8/24</formula>
    </cfRule>
  </conditionalFormatting>
  <conditionalFormatting sqref="O34:P34">
    <cfRule type="expression" dxfId="3485" priority="299">
      <formula>O$9&gt;=20/24</formula>
    </cfRule>
    <cfRule type="expression" dxfId="3484" priority="300">
      <formula>AND(O$9&gt;=14/24,O$9&lt;20/24)</formula>
    </cfRule>
    <cfRule type="expression" dxfId="3483" priority="301">
      <formula>AND(O$9&gt;=8/24,O$9&lt;14/24)</formula>
    </cfRule>
    <cfRule type="expression" dxfId="3482" priority="302">
      <formula>O$9&lt;8/24</formula>
    </cfRule>
  </conditionalFormatting>
  <conditionalFormatting sqref="L48:V48">
    <cfRule type="expression" dxfId="3481" priority="295">
      <formula>L$9&gt;=20/24</formula>
    </cfRule>
    <cfRule type="expression" dxfId="3480" priority="296">
      <formula>AND(L$9&gt;=14/24,L$9&lt;20/24)</formula>
    </cfRule>
    <cfRule type="expression" dxfId="3479" priority="297">
      <formula>AND(L$9&gt;=8/24,L$9&lt;14/24)</formula>
    </cfRule>
    <cfRule type="expression" dxfId="3478" priority="298">
      <formula>L$9&lt;8/24</formula>
    </cfRule>
  </conditionalFormatting>
  <conditionalFormatting sqref="L49:V49">
    <cfRule type="expression" dxfId="3477" priority="291">
      <formula>L$9&gt;=20/24</formula>
    </cfRule>
    <cfRule type="expression" dxfId="3476" priority="292">
      <formula>AND(L$9&gt;=14/24,L$9&lt;20/24)</formula>
    </cfRule>
    <cfRule type="expression" dxfId="3475" priority="293">
      <formula>AND(L$9&gt;=8/24,L$9&lt;14/24)</formula>
    </cfRule>
    <cfRule type="expression" dxfId="3474" priority="294">
      <formula>L$9&lt;8/24</formula>
    </cfRule>
  </conditionalFormatting>
  <conditionalFormatting sqref="L44:U47 V45:V47">
    <cfRule type="expression" dxfId="3473" priority="287">
      <formula>L$9&gt;=20/24</formula>
    </cfRule>
    <cfRule type="expression" dxfId="3472" priority="288">
      <formula>AND(L$9&gt;=14/24,L$9&lt;20/24)</formula>
    </cfRule>
    <cfRule type="expression" dxfId="3471" priority="289">
      <formula>AND(L$9&gt;=8/24,L$9&lt;14/24)</formula>
    </cfRule>
    <cfRule type="expression" dxfId="3470" priority="290">
      <formula>L$9&lt;8/24</formula>
    </cfRule>
  </conditionalFormatting>
  <conditionalFormatting sqref="R36:AF36">
    <cfRule type="expression" dxfId="3469" priority="283">
      <formula>R$9&gt;=20/24</formula>
    </cfRule>
    <cfRule type="expression" dxfId="3468" priority="284">
      <formula>AND(R$9&gt;=14/24,R$9&lt;20/24)</formula>
    </cfRule>
    <cfRule type="expression" dxfId="3467" priority="285">
      <formula>AND(R$9&gt;=8/24,R$9&lt;14/24)</formula>
    </cfRule>
    <cfRule type="expression" dxfId="3466" priority="286">
      <formula>R$9&lt;8/24</formula>
    </cfRule>
  </conditionalFormatting>
  <conditionalFormatting sqref="W31:AF32 W34:AF34">
    <cfRule type="expression" dxfId="3465" priority="279">
      <formula>W$9&gt;=20/24</formula>
    </cfRule>
    <cfRule type="expression" dxfId="3464" priority="280">
      <formula>AND(W$9&gt;=14/24,W$9&lt;20/24)</formula>
    </cfRule>
    <cfRule type="expression" dxfId="3463" priority="281">
      <formula>AND(W$9&gt;=8/24,W$9&lt;14/24)</formula>
    </cfRule>
    <cfRule type="expression" dxfId="3462" priority="282">
      <formula>W$9&lt;8/24</formula>
    </cfRule>
  </conditionalFormatting>
  <conditionalFormatting sqref="R41:T41 V44:AF47 V42:AF42">
    <cfRule type="expression" dxfId="3461" priority="275">
      <formula>R$9&gt;=20/24</formula>
    </cfRule>
    <cfRule type="expression" dxfId="3460" priority="276">
      <formula>AND(R$9&gt;=14/24,R$9&lt;20/24)</formula>
    </cfRule>
    <cfRule type="expression" dxfId="3459" priority="277">
      <formula>AND(R$9&gt;=8/24,R$9&lt;14/24)</formula>
    </cfRule>
    <cfRule type="expression" dxfId="3458" priority="278">
      <formula>R$9&lt;8/24</formula>
    </cfRule>
  </conditionalFormatting>
  <conditionalFormatting sqref="V48:AF48">
    <cfRule type="expression" dxfId="3457" priority="271">
      <formula>V$9&gt;=20/24</formula>
    </cfRule>
    <cfRule type="expression" dxfId="3456" priority="272">
      <formula>AND(V$9&gt;=14/24,V$9&lt;20/24)</formula>
    </cfRule>
    <cfRule type="expression" dxfId="3455" priority="273">
      <formula>AND(V$9&gt;=8/24,V$9&lt;14/24)</formula>
    </cfRule>
    <cfRule type="expression" dxfId="3454" priority="274">
      <formula>V$9&lt;8/24</formula>
    </cfRule>
  </conditionalFormatting>
  <conditionalFormatting sqref="V49:AF49">
    <cfRule type="expression" dxfId="3453" priority="267">
      <formula>V$9&gt;=20/24</formula>
    </cfRule>
    <cfRule type="expression" dxfId="3452" priority="268">
      <formula>AND(V$9&gt;=14/24,V$9&lt;20/24)</formula>
    </cfRule>
    <cfRule type="expression" dxfId="3451" priority="269">
      <formula>AND(V$9&gt;=8/24,V$9&lt;14/24)</formula>
    </cfRule>
    <cfRule type="expression" dxfId="3450" priority="270">
      <formula>V$9&lt;8/24</formula>
    </cfRule>
  </conditionalFormatting>
  <conditionalFormatting sqref="AB93:AF96">
    <cfRule type="expression" dxfId="3449" priority="259">
      <formula>AB$9&gt;=20/24</formula>
    </cfRule>
    <cfRule type="expression" dxfId="3448" priority="260">
      <formula>AND(AB$9&gt;=14/24,AB$9&lt;20/24)</formula>
    </cfRule>
    <cfRule type="expression" dxfId="3447" priority="261">
      <formula>AND(AB$9&gt;=8/24,AB$9&lt;14/24)</formula>
    </cfRule>
    <cfRule type="expression" dxfId="3446" priority="262">
      <formula>AB$9&lt;8/24</formula>
    </cfRule>
  </conditionalFormatting>
  <conditionalFormatting sqref="B61:M61">
    <cfRule type="expression" dxfId="3445" priority="255">
      <formula>B$9&gt;=20/24</formula>
    </cfRule>
    <cfRule type="expression" dxfId="3444" priority="256">
      <formula>AND(B$9&gt;=14/24,B$9&lt;20/24)</formula>
    </cfRule>
    <cfRule type="expression" dxfId="3443" priority="257">
      <formula>AND(B$9&gt;=8/24,B$9&lt;14/24)</formula>
    </cfRule>
    <cfRule type="expression" dxfId="3442" priority="258">
      <formula>B$9&lt;8/24</formula>
    </cfRule>
  </conditionalFormatting>
  <conditionalFormatting sqref="T93:AA96">
    <cfRule type="expression" dxfId="3441" priority="251">
      <formula>T$9&gt;=20/24</formula>
    </cfRule>
    <cfRule type="expression" dxfId="3440" priority="252">
      <formula>AND(T$9&gt;=14/24,T$9&lt;20/24)</formula>
    </cfRule>
    <cfRule type="expression" dxfId="3439" priority="253">
      <formula>AND(T$9&gt;=8/24,T$9&lt;14/24)</formula>
    </cfRule>
    <cfRule type="expression" dxfId="3438" priority="254">
      <formula>T$9&lt;8/24</formula>
    </cfRule>
  </conditionalFormatting>
  <conditionalFormatting sqref="AG50 O16:Q16 M12:Q12 B16:K32 O13:Q14 B34:K35 B11:K14 M35:N35 Q17 O34:P35 O17:P32 R12:T14 R16:U17 U13:V14 V17 W34:Z35 B36:Z36 M11:AF11 W18:AF22 AA34:AF36 B37:AF42 B44:AF55 W24:AF32">
    <cfRule type="expression" dxfId="3437" priority="250">
      <formula>B11&gt;$AG11</formula>
    </cfRule>
  </conditionalFormatting>
  <conditionalFormatting sqref="A99:A155 A83:A96 A11:A14 A16:A32 A44:A71 A79:A81 A73:A77 A34:A42 A168:A199">
    <cfRule type="expression" dxfId="3436" priority="249">
      <formula>$AH11=0</formula>
    </cfRule>
  </conditionalFormatting>
  <conditionalFormatting sqref="AB97:AF97">
    <cfRule type="expression" dxfId="3435" priority="245">
      <formula>AB$9&gt;=20/24</formula>
    </cfRule>
    <cfRule type="expression" dxfId="3434" priority="246">
      <formula>AND(AB$9&gt;=14/24,AB$9&lt;20/24)</formula>
    </cfRule>
    <cfRule type="expression" dxfId="3433" priority="247">
      <formula>AND(AB$9&gt;=8/24,AB$9&lt;14/24)</formula>
    </cfRule>
    <cfRule type="expression" dxfId="3432" priority="248">
      <formula>AB$9&lt;8/24</formula>
    </cfRule>
  </conditionalFormatting>
  <conditionalFormatting sqref="T97:AA97">
    <cfRule type="expression" dxfId="3431" priority="241">
      <formula>T$9&gt;=20/24</formula>
    </cfRule>
    <cfRule type="expression" dxfId="3430" priority="242">
      <formula>AND(T$9&gt;=14/24,T$9&lt;20/24)</formula>
    </cfRule>
    <cfRule type="expression" dxfId="3429" priority="243">
      <formula>AND(T$9&gt;=8/24,T$9&lt;14/24)</formula>
    </cfRule>
    <cfRule type="expression" dxfId="3428" priority="244">
      <formula>T$9&lt;8/24</formula>
    </cfRule>
  </conditionalFormatting>
  <conditionalFormatting sqref="A97">
    <cfRule type="expression" dxfId="3427" priority="240">
      <formula>$AH97=0</formula>
    </cfRule>
  </conditionalFormatting>
  <conditionalFormatting sqref="O35:P35 W35:AF35">
    <cfRule type="expression" dxfId="3426" priority="236">
      <formula>O$9&gt;=20/24</formula>
    </cfRule>
    <cfRule type="expression" dxfId="3425" priority="237">
      <formula>AND(O$9&gt;=14/24,O$9&lt;20/24)</formula>
    </cfRule>
    <cfRule type="expression" dxfId="3424" priority="238">
      <formula>AND(O$9&gt;=8/24,O$9&lt;14/24)</formula>
    </cfRule>
    <cfRule type="expression" dxfId="3423" priority="239">
      <formula>O$9&lt;8/24</formula>
    </cfRule>
  </conditionalFormatting>
  <conditionalFormatting sqref="W35:AF35">
    <cfRule type="expression" dxfId="3422" priority="232">
      <formula>W$9&gt;=20/24</formula>
    </cfRule>
    <cfRule type="expression" dxfId="3421" priority="233">
      <formula>AND(W$9&gt;=14/24,W$9&lt;20/24)</formula>
    </cfRule>
    <cfRule type="expression" dxfId="3420" priority="234">
      <formula>AND(W$9&gt;=8/24,W$9&lt;14/24)</formula>
    </cfRule>
    <cfRule type="expression" dxfId="3419" priority="235">
      <formula>W$9&lt;8/24</formula>
    </cfRule>
  </conditionalFormatting>
  <conditionalFormatting sqref="B35:K35 M35:N35">
    <cfRule type="expression" dxfId="3418" priority="228">
      <formula>B$9&gt;=20/24</formula>
    </cfRule>
    <cfRule type="expression" dxfId="3417" priority="229">
      <formula>AND(B$9&gt;=14/24,B$9&lt;20/24)</formula>
    </cfRule>
    <cfRule type="expression" dxfId="3416" priority="230">
      <formula>AND(B$9&gt;=8/24,B$9&lt;14/24)</formula>
    </cfRule>
    <cfRule type="expression" dxfId="3415" priority="231">
      <formula>B$9&lt;8/24</formula>
    </cfRule>
  </conditionalFormatting>
  <conditionalFormatting sqref="AL32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O33:P33">
    <cfRule type="expression" dxfId="3414" priority="211">
      <formula>O$9&gt;=20/24</formula>
    </cfRule>
    <cfRule type="expression" dxfId="3413" priority="212">
      <formula>AND(O$9&gt;=14/24,O$9&lt;20/24)</formula>
    </cfRule>
    <cfRule type="expression" dxfId="3412" priority="213">
      <formula>AND(O$9&gt;=8/24,O$9&lt;14/24)</formula>
    </cfRule>
    <cfRule type="expression" dxfId="3411" priority="214">
      <formula>O$9&lt;8/24</formula>
    </cfRule>
  </conditionalFormatting>
  <conditionalFormatting sqref="W33:AF33">
    <cfRule type="expression" dxfId="3410" priority="207">
      <formula>W$9&gt;=20/24</formula>
    </cfRule>
    <cfRule type="expression" dxfId="3409" priority="208">
      <formula>AND(W$9&gt;=14/24,W$9&lt;20/24)</formula>
    </cfRule>
    <cfRule type="expression" dxfId="3408" priority="209">
      <formula>AND(W$9&gt;=8/24,W$9&lt;14/24)</formula>
    </cfRule>
    <cfRule type="expression" dxfId="3407" priority="210">
      <formula>W$9&lt;8/24</formula>
    </cfRule>
  </conditionalFormatting>
  <conditionalFormatting sqref="B33:K33 O33:P33 W33:AF33">
    <cfRule type="expression" dxfId="3406" priority="206">
      <formula>B33&gt;$AG33</formula>
    </cfRule>
  </conditionalFormatting>
  <conditionalFormatting sqref="A33">
    <cfRule type="expression" dxfId="3405" priority="205">
      <formula>$AH33=0</formula>
    </cfRule>
  </conditionalFormatting>
  <conditionalFormatting sqref="B82:AF82">
    <cfRule type="expression" dxfId="3404" priority="201">
      <formula>B$9&gt;=20/24</formula>
    </cfRule>
    <cfRule type="expression" dxfId="3403" priority="202">
      <formula>AND(B$9&gt;=14/24,B$9&lt;20/24)</formula>
    </cfRule>
    <cfRule type="expression" dxfId="3402" priority="203">
      <formula>AND(B$9&gt;=8/24,B$9&lt;14/24)</formula>
    </cfRule>
    <cfRule type="expression" dxfId="3401" priority="204">
      <formula>B$9&lt;8/24</formula>
    </cfRule>
  </conditionalFormatting>
  <conditionalFormatting sqref="A82">
    <cfRule type="expression" dxfId="3400" priority="200">
      <formula>$AH82=0</formula>
    </cfRule>
  </conditionalFormatting>
  <conditionalFormatting sqref="O15:V15">
    <cfRule type="expression" dxfId="3399" priority="192">
      <formula>O$9&gt;=20/24</formula>
    </cfRule>
    <cfRule type="expression" dxfId="3398" priority="193">
      <formula>AND(O$9&gt;=14/24,O$9&lt;20/24)</formula>
    </cfRule>
    <cfRule type="expression" dxfId="3397" priority="194">
      <formula>AND(O$9&gt;=8/24,O$9&lt;14/24)</formula>
    </cfRule>
    <cfRule type="expression" dxfId="3396" priority="195">
      <formula>O$9&lt;8/24</formula>
    </cfRule>
  </conditionalFormatting>
  <conditionalFormatting sqref="B15:K15 O15:V15">
    <cfRule type="expression" dxfId="3395" priority="191">
      <formula>B15&gt;$AG15</formula>
    </cfRule>
  </conditionalFormatting>
  <conditionalFormatting sqref="A15">
    <cfRule type="expression" dxfId="3394" priority="190">
      <formula>$AH15=0</formula>
    </cfRule>
  </conditionalFormatting>
  <conditionalFormatting sqref="A162:A167">
    <cfRule type="expression" dxfId="3393" priority="189">
      <formula>$AH162=0</formula>
    </cfRule>
  </conditionalFormatting>
  <conditionalFormatting sqref="A156:A161">
    <cfRule type="expression" dxfId="3392" priority="188">
      <formula>$AH156=0</formula>
    </cfRule>
  </conditionalFormatting>
  <conditionalFormatting sqref="L43:U43">
    <cfRule type="expression" dxfId="3391" priority="180">
      <formula>L$9&gt;=20/24</formula>
    </cfRule>
    <cfRule type="expression" dxfId="3390" priority="181">
      <formula>AND(L$9&gt;=14/24,L$9&lt;20/24)</formula>
    </cfRule>
    <cfRule type="expression" dxfId="3389" priority="182">
      <formula>AND(L$9&gt;=8/24,L$9&lt;14/24)</formula>
    </cfRule>
    <cfRule type="expression" dxfId="3388" priority="183">
      <formula>L$9&lt;8/24</formula>
    </cfRule>
  </conditionalFormatting>
  <conditionalFormatting sqref="V43:AF43">
    <cfRule type="expression" dxfId="3387" priority="176">
      <formula>V$9&gt;=20/24</formula>
    </cfRule>
    <cfRule type="expression" dxfId="3386" priority="177">
      <formula>AND(V$9&gt;=14/24,V$9&lt;20/24)</formula>
    </cfRule>
    <cfRule type="expression" dxfId="3385" priority="178">
      <formula>AND(V$9&gt;=8/24,V$9&lt;14/24)</formula>
    </cfRule>
    <cfRule type="expression" dxfId="3384" priority="179">
      <formula>V$9&lt;8/24</formula>
    </cfRule>
  </conditionalFormatting>
  <conditionalFormatting sqref="B43:AF43">
    <cfRule type="expression" dxfId="3383" priority="175">
      <formula>B43&gt;$AG43</formula>
    </cfRule>
  </conditionalFormatting>
  <conditionalFormatting sqref="A43">
    <cfRule type="expression" dxfId="3382" priority="174">
      <formula>$AH43=0</formula>
    </cfRule>
  </conditionalFormatting>
  <conditionalFormatting sqref="B78:AF78">
    <cfRule type="expression" dxfId="3381" priority="170">
      <formula>B$9&gt;=20/24</formula>
    </cfRule>
    <cfRule type="expression" dxfId="3380" priority="171">
      <formula>AND(B$9&gt;=14/24,B$9&lt;20/24)</formula>
    </cfRule>
    <cfRule type="expression" dxfId="3379" priority="172">
      <formula>AND(B$9&gt;=8/24,B$9&lt;14/24)</formula>
    </cfRule>
    <cfRule type="expression" dxfId="3378" priority="173">
      <formula>B$9&lt;8/24</formula>
    </cfRule>
  </conditionalFormatting>
  <conditionalFormatting sqref="A78">
    <cfRule type="expression" dxfId="3377" priority="169">
      <formula>$AH78=0</formula>
    </cfRule>
  </conditionalFormatting>
  <conditionalFormatting sqref="B72:AG72">
    <cfRule type="expression" dxfId="3376" priority="165">
      <formula>B$9&gt;=20/24</formula>
    </cfRule>
    <cfRule type="expression" dxfId="3375" priority="166">
      <formula>AND(B$9&gt;=14/24,B$9&lt;20/24)</formula>
    </cfRule>
    <cfRule type="expression" dxfId="3374" priority="167">
      <formula>AND(B$9&gt;=8/24,B$9&lt;14/24)</formula>
    </cfRule>
    <cfRule type="expression" dxfId="3373" priority="168">
      <formula>B$9&lt;8/24</formula>
    </cfRule>
  </conditionalFormatting>
  <conditionalFormatting sqref="A72">
    <cfRule type="expression" dxfId="3372" priority="164">
      <formula>$AH72=0</formula>
    </cfRule>
  </conditionalFormatting>
  <conditionalFormatting sqref="AL33:AL34 AL7:AL31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3371" priority="156">
      <formula>T$9&gt;=20/24</formula>
    </cfRule>
    <cfRule type="expression" dxfId="3370" priority="157">
      <formula>AND(T$9&gt;=14/24,T$9&lt;20/24)</formula>
    </cfRule>
    <cfRule type="expression" dxfId="3369" priority="158">
      <formula>AND(T$9&gt;=8/24,T$9&lt;14/24)</formula>
    </cfRule>
    <cfRule type="expression" dxfId="3368" priority="159">
      <formula>T$9&lt;8/24</formula>
    </cfRule>
  </conditionalFormatting>
  <conditionalFormatting sqref="R84:S90 B83:Q90">
    <cfRule type="expression" dxfId="3367" priority="152">
      <formula>B$9&gt;=20/24</formula>
    </cfRule>
    <cfRule type="expression" dxfId="3366" priority="153">
      <formula>AND(B$9&gt;=14/24,B$9&lt;20/24)</formula>
    </cfRule>
    <cfRule type="expression" dxfId="3365" priority="154">
      <formula>AND(B$9&gt;=8/24,B$9&lt;14/24)</formula>
    </cfRule>
    <cfRule type="expression" dxfId="3364" priority="155">
      <formula>B$9&lt;8/24</formula>
    </cfRule>
  </conditionalFormatting>
  <conditionalFormatting sqref="R83:S83">
    <cfRule type="expression" dxfId="3363" priority="148">
      <formula>R$9&gt;=20/24</formula>
    </cfRule>
    <cfRule type="expression" dxfId="3362" priority="149">
      <formula>AND(R$9&gt;=14/24,R$9&lt;20/24)</formula>
    </cfRule>
    <cfRule type="expression" dxfId="3361" priority="150">
      <formula>AND(R$9&gt;=8/24,R$9&lt;14/24)</formula>
    </cfRule>
    <cfRule type="expression" dxfId="3360" priority="151">
      <formula>R$9&lt;8/24</formula>
    </cfRule>
  </conditionalFormatting>
  <conditionalFormatting sqref="B93:E93 B94:O96">
    <cfRule type="expression" dxfId="3359" priority="144">
      <formula>B$9&gt;=20/24</formula>
    </cfRule>
    <cfRule type="expression" dxfId="3358" priority="145">
      <formula>AND(B$9&gt;=14/24,B$9&lt;20/24)</formula>
    </cfRule>
    <cfRule type="expression" dxfId="3357" priority="146">
      <formula>AND(B$9&gt;=8/24,B$9&lt;14/24)</formula>
    </cfRule>
    <cfRule type="expression" dxfId="3356" priority="147">
      <formula>B$9&lt;8/24</formula>
    </cfRule>
  </conditionalFormatting>
  <conditionalFormatting sqref="P93:Q96">
    <cfRule type="expression" dxfId="3355" priority="140">
      <formula>P$9&gt;=20/24</formula>
    </cfRule>
    <cfRule type="expression" dxfId="3354" priority="141">
      <formula>AND(P$9&gt;=14/24,P$9&lt;20/24)</formula>
    </cfRule>
    <cfRule type="expression" dxfId="3353" priority="142">
      <formula>AND(P$9&gt;=8/24,P$9&lt;14/24)</formula>
    </cfRule>
    <cfRule type="expression" dxfId="3352" priority="143">
      <formula>P$9&lt;8/24</formula>
    </cfRule>
  </conditionalFormatting>
  <conditionalFormatting sqref="R93:S96">
    <cfRule type="expression" dxfId="3351" priority="136">
      <formula>R$9&gt;=20/24</formula>
    </cfRule>
    <cfRule type="expression" dxfId="3350" priority="137">
      <formula>AND(R$9&gt;=14/24,R$9&lt;20/24)</formula>
    </cfRule>
    <cfRule type="expression" dxfId="3349" priority="138">
      <formula>AND(R$9&gt;=8/24,R$9&lt;14/24)</formula>
    </cfRule>
    <cfRule type="expression" dxfId="3348" priority="139">
      <formula>R$9&lt;8/24</formula>
    </cfRule>
  </conditionalFormatting>
  <conditionalFormatting sqref="B97:O97">
    <cfRule type="expression" dxfId="3347" priority="132">
      <formula>B$9&gt;=20/24</formula>
    </cfRule>
    <cfRule type="expression" dxfId="3346" priority="133">
      <formula>AND(B$9&gt;=14/24,B$9&lt;20/24)</formula>
    </cfRule>
    <cfRule type="expression" dxfId="3345" priority="134">
      <formula>AND(B$9&gt;=8/24,B$9&lt;14/24)</formula>
    </cfRule>
    <cfRule type="expression" dxfId="3344" priority="135">
      <formula>B$9&lt;8/24</formula>
    </cfRule>
  </conditionalFormatting>
  <conditionalFormatting sqref="P97:Q97">
    <cfRule type="expression" dxfId="3343" priority="128">
      <formula>P$9&gt;=20/24</formula>
    </cfRule>
    <cfRule type="expression" dxfId="3342" priority="129">
      <formula>AND(P$9&gt;=14/24,P$9&lt;20/24)</formula>
    </cfRule>
    <cfRule type="expression" dxfId="3341" priority="130">
      <formula>AND(P$9&gt;=8/24,P$9&lt;14/24)</formula>
    </cfRule>
    <cfRule type="expression" dxfId="3340" priority="131">
      <formula>P$9&lt;8/24</formula>
    </cfRule>
  </conditionalFormatting>
  <conditionalFormatting sqref="R97:S97">
    <cfRule type="expression" dxfId="3339" priority="124">
      <formula>R$9&gt;=20/24</formula>
    </cfRule>
    <cfRule type="expression" dxfId="3338" priority="125">
      <formula>AND(R$9&gt;=14/24,R$9&lt;20/24)</formula>
    </cfRule>
    <cfRule type="expression" dxfId="3337" priority="126">
      <formula>AND(R$9&gt;=8/24,R$9&lt;14/24)</formula>
    </cfRule>
    <cfRule type="expression" dxfId="3336" priority="127">
      <formula>R$9&lt;8/24</formula>
    </cfRule>
  </conditionalFormatting>
  <conditionalFormatting sqref="L93:O93">
    <cfRule type="expression" dxfId="3335" priority="120">
      <formula>L$9&gt;=20/24</formula>
    </cfRule>
    <cfRule type="expression" dxfId="3334" priority="121">
      <formula>AND(L$9&gt;=14/24,L$9&lt;20/24)</formula>
    </cfRule>
    <cfRule type="expression" dxfId="3333" priority="122">
      <formula>AND(L$9&gt;=8/24,L$9&lt;14/24)</formula>
    </cfRule>
    <cfRule type="expression" dxfId="3332" priority="123">
      <formula>L$9&lt;8/24</formula>
    </cfRule>
  </conditionalFormatting>
  <conditionalFormatting sqref="F93:K93">
    <cfRule type="expression" dxfId="3331" priority="116">
      <formula>F$9&gt;=20/24</formula>
    </cfRule>
    <cfRule type="expression" dxfId="3330" priority="117">
      <formula>AND(F$9&gt;=14/24,F$9&lt;20/24)</formula>
    </cfRule>
    <cfRule type="expression" dxfId="3329" priority="118">
      <formula>AND(F$9&gt;=8/24,F$9&lt;14/24)</formula>
    </cfRule>
    <cfRule type="expression" dxfId="3328" priority="119">
      <formula>F$9&lt;8/24</formula>
    </cfRule>
  </conditionalFormatting>
  <conditionalFormatting sqref="T93:V93">
    <cfRule type="expression" dxfId="3327" priority="112">
      <formula>T$9&gt;=20/24</formula>
    </cfRule>
    <cfRule type="expression" dxfId="3326" priority="113">
      <formula>AND(T$9&gt;=14/24,T$9&lt;20/24)</formula>
    </cfRule>
    <cfRule type="expression" dxfId="3325" priority="114">
      <formula>AND(T$9&gt;=8/24,T$9&lt;14/24)</formula>
    </cfRule>
    <cfRule type="expression" dxfId="3324" priority="115">
      <formula>T$9&lt;8/24</formula>
    </cfRule>
  </conditionalFormatting>
  <conditionalFormatting sqref="P93:S93">
    <cfRule type="expression" dxfId="3323" priority="108">
      <formula>P$9&gt;=20/24</formula>
    </cfRule>
    <cfRule type="expression" dxfId="3322" priority="109">
      <formula>AND(P$9&gt;=14/24,P$9&lt;20/24)</formula>
    </cfRule>
    <cfRule type="expression" dxfId="3321" priority="110">
      <formula>AND(P$9&gt;=8/24,P$9&lt;14/24)</formula>
    </cfRule>
    <cfRule type="expression" dxfId="3320" priority="111">
      <formula>P$9&lt;8/24</formula>
    </cfRule>
  </conditionalFormatting>
  <conditionalFormatting sqref="AB98:AF98">
    <cfRule type="expression" dxfId="3319" priority="104">
      <formula>AB$9&gt;=20/24</formula>
    </cfRule>
    <cfRule type="expression" dxfId="3318" priority="105">
      <formula>AND(AB$9&gt;=14/24,AB$9&lt;20/24)</formula>
    </cfRule>
    <cfRule type="expression" dxfId="3317" priority="106">
      <formula>AND(AB$9&gt;=8/24,AB$9&lt;14/24)</formula>
    </cfRule>
    <cfRule type="expression" dxfId="3316" priority="107">
      <formula>AB$9&lt;8/24</formula>
    </cfRule>
  </conditionalFormatting>
  <conditionalFormatting sqref="T98:AA98">
    <cfRule type="expression" dxfId="3315" priority="100">
      <formula>T$9&gt;=20/24</formula>
    </cfRule>
    <cfRule type="expression" dxfId="3314" priority="101">
      <formula>AND(T$9&gt;=14/24,T$9&lt;20/24)</formula>
    </cfRule>
    <cfRule type="expression" dxfId="3313" priority="102">
      <formula>AND(T$9&gt;=8/24,T$9&lt;14/24)</formula>
    </cfRule>
    <cfRule type="expression" dxfId="3312" priority="103">
      <formula>T$9&lt;8/24</formula>
    </cfRule>
  </conditionalFormatting>
  <conditionalFormatting sqref="A98">
    <cfRule type="expression" dxfId="3311" priority="99">
      <formula>$AH98=0</formula>
    </cfRule>
  </conditionalFormatting>
  <conditionalFormatting sqref="B98:O98">
    <cfRule type="expression" dxfId="3310" priority="95">
      <formula>B$9&gt;=20/24</formula>
    </cfRule>
    <cfRule type="expression" dxfId="3309" priority="96">
      <formula>AND(B$9&gt;=14/24,B$9&lt;20/24)</formula>
    </cfRule>
    <cfRule type="expression" dxfId="3308" priority="97">
      <formula>AND(B$9&gt;=8/24,B$9&lt;14/24)</formula>
    </cfRule>
    <cfRule type="expression" dxfId="3307" priority="98">
      <formula>B$9&lt;8/24</formula>
    </cfRule>
  </conditionalFormatting>
  <conditionalFormatting sqref="P98:Q98">
    <cfRule type="expression" dxfId="3306" priority="91">
      <formula>P$9&gt;=20/24</formula>
    </cfRule>
    <cfRule type="expression" dxfId="3305" priority="92">
      <formula>AND(P$9&gt;=14/24,P$9&lt;20/24)</formula>
    </cfRule>
    <cfRule type="expression" dxfId="3304" priority="93">
      <formula>AND(P$9&gt;=8/24,P$9&lt;14/24)</formula>
    </cfRule>
    <cfRule type="expression" dxfId="3303" priority="94">
      <formula>P$9&lt;8/24</formula>
    </cfRule>
  </conditionalFormatting>
  <conditionalFormatting sqref="R98:S98">
    <cfRule type="expression" dxfId="3302" priority="87">
      <formula>R$9&gt;=20/24</formula>
    </cfRule>
    <cfRule type="expression" dxfId="3301" priority="88">
      <formula>AND(R$9&gt;=14/24,R$9&lt;20/24)</formula>
    </cfRule>
    <cfRule type="expression" dxfId="3300" priority="89">
      <formula>AND(R$9&gt;=8/24,R$9&lt;14/24)</formula>
    </cfRule>
    <cfRule type="expression" dxfId="3299" priority="90">
      <formula>R$9&lt;8/24</formula>
    </cfRule>
  </conditionalFormatting>
  <conditionalFormatting sqref="V16:W16 W12:W15 U12:V12 X12:AF16">
    <cfRule type="expression" dxfId="3298" priority="83">
      <formula>U$9&gt;=20/24</formula>
    </cfRule>
    <cfRule type="expression" dxfId="3297" priority="84">
      <formula>AND(U$9&gt;=14/24,U$9&lt;20/24)</formula>
    </cfRule>
    <cfRule type="expression" dxfId="3296" priority="85">
      <formula>AND(U$9&gt;=8/24,U$9&lt;14/24)</formula>
    </cfRule>
    <cfRule type="expression" dxfId="3295" priority="86">
      <formula>U$9&lt;8/24</formula>
    </cfRule>
  </conditionalFormatting>
  <conditionalFormatting sqref="W17:AF17">
    <cfRule type="expression" dxfId="3294" priority="79">
      <formula>W$9&gt;=20/24</formula>
    </cfRule>
    <cfRule type="expression" dxfId="3293" priority="80">
      <formula>AND(W$9&gt;=14/24,W$9&lt;20/24)</formula>
    </cfRule>
    <cfRule type="expression" dxfId="3292" priority="81">
      <formula>AND(W$9&gt;=8/24,W$9&lt;14/24)</formula>
    </cfRule>
    <cfRule type="expression" dxfId="3291" priority="82">
      <formula>W$9&lt;8/24</formula>
    </cfRule>
  </conditionalFormatting>
  <conditionalFormatting sqref="U12:V12 W12:AF13">
    <cfRule type="expression" dxfId="3290" priority="75">
      <formula>U$9&gt;=20/24</formula>
    </cfRule>
    <cfRule type="expression" dxfId="3289" priority="76">
      <formula>AND(U$9&gt;=14/24,U$9&lt;20/24)</formula>
    </cfRule>
    <cfRule type="expression" dxfId="3288" priority="77">
      <formula>AND(U$9&gt;=8/24,U$9&lt;14/24)</formula>
    </cfRule>
    <cfRule type="expression" dxfId="3287" priority="78">
      <formula>U$9&lt;8/24</formula>
    </cfRule>
  </conditionalFormatting>
  <conditionalFormatting sqref="AK12">
    <cfRule type="expression" dxfId="3286" priority="70">
      <formula>AK12&gt;$AG12</formula>
    </cfRule>
  </conditionalFormatting>
  <conditionalFormatting sqref="M16:N23 M13:N14 M25:N32">
    <cfRule type="expression" dxfId="3285" priority="66">
      <formula>M$9&gt;=20/24</formula>
    </cfRule>
    <cfRule type="expression" dxfId="3284" priority="67">
      <formula>AND(M$9&gt;=14/24,M$9&lt;20/24)</formula>
    </cfRule>
    <cfRule type="expression" dxfId="3283" priority="68">
      <formula>AND(M$9&gt;=8/24,M$9&lt;14/24)</formula>
    </cfRule>
    <cfRule type="expression" dxfId="3282" priority="69">
      <formula>M$9&lt;8/24</formula>
    </cfRule>
  </conditionalFormatting>
  <conditionalFormatting sqref="M34:N34">
    <cfRule type="expression" dxfId="3281" priority="62">
      <formula>M$9&gt;=20/24</formula>
    </cfRule>
    <cfRule type="expression" dxfId="3280" priority="63">
      <formula>AND(M$9&gt;=14/24,M$9&lt;20/24)</formula>
    </cfRule>
    <cfRule type="expression" dxfId="3279" priority="64">
      <formula>AND(M$9&gt;=8/24,M$9&lt;14/24)</formula>
    </cfRule>
    <cfRule type="expression" dxfId="3278" priority="65">
      <formula>M$9&lt;8/24</formula>
    </cfRule>
  </conditionalFormatting>
  <conditionalFormatting sqref="M16:N23 M34:N34 M13:N14 M25:N32">
    <cfRule type="expression" dxfId="3277" priority="61">
      <formula>M13&gt;$AG13</formula>
    </cfRule>
  </conditionalFormatting>
  <conditionalFormatting sqref="M33:N33">
    <cfRule type="expression" dxfId="3276" priority="57">
      <formula>M$9&gt;=20/24</formula>
    </cfRule>
    <cfRule type="expression" dxfId="3275" priority="58">
      <formula>AND(M$9&gt;=14/24,M$9&lt;20/24)</formula>
    </cfRule>
    <cfRule type="expression" dxfId="3274" priority="59">
      <formula>AND(M$9&gt;=8/24,M$9&lt;14/24)</formula>
    </cfRule>
    <cfRule type="expression" dxfId="3273" priority="60">
      <formula>M$9&lt;8/24</formula>
    </cfRule>
  </conditionalFormatting>
  <conditionalFormatting sqref="M33:N33">
    <cfRule type="expression" dxfId="3272" priority="56">
      <formula>M33&gt;$AG33</formula>
    </cfRule>
  </conditionalFormatting>
  <conditionalFormatting sqref="M15:N15">
    <cfRule type="expression" dxfId="3271" priority="52">
      <formula>M$9&gt;=20/24</formula>
    </cfRule>
    <cfRule type="expression" dxfId="3270" priority="53">
      <formula>AND(M$9&gt;=14/24,M$9&lt;20/24)</formula>
    </cfRule>
    <cfRule type="expression" dxfId="3269" priority="54">
      <formula>AND(M$9&gt;=8/24,M$9&lt;14/24)</formula>
    </cfRule>
    <cfRule type="expression" dxfId="3268" priority="55">
      <formula>M$9&lt;8/24</formula>
    </cfRule>
  </conditionalFormatting>
  <conditionalFormatting sqref="M15:N15">
    <cfRule type="expression" dxfId="3267" priority="51">
      <formula>M15&gt;$AG15</formula>
    </cfRule>
  </conditionalFormatting>
  <conditionalFormatting sqref="L16:L32 M24:N24">
    <cfRule type="expression" dxfId="3266" priority="47">
      <formula>L$9&gt;=20/24</formula>
    </cfRule>
    <cfRule type="expression" dxfId="3265" priority="48">
      <formula>AND(L$9&gt;=14/24,L$9&lt;20/24)</formula>
    </cfRule>
    <cfRule type="expression" dxfId="3264" priority="49">
      <formula>AND(L$9&gt;=8/24,L$9&lt;14/24)</formula>
    </cfRule>
    <cfRule type="expression" dxfId="3263" priority="50">
      <formula>L$9&lt;8/24</formula>
    </cfRule>
  </conditionalFormatting>
  <conditionalFormatting sqref="L34">
    <cfRule type="expression" dxfId="3262" priority="43">
      <formula>L$9&gt;=20/24</formula>
    </cfRule>
    <cfRule type="expression" dxfId="3261" priority="44">
      <formula>AND(L$9&gt;=14/24,L$9&lt;20/24)</formula>
    </cfRule>
    <cfRule type="expression" dxfId="3260" priority="45">
      <formula>AND(L$9&gt;=8/24,L$9&lt;14/24)</formula>
    </cfRule>
    <cfRule type="expression" dxfId="3259" priority="46">
      <formula>L$9&lt;8/24</formula>
    </cfRule>
  </conditionalFormatting>
  <conditionalFormatting sqref="L16:L32 L34:L35 M24:N24">
    <cfRule type="expression" dxfId="3258" priority="42">
      <formula>L16&gt;$AG16</formula>
    </cfRule>
  </conditionalFormatting>
  <conditionalFormatting sqref="L35">
    <cfRule type="expression" dxfId="3257" priority="38">
      <formula>L$9&gt;=20/24</formula>
    </cfRule>
    <cfRule type="expression" dxfId="3256" priority="39">
      <formula>AND(L$9&gt;=14/24,L$9&lt;20/24)</formula>
    </cfRule>
    <cfRule type="expression" dxfId="3255" priority="40">
      <formula>AND(L$9&gt;=8/24,L$9&lt;14/24)</formula>
    </cfRule>
    <cfRule type="expression" dxfId="3254" priority="41">
      <formula>L$9&lt;8/24</formula>
    </cfRule>
  </conditionalFormatting>
  <conditionalFormatting sqref="L33">
    <cfRule type="expression" dxfId="3253" priority="34">
      <formula>L$9&gt;=20/24</formula>
    </cfRule>
    <cfRule type="expression" dxfId="3252" priority="35">
      <formula>AND(L$9&gt;=14/24,L$9&lt;20/24)</formula>
    </cfRule>
    <cfRule type="expression" dxfId="3251" priority="36">
      <formula>AND(L$9&gt;=8/24,L$9&lt;14/24)</formula>
    </cfRule>
    <cfRule type="expression" dxfId="3250" priority="37">
      <formula>L$9&lt;8/24</formula>
    </cfRule>
  </conditionalFormatting>
  <conditionalFormatting sqref="L33">
    <cfRule type="expression" dxfId="3249" priority="33">
      <formula>L33&gt;$AG33</formula>
    </cfRule>
  </conditionalFormatting>
  <conditionalFormatting sqref="L15">
    <cfRule type="expression" dxfId="3248" priority="29">
      <formula>L$9&gt;=20/24</formula>
    </cfRule>
    <cfRule type="expression" dxfId="3247" priority="30">
      <formula>AND(L$9&gt;=14/24,L$9&lt;20/24)</formula>
    </cfRule>
    <cfRule type="expression" dxfId="3246" priority="31">
      <formula>AND(L$9&gt;=8/24,L$9&lt;14/24)</formula>
    </cfRule>
    <cfRule type="expression" dxfId="3245" priority="32">
      <formula>L$9&lt;8/24</formula>
    </cfRule>
  </conditionalFormatting>
  <conditionalFormatting sqref="L15">
    <cfRule type="expression" dxfId="3244" priority="28">
      <formula>L15&gt;$AG15</formula>
    </cfRule>
  </conditionalFormatting>
  <conditionalFormatting sqref="L36">
    <cfRule type="expression" dxfId="3243" priority="24">
      <formula>L$9&gt;=20/24</formula>
    </cfRule>
    <cfRule type="expression" dxfId="3242" priority="25">
      <formula>AND(L$9&gt;=14/24,L$9&lt;20/24)</formula>
    </cfRule>
    <cfRule type="expression" dxfId="3241" priority="26">
      <formula>AND(L$9&gt;=8/24,L$9&lt;14/24)</formula>
    </cfRule>
    <cfRule type="expression" dxfId="3240" priority="27">
      <formula>L$9&lt;8/24</formula>
    </cfRule>
  </conditionalFormatting>
  <conditionalFormatting sqref="L11:L14">
    <cfRule type="expression" dxfId="3239" priority="20">
      <formula>L$9&gt;=20/24</formula>
    </cfRule>
    <cfRule type="expression" dxfId="3238" priority="21">
      <formula>AND(L$9&gt;=14/24,L$9&lt;20/24)</formula>
    </cfRule>
    <cfRule type="expression" dxfId="3237" priority="22">
      <formula>AND(L$9&gt;=8/24,L$9&lt;14/24)</formula>
    </cfRule>
    <cfRule type="expression" dxfId="3236" priority="23">
      <formula>L$9&lt;8/24</formula>
    </cfRule>
  </conditionalFormatting>
  <conditionalFormatting sqref="L11:L14">
    <cfRule type="expression" dxfId="3235" priority="19">
      <formula>L11&gt;$AG11</formula>
    </cfRule>
  </conditionalFormatting>
  <conditionalFormatting sqref="Q18:V22 Q24:V32 Q23:AF23">
    <cfRule type="expression" dxfId="3234" priority="15">
      <formula>Q$9&gt;=20/24</formula>
    </cfRule>
    <cfRule type="expression" dxfId="3233" priority="16">
      <formula>AND(Q$9&gt;=14/24,Q$9&lt;20/24)</formula>
    </cfRule>
    <cfRule type="expression" dxfId="3232" priority="17">
      <formula>AND(Q$9&gt;=8/24,Q$9&lt;14/24)</formula>
    </cfRule>
    <cfRule type="expression" dxfId="3231" priority="18">
      <formula>Q$9&lt;8/24</formula>
    </cfRule>
  </conditionalFormatting>
  <conditionalFormatting sqref="Q34:V34">
    <cfRule type="expression" dxfId="3230" priority="11">
      <formula>Q$9&gt;=20/24</formula>
    </cfRule>
    <cfRule type="expression" dxfId="3229" priority="12">
      <formula>AND(Q$9&gt;=14/24,Q$9&lt;20/24)</formula>
    </cfRule>
    <cfRule type="expression" dxfId="3228" priority="13">
      <formula>AND(Q$9&gt;=8/24,Q$9&lt;14/24)</formula>
    </cfRule>
    <cfRule type="expression" dxfId="3227" priority="14">
      <formula>Q$9&lt;8/24</formula>
    </cfRule>
  </conditionalFormatting>
  <conditionalFormatting sqref="Q34:V35 Q18:V22 Q24:V32 Q23:AF23">
    <cfRule type="expression" dxfId="3226" priority="10">
      <formula>Q18&gt;$AG18</formula>
    </cfRule>
  </conditionalFormatting>
  <conditionalFormatting sqref="Q35:V35">
    <cfRule type="expression" dxfId="3225" priority="6">
      <formula>Q$9&gt;=20/24</formula>
    </cfRule>
    <cfRule type="expression" dxfId="3224" priority="7">
      <formula>AND(Q$9&gt;=14/24,Q$9&lt;20/24)</formula>
    </cfRule>
    <cfRule type="expression" dxfId="3223" priority="8">
      <formula>AND(Q$9&gt;=8/24,Q$9&lt;14/24)</formula>
    </cfRule>
    <cfRule type="expression" dxfId="3222" priority="9">
      <formula>Q$9&lt;8/24</formula>
    </cfRule>
  </conditionalFormatting>
  <conditionalFormatting sqref="Q33:V33">
    <cfRule type="expression" dxfId="3221" priority="2">
      <formula>Q$9&gt;=20/24</formula>
    </cfRule>
    <cfRule type="expression" dxfId="3220" priority="3">
      <formula>AND(Q$9&gt;=14/24,Q$9&lt;20/24)</formula>
    </cfRule>
    <cfRule type="expression" dxfId="3219" priority="4">
      <formula>AND(Q$9&gt;=8/24,Q$9&lt;14/24)</formula>
    </cfRule>
    <cfRule type="expression" dxfId="3218" priority="5">
      <formula>Q$9&lt;8/24</formula>
    </cfRule>
  </conditionalFormatting>
  <conditionalFormatting sqref="Q33:V33">
    <cfRule type="expression" dxfId="3217" priority="1">
      <formula>Q33&gt;$AG33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U9" sqref="U9:U10"/>
    </sheetView>
  </sheetViews>
  <sheetFormatPr defaultRowHeight="15" x14ac:dyDescent="0.25"/>
  <cols>
    <col min="1" max="1" width="32.85546875" bestFit="1" customWidth="1"/>
    <col min="2" max="2" width="7.7109375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2078/07/23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-57.9</v>
      </c>
      <c r="C5" s="32">
        <f t="shared" ref="C5:AF5" si="0">C67</f>
        <v>-52</v>
      </c>
      <c r="D5" s="32">
        <f t="shared" si="0"/>
        <v>-47</v>
      </c>
      <c r="E5" s="32">
        <f t="shared" si="0"/>
        <v>-54</v>
      </c>
      <c r="F5" s="32">
        <f t="shared" si="0"/>
        <v>-48</v>
      </c>
      <c r="G5" s="32">
        <f t="shared" si="0"/>
        <v>-51.3</v>
      </c>
      <c r="H5" s="32">
        <f t="shared" si="0"/>
        <v>-56.9</v>
      </c>
      <c r="I5" s="32">
        <f t="shared" si="0"/>
        <v>-57</v>
      </c>
      <c r="J5" s="32">
        <f t="shared" si="0"/>
        <v>-61</v>
      </c>
      <c r="K5" s="32">
        <f t="shared" si="0"/>
        <v>-60.2</v>
      </c>
      <c r="L5" s="32">
        <f t="shared" si="0"/>
        <v>-50</v>
      </c>
      <c r="M5" s="32">
        <f t="shared" si="0"/>
        <v>-59</v>
      </c>
      <c r="N5" s="32">
        <f t="shared" si="0"/>
        <v>-72</v>
      </c>
      <c r="O5" s="32">
        <f t="shared" si="0"/>
        <v>-54</v>
      </c>
      <c r="P5" s="32">
        <f t="shared" si="0"/>
        <v>-61</v>
      </c>
      <c r="Q5" s="32">
        <f t="shared" si="0"/>
        <v>-49.1</v>
      </c>
      <c r="R5" s="32">
        <f t="shared" si="0"/>
        <v>-67.7</v>
      </c>
      <c r="S5" s="32">
        <f t="shared" si="0"/>
        <v>-49.2</v>
      </c>
      <c r="T5" s="32">
        <f t="shared" si="0"/>
        <v>-72</v>
      </c>
      <c r="U5" s="32">
        <f t="shared" si="0"/>
        <v>-53.2</v>
      </c>
      <c r="V5" s="32">
        <f t="shared" si="0"/>
        <v>-66</v>
      </c>
      <c r="W5" s="32">
        <f t="shared" si="0"/>
        <v>-52.1</v>
      </c>
      <c r="X5" s="32">
        <f t="shared" si="0"/>
        <v>-52.1</v>
      </c>
      <c r="Y5" s="32">
        <f t="shared" si="0"/>
        <v>-49</v>
      </c>
      <c r="Z5" s="32">
        <f t="shared" si="0"/>
        <v>-71</v>
      </c>
      <c r="AA5" s="32">
        <f t="shared" si="0"/>
        <v>-76</v>
      </c>
      <c r="AB5" s="32">
        <f t="shared" si="0"/>
        <v>-65</v>
      </c>
      <c r="AC5" s="32">
        <f t="shared" si="0"/>
        <v>-72.900000000000006</v>
      </c>
      <c r="AD5" s="32">
        <f t="shared" si="0"/>
        <v>-65</v>
      </c>
      <c r="AE5" s="32">
        <f t="shared" si="0"/>
        <v>-45.3</v>
      </c>
      <c r="AF5" s="32">
        <f t="shared" si="0"/>
        <v>-54.2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1086MW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Load=745</v>
      </c>
      <c r="B7" s="37">
        <f t="shared" ref="B7:AF7" si="1">B74</f>
        <v>777.63999999999987</v>
      </c>
      <c r="C7" s="37">
        <f t="shared" si="1"/>
        <v>754.44</v>
      </c>
      <c r="D7" s="37">
        <f t="shared" si="1"/>
        <v>745.44</v>
      </c>
      <c r="E7" s="37">
        <f t="shared" si="1"/>
        <v>759.44</v>
      </c>
      <c r="F7" s="37">
        <f t="shared" si="1"/>
        <v>795.14</v>
      </c>
      <c r="G7" s="37">
        <f t="shared" si="1"/>
        <v>853.93999999999994</v>
      </c>
      <c r="H7" s="37">
        <f t="shared" si="1"/>
        <v>863.34</v>
      </c>
      <c r="I7" s="37">
        <f t="shared" si="1"/>
        <v>966.83999999999992</v>
      </c>
      <c r="J7" s="37">
        <f t="shared" si="1"/>
        <v>1017.3399999999999</v>
      </c>
      <c r="K7" s="37">
        <f t="shared" si="1"/>
        <v>1086.04</v>
      </c>
      <c r="L7" s="37">
        <f>L74</f>
        <v>1083.74</v>
      </c>
      <c r="M7" s="37">
        <f t="shared" si="1"/>
        <v>1033.04</v>
      </c>
      <c r="N7" s="37">
        <f t="shared" si="1"/>
        <v>992.83999999999992</v>
      </c>
      <c r="O7" s="37">
        <f t="shared" si="1"/>
        <v>1003.6399999999999</v>
      </c>
      <c r="P7" s="37">
        <f t="shared" si="1"/>
        <v>941.74</v>
      </c>
      <c r="Q7" s="37">
        <f t="shared" si="1"/>
        <v>934.84</v>
      </c>
      <c r="R7" s="37">
        <f t="shared" si="1"/>
        <v>930.13999999999987</v>
      </c>
      <c r="S7" s="37">
        <f t="shared" si="1"/>
        <v>955.43999999999994</v>
      </c>
      <c r="T7" s="37">
        <f t="shared" si="1"/>
        <v>975.93999999999994</v>
      </c>
      <c r="U7" s="37">
        <f t="shared" si="1"/>
        <v>1031.6399999999999</v>
      </c>
      <c r="V7" s="37">
        <f t="shared" si="1"/>
        <v>1153.54</v>
      </c>
      <c r="W7" s="37">
        <f t="shared" si="1"/>
        <v>1296.74</v>
      </c>
      <c r="X7" s="37">
        <f t="shared" si="1"/>
        <v>1264.54</v>
      </c>
      <c r="Y7" s="37">
        <f t="shared" si="1"/>
        <v>1203.6400000000001</v>
      </c>
      <c r="Z7" s="37">
        <f t="shared" si="1"/>
        <v>1132.04</v>
      </c>
      <c r="AA7" s="37">
        <f t="shared" si="1"/>
        <v>1059.1400000000001</v>
      </c>
      <c r="AB7" s="37">
        <f t="shared" si="1"/>
        <v>1024.6400000000001</v>
      </c>
      <c r="AC7" s="37">
        <f t="shared" si="1"/>
        <v>925.43999999999994</v>
      </c>
      <c r="AD7" s="37">
        <f t="shared" si="1"/>
        <v>819.04</v>
      </c>
      <c r="AE7" s="37">
        <f t="shared" si="1"/>
        <v>785.54</v>
      </c>
      <c r="AF7" s="37">
        <f t="shared" si="1"/>
        <v>765.24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80</v>
      </c>
      <c r="C11" s="49">
        <v>70</v>
      </c>
      <c r="D11" s="49">
        <v>70</v>
      </c>
      <c r="E11" s="49">
        <v>60</v>
      </c>
      <c r="F11" s="49">
        <v>60</v>
      </c>
      <c r="G11" s="49">
        <v>70</v>
      </c>
      <c r="H11" s="49">
        <v>80</v>
      </c>
      <c r="I11" s="49">
        <v>120</v>
      </c>
      <c r="J11" s="49">
        <v>130</v>
      </c>
      <c r="K11" s="49">
        <v>160</v>
      </c>
      <c r="L11" s="60">
        <v>151</v>
      </c>
      <c r="M11" s="50">
        <v>135</v>
      </c>
      <c r="N11" s="50">
        <v>120</v>
      </c>
      <c r="O11" s="50">
        <v>120</v>
      </c>
      <c r="P11" s="50">
        <v>100</v>
      </c>
      <c r="Q11" s="50">
        <v>100</v>
      </c>
      <c r="R11" s="52">
        <v>100</v>
      </c>
      <c r="S11" s="52">
        <v>100</v>
      </c>
      <c r="T11" s="52">
        <v>100</v>
      </c>
      <c r="U11" s="52">
        <v>100</v>
      </c>
      <c r="V11" s="52">
        <v>180</v>
      </c>
      <c r="W11" s="52">
        <v>280</v>
      </c>
      <c r="X11" s="52">
        <v>250</v>
      </c>
      <c r="Y11" s="53">
        <v>220</v>
      </c>
      <c r="Z11" s="54">
        <v>180</v>
      </c>
      <c r="AA11" s="54">
        <v>160</v>
      </c>
      <c r="AB11" s="54">
        <v>150</v>
      </c>
      <c r="AC11" s="54">
        <v>120</v>
      </c>
      <c r="AD11" s="54">
        <v>80</v>
      </c>
      <c r="AE11" s="54">
        <v>70</v>
      </c>
      <c r="AF11" s="54">
        <v>70</v>
      </c>
      <c r="AG11" s="55">
        <v>456</v>
      </c>
      <c r="AH11" s="56">
        <f>MAX(B11:AF11)</f>
        <v>280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60">
        <v>40</v>
      </c>
      <c r="H12" s="60">
        <v>40</v>
      </c>
      <c r="I12" s="60">
        <v>40</v>
      </c>
      <c r="J12" s="60">
        <v>50</v>
      </c>
      <c r="K12" s="60">
        <v>50</v>
      </c>
      <c r="L12" s="60">
        <v>50</v>
      </c>
      <c r="M12" s="60">
        <v>50</v>
      </c>
      <c r="N12" s="60">
        <v>50</v>
      </c>
      <c r="O12" s="60">
        <v>50</v>
      </c>
      <c r="P12" s="60">
        <v>50</v>
      </c>
      <c r="Q12" s="60">
        <v>50</v>
      </c>
      <c r="R12" s="60">
        <v>50</v>
      </c>
      <c r="S12" s="60">
        <v>50</v>
      </c>
      <c r="T12" s="60">
        <v>50</v>
      </c>
      <c r="U12" s="60">
        <v>50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50</v>
      </c>
      <c r="AB12" s="60">
        <v>50</v>
      </c>
      <c r="AC12" s="60">
        <v>50</v>
      </c>
      <c r="AD12" s="60">
        <v>40</v>
      </c>
      <c r="AE12" s="60">
        <v>40</v>
      </c>
      <c r="AF12" s="60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60">
        <v>20</v>
      </c>
      <c r="C13" s="60">
        <v>20</v>
      </c>
      <c r="D13" s="60">
        <v>20</v>
      </c>
      <c r="E13" s="60">
        <v>20</v>
      </c>
      <c r="F13" s="60">
        <v>26</v>
      </c>
      <c r="G13" s="60">
        <v>26</v>
      </c>
      <c r="H13" s="60">
        <v>26</v>
      </c>
      <c r="I13" s="60">
        <v>26</v>
      </c>
      <c r="J13" s="60">
        <v>26</v>
      </c>
      <c r="K13" s="60">
        <v>26</v>
      </c>
      <c r="L13" s="60">
        <v>26</v>
      </c>
      <c r="M13" s="60">
        <v>26</v>
      </c>
      <c r="N13" s="60">
        <v>26</v>
      </c>
      <c r="O13" s="60">
        <v>26</v>
      </c>
      <c r="P13" s="60">
        <v>36</v>
      </c>
      <c r="Q13" s="60">
        <v>36</v>
      </c>
      <c r="R13" s="60">
        <v>36</v>
      </c>
      <c r="S13" s="60">
        <v>36</v>
      </c>
      <c r="T13" s="60">
        <v>36</v>
      </c>
      <c r="U13" s="60">
        <v>36</v>
      </c>
      <c r="V13" s="60">
        <v>36</v>
      </c>
      <c r="W13" s="60">
        <v>36</v>
      </c>
      <c r="X13" s="60">
        <v>36</v>
      </c>
      <c r="Y13" s="60">
        <v>36</v>
      </c>
      <c r="Z13" s="60">
        <v>36</v>
      </c>
      <c r="AA13" s="60">
        <v>36</v>
      </c>
      <c r="AB13" s="60">
        <v>36</v>
      </c>
      <c r="AC13" s="60">
        <v>36</v>
      </c>
      <c r="AD13" s="60">
        <v>36</v>
      </c>
      <c r="AE13" s="60">
        <v>20</v>
      </c>
      <c r="AF13" s="60">
        <v>20</v>
      </c>
      <c r="AG13" s="61">
        <v>52.4</v>
      </c>
      <c r="AH13" s="56">
        <f t="shared" si="2"/>
        <v>36</v>
      </c>
      <c r="AI13" s="57">
        <f t="shared" si="3"/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62">
        <v>25.5</v>
      </c>
      <c r="C14" s="62">
        <v>25.5</v>
      </c>
      <c r="D14" s="62">
        <v>25.5</v>
      </c>
      <c r="E14" s="62">
        <v>25.5</v>
      </c>
      <c r="F14" s="62">
        <v>25.5</v>
      </c>
      <c r="G14" s="62">
        <v>25.5</v>
      </c>
      <c r="H14" s="62">
        <v>25.5</v>
      </c>
      <c r="I14" s="62">
        <v>25.5</v>
      </c>
      <c r="J14" s="62">
        <v>25.5</v>
      </c>
      <c r="K14" s="62">
        <v>25.5</v>
      </c>
      <c r="L14" s="62">
        <v>25.5</v>
      </c>
      <c r="M14" s="62">
        <v>25.5</v>
      </c>
      <c r="N14" s="62">
        <v>25.5</v>
      </c>
      <c r="O14" s="62">
        <v>25.5</v>
      </c>
      <c r="P14" s="62">
        <v>25.5</v>
      </c>
      <c r="Q14" s="62">
        <v>25.5</v>
      </c>
      <c r="R14" s="62">
        <v>25.5</v>
      </c>
      <c r="S14" s="62">
        <v>25.5</v>
      </c>
      <c r="T14" s="62">
        <v>25.5</v>
      </c>
      <c r="U14" s="62">
        <v>25.5</v>
      </c>
      <c r="V14" s="62">
        <v>25.5</v>
      </c>
      <c r="W14" s="62">
        <v>25.5</v>
      </c>
      <c r="X14" s="62">
        <v>25.5</v>
      </c>
      <c r="Y14" s="62">
        <v>25.5</v>
      </c>
      <c r="Z14" s="62">
        <v>25.5</v>
      </c>
      <c r="AA14" s="62">
        <v>25.5</v>
      </c>
      <c r="AB14" s="62">
        <v>25.5</v>
      </c>
      <c r="AC14" s="62">
        <v>25.5</v>
      </c>
      <c r="AD14" s="62">
        <v>25.5</v>
      </c>
      <c r="AE14" s="62">
        <v>25.5</v>
      </c>
      <c r="AF14" s="62">
        <v>25.7</v>
      </c>
      <c r="AG14" s="61">
        <v>50</v>
      </c>
      <c r="AH14" s="56">
        <f t="shared" si="2"/>
        <v>25.7</v>
      </c>
      <c r="AI14" s="57">
        <f t="shared" si="3"/>
        <v>25.5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2">
        <v>36.9</v>
      </c>
      <c r="C15" s="62">
        <v>36.9</v>
      </c>
      <c r="D15" s="62">
        <v>36.9</v>
      </c>
      <c r="E15" s="62">
        <v>36.9</v>
      </c>
      <c r="F15" s="62">
        <v>36.9</v>
      </c>
      <c r="G15" s="62">
        <v>36.9</v>
      </c>
      <c r="H15" s="62">
        <v>36.9</v>
      </c>
      <c r="I15" s="62">
        <v>36.9</v>
      </c>
      <c r="J15" s="62">
        <v>36.9</v>
      </c>
      <c r="K15" s="62">
        <v>36.9</v>
      </c>
      <c r="L15" s="62">
        <v>36.9</v>
      </c>
      <c r="M15" s="62">
        <v>36.9</v>
      </c>
      <c r="N15" s="62">
        <v>36.9</v>
      </c>
      <c r="O15" s="62">
        <v>36.9</v>
      </c>
      <c r="P15" s="62">
        <v>36.9</v>
      </c>
      <c r="Q15" s="62">
        <v>36.9</v>
      </c>
      <c r="R15" s="62">
        <v>36.9</v>
      </c>
      <c r="S15" s="62">
        <v>36.9</v>
      </c>
      <c r="T15" s="62">
        <v>36.9</v>
      </c>
      <c r="U15" s="62">
        <v>36.9</v>
      </c>
      <c r="V15" s="62">
        <v>41</v>
      </c>
      <c r="W15" s="62">
        <v>41</v>
      </c>
      <c r="X15" s="62">
        <v>41</v>
      </c>
      <c r="Y15" s="62">
        <v>41</v>
      </c>
      <c r="Z15" s="62">
        <v>41</v>
      </c>
      <c r="AA15" s="62">
        <v>41</v>
      </c>
      <c r="AB15" s="62">
        <v>41</v>
      </c>
      <c r="AC15" s="62">
        <v>41</v>
      </c>
      <c r="AD15" s="62">
        <v>41</v>
      </c>
      <c r="AE15" s="62">
        <v>37</v>
      </c>
      <c r="AF15" s="62">
        <v>36.9</v>
      </c>
      <c r="AG15" s="64">
        <v>45</v>
      </c>
      <c r="AH15" s="56">
        <f t="shared" si="2"/>
        <v>41</v>
      </c>
      <c r="AI15" s="57">
        <f t="shared" si="3"/>
        <v>36.9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15</v>
      </c>
      <c r="C16" s="65">
        <v>15</v>
      </c>
      <c r="D16" s="65">
        <v>15</v>
      </c>
      <c r="E16" s="65">
        <v>15</v>
      </c>
      <c r="F16" s="65">
        <v>15</v>
      </c>
      <c r="G16" s="65">
        <v>15</v>
      </c>
      <c r="H16" s="65">
        <v>15</v>
      </c>
      <c r="I16" s="65">
        <v>23</v>
      </c>
      <c r="J16" s="65">
        <v>23</v>
      </c>
      <c r="K16" s="65">
        <v>23</v>
      </c>
      <c r="L16" s="65">
        <v>23</v>
      </c>
      <c r="M16" s="65">
        <v>23</v>
      </c>
      <c r="N16" s="65">
        <v>23</v>
      </c>
      <c r="O16" s="65">
        <v>23</v>
      </c>
      <c r="P16" s="65">
        <v>23</v>
      </c>
      <c r="Q16" s="65">
        <v>23</v>
      </c>
      <c r="R16" s="65">
        <v>23</v>
      </c>
      <c r="S16" s="65">
        <v>23</v>
      </c>
      <c r="T16" s="65">
        <v>23</v>
      </c>
      <c r="U16" s="65">
        <v>23</v>
      </c>
      <c r="V16" s="65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2"/>
        <v>23</v>
      </c>
      <c r="AI16" s="57">
        <f t="shared" si="3"/>
        <v>15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62">
        <v>5</v>
      </c>
      <c r="C17" s="62">
        <v>5</v>
      </c>
      <c r="D17" s="62">
        <v>5</v>
      </c>
      <c r="E17" s="62">
        <v>5</v>
      </c>
      <c r="F17" s="62">
        <v>5</v>
      </c>
      <c r="G17" s="62">
        <v>5</v>
      </c>
      <c r="H17" s="62">
        <v>5</v>
      </c>
      <c r="I17" s="62">
        <v>5</v>
      </c>
      <c r="J17" s="62">
        <v>5</v>
      </c>
      <c r="K17" s="62">
        <v>5</v>
      </c>
      <c r="L17" s="62">
        <v>25</v>
      </c>
      <c r="M17" s="62">
        <v>25</v>
      </c>
      <c r="N17" s="62">
        <v>25</v>
      </c>
      <c r="O17" s="62">
        <v>25</v>
      </c>
      <c r="P17" s="62">
        <v>25</v>
      </c>
      <c r="Q17" s="62">
        <v>25</v>
      </c>
      <c r="R17" s="62">
        <v>25</v>
      </c>
      <c r="S17" s="62">
        <v>25</v>
      </c>
      <c r="T17" s="62">
        <v>25</v>
      </c>
      <c r="U17" s="62">
        <v>25</v>
      </c>
      <c r="V17" s="62">
        <v>25</v>
      </c>
      <c r="W17" s="62">
        <v>25</v>
      </c>
      <c r="X17" s="62">
        <v>25</v>
      </c>
      <c r="Y17" s="62">
        <v>25</v>
      </c>
      <c r="Z17" s="62">
        <v>25</v>
      </c>
      <c r="AA17" s="62">
        <v>25</v>
      </c>
      <c r="AB17" s="62">
        <v>25</v>
      </c>
      <c r="AC17" s="62">
        <v>25</v>
      </c>
      <c r="AD17" s="62">
        <v>25</v>
      </c>
      <c r="AE17" s="62">
        <v>25</v>
      </c>
      <c r="AF17" s="62">
        <v>25</v>
      </c>
      <c r="AG17" s="61">
        <v>42</v>
      </c>
      <c r="AH17" s="56">
        <f t="shared" si="2"/>
        <v>25</v>
      </c>
      <c r="AI17" s="57">
        <f t="shared" si="3"/>
        <v>5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22.5</v>
      </c>
      <c r="C19" s="50">
        <v>22.5</v>
      </c>
      <c r="D19" s="50">
        <v>22.5</v>
      </c>
      <c r="E19" s="50">
        <v>22.5</v>
      </c>
      <c r="F19" s="50">
        <v>22.5</v>
      </c>
      <c r="G19" s="50">
        <v>22.5</v>
      </c>
      <c r="H19" s="50">
        <v>22.5</v>
      </c>
      <c r="I19" s="50">
        <v>22.5</v>
      </c>
      <c r="J19" s="50">
        <v>22.5</v>
      </c>
      <c r="K19" s="50">
        <v>22.5</v>
      </c>
      <c r="L19" s="50">
        <v>22.5</v>
      </c>
      <c r="M19" s="50">
        <v>22.5</v>
      </c>
      <c r="N19" s="50">
        <v>22.5</v>
      </c>
      <c r="O19" s="50">
        <v>22.5</v>
      </c>
      <c r="P19" s="50">
        <v>22.5</v>
      </c>
      <c r="Q19" s="50">
        <v>22.5</v>
      </c>
      <c r="R19" s="50">
        <v>23.7</v>
      </c>
      <c r="S19" s="50">
        <v>23.7</v>
      </c>
      <c r="T19" s="50">
        <v>23.7</v>
      </c>
      <c r="U19" s="50">
        <v>23.7</v>
      </c>
      <c r="V19" s="50">
        <v>23.7</v>
      </c>
      <c r="W19" s="50">
        <v>24.5</v>
      </c>
      <c r="X19" s="50">
        <v>24.5</v>
      </c>
      <c r="Y19" s="50">
        <v>24.5</v>
      </c>
      <c r="Z19" s="50">
        <v>24.5</v>
      </c>
      <c r="AA19" s="50">
        <v>24.5</v>
      </c>
      <c r="AB19" s="50">
        <v>24.5</v>
      </c>
      <c r="AC19" s="50">
        <v>24.5</v>
      </c>
      <c r="AD19" s="50">
        <v>24.5</v>
      </c>
      <c r="AE19" s="50">
        <v>24.5</v>
      </c>
      <c r="AF19" s="50">
        <v>24.5</v>
      </c>
      <c r="AG19" s="61">
        <v>30</v>
      </c>
      <c r="AH19" s="56">
        <f t="shared" si="2"/>
        <v>24.5</v>
      </c>
      <c r="AI19" s="57">
        <f t="shared" si="3"/>
        <v>22.5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16</v>
      </c>
      <c r="C23" s="50">
        <v>16</v>
      </c>
      <c r="D23" s="50">
        <v>16</v>
      </c>
      <c r="E23" s="50">
        <v>16</v>
      </c>
      <c r="F23" s="50">
        <v>16</v>
      </c>
      <c r="G23" s="50">
        <v>16</v>
      </c>
      <c r="H23" s="50">
        <v>16</v>
      </c>
      <c r="I23" s="50">
        <v>16</v>
      </c>
      <c r="J23" s="50">
        <v>16</v>
      </c>
      <c r="K23" s="50">
        <v>16</v>
      </c>
      <c r="L23" s="50">
        <v>16</v>
      </c>
      <c r="M23" s="50">
        <v>16</v>
      </c>
      <c r="N23" s="50">
        <v>16</v>
      </c>
      <c r="O23" s="50">
        <v>16</v>
      </c>
      <c r="P23" s="50">
        <v>16</v>
      </c>
      <c r="Q23" s="50">
        <v>16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50">
        <v>16</v>
      </c>
      <c r="AF23" s="50">
        <v>16</v>
      </c>
      <c r="AG23" s="61">
        <v>25</v>
      </c>
      <c r="AH23" s="56">
        <f t="shared" si="2"/>
        <v>16</v>
      </c>
      <c r="AI23" s="57">
        <f t="shared" si="3"/>
        <v>16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20</v>
      </c>
      <c r="C24" s="50">
        <v>20</v>
      </c>
      <c r="D24" s="50">
        <v>20</v>
      </c>
      <c r="E24" s="50">
        <v>20</v>
      </c>
      <c r="F24" s="50">
        <v>20</v>
      </c>
      <c r="G24" s="50">
        <v>20</v>
      </c>
      <c r="H24" s="50">
        <v>20</v>
      </c>
      <c r="I24" s="50">
        <v>20</v>
      </c>
      <c r="J24" s="50">
        <v>20</v>
      </c>
      <c r="K24" s="50">
        <v>20</v>
      </c>
      <c r="L24" s="50">
        <v>20</v>
      </c>
      <c r="M24" s="50">
        <v>20</v>
      </c>
      <c r="N24" s="50">
        <v>20</v>
      </c>
      <c r="O24" s="50">
        <v>20</v>
      </c>
      <c r="P24" s="50">
        <v>20</v>
      </c>
      <c r="Q24" s="50">
        <v>20</v>
      </c>
      <c r="R24" s="50">
        <v>20</v>
      </c>
      <c r="S24" s="50">
        <v>20</v>
      </c>
      <c r="T24" s="50">
        <v>20</v>
      </c>
      <c r="U24" s="50">
        <v>20</v>
      </c>
      <c r="V24" s="50">
        <v>20</v>
      </c>
      <c r="W24" s="50">
        <v>20</v>
      </c>
      <c r="X24" s="50">
        <v>20</v>
      </c>
      <c r="Y24" s="50">
        <v>20</v>
      </c>
      <c r="Z24" s="50">
        <v>20</v>
      </c>
      <c r="AA24" s="50">
        <v>20</v>
      </c>
      <c r="AB24" s="50">
        <v>20</v>
      </c>
      <c r="AC24" s="50">
        <v>20</v>
      </c>
      <c r="AD24" s="50">
        <v>20</v>
      </c>
      <c r="AE24" s="50">
        <v>20</v>
      </c>
      <c r="AF24" s="50">
        <v>20</v>
      </c>
      <c r="AG24" s="61">
        <v>25</v>
      </c>
      <c r="AH24" s="56">
        <f t="shared" si="2"/>
        <v>20</v>
      </c>
      <c r="AI24" s="57">
        <f t="shared" si="3"/>
        <v>20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22</v>
      </c>
      <c r="C25" s="50">
        <v>22</v>
      </c>
      <c r="D25" s="50">
        <v>22</v>
      </c>
      <c r="E25" s="50">
        <v>22</v>
      </c>
      <c r="F25" s="50">
        <v>22</v>
      </c>
      <c r="G25" s="50">
        <v>22</v>
      </c>
      <c r="H25" s="50">
        <v>22</v>
      </c>
      <c r="I25" s="50">
        <v>22</v>
      </c>
      <c r="J25" s="50">
        <v>22</v>
      </c>
      <c r="K25" s="50">
        <v>22</v>
      </c>
      <c r="L25" s="50">
        <v>22</v>
      </c>
      <c r="M25" s="50">
        <v>22</v>
      </c>
      <c r="N25" s="50">
        <v>22</v>
      </c>
      <c r="O25" s="50">
        <v>22</v>
      </c>
      <c r="P25" s="50">
        <v>22</v>
      </c>
      <c r="Q25" s="50">
        <v>22</v>
      </c>
      <c r="R25" s="50">
        <v>22</v>
      </c>
      <c r="S25" s="50">
        <v>22</v>
      </c>
      <c r="T25" s="50">
        <v>22</v>
      </c>
      <c r="U25" s="50">
        <v>22</v>
      </c>
      <c r="V25" s="50">
        <v>22</v>
      </c>
      <c r="W25" s="50">
        <v>22</v>
      </c>
      <c r="X25" s="50">
        <v>22</v>
      </c>
      <c r="Y25" s="50">
        <v>22</v>
      </c>
      <c r="Z25" s="50">
        <v>22</v>
      </c>
      <c r="AA25" s="50">
        <v>22</v>
      </c>
      <c r="AB25" s="50">
        <v>22</v>
      </c>
      <c r="AC25" s="50">
        <v>22</v>
      </c>
      <c r="AD25" s="50">
        <v>22</v>
      </c>
      <c r="AE25" s="50">
        <v>22</v>
      </c>
      <c r="AF25" s="50">
        <v>20</v>
      </c>
      <c r="AG25" s="61">
        <v>24.2</v>
      </c>
      <c r="AH25" s="56">
        <f t="shared" si="2"/>
        <v>22</v>
      </c>
      <c r="AI25" s="57">
        <f t="shared" si="3"/>
        <v>20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10</v>
      </c>
      <c r="X26" s="50">
        <v>10</v>
      </c>
      <c r="Y26" s="50">
        <v>10</v>
      </c>
      <c r="Z26" s="50">
        <v>10</v>
      </c>
      <c r="AA26" s="50">
        <v>10</v>
      </c>
      <c r="AB26" s="50">
        <v>10</v>
      </c>
      <c r="AC26" s="50">
        <v>10</v>
      </c>
      <c r="AD26" s="50">
        <v>10</v>
      </c>
      <c r="AE26" s="50">
        <v>10</v>
      </c>
      <c r="AF26" s="50">
        <v>10</v>
      </c>
      <c r="AG26" s="61">
        <v>20</v>
      </c>
      <c r="AH26" s="56">
        <f>MAX(B26:AF26)</f>
        <v>10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14.9</v>
      </c>
      <c r="C27" s="50">
        <v>14.9</v>
      </c>
      <c r="D27" s="50">
        <v>14.9</v>
      </c>
      <c r="E27" s="50">
        <v>14.9</v>
      </c>
      <c r="F27" s="50">
        <v>14.9</v>
      </c>
      <c r="G27" s="50">
        <v>14.9</v>
      </c>
      <c r="H27" s="50">
        <v>14.9</v>
      </c>
      <c r="I27" s="50">
        <v>14.9</v>
      </c>
      <c r="J27" s="50">
        <v>14.9</v>
      </c>
      <c r="K27" s="50">
        <v>14.9</v>
      </c>
      <c r="L27" s="50">
        <v>14.9</v>
      </c>
      <c r="M27" s="50">
        <v>14.9</v>
      </c>
      <c r="N27" s="50">
        <v>14.9</v>
      </c>
      <c r="O27" s="50">
        <v>14.9</v>
      </c>
      <c r="P27" s="50">
        <v>14.9</v>
      </c>
      <c r="Q27" s="50">
        <v>14.9</v>
      </c>
      <c r="R27" s="50">
        <v>14.9</v>
      </c>
      <c r="S27" s="50">
        <v>14.9</v>
      </c>
      <c r="T27" s="50">
        <v>14.9</v>
      </c>
      <c r="U27" s="50">
        <v>14.9</v>
      </c>
      <c r="V27" s="50">
        <v>14.9</v>
      </c>
      <c r="W27" s="50">
        <v>14.9</v>
      </c>
      <c r="X27" s="50">
        <v>14.9</v>
      </c>
      <c r="Y27" s="50">
        <v>14.9</v>
      </c>
      <c r="Z27" s="50">
        <v>14.9</v>
      </c>
      <c r="AA27" s="50">
        <v>14</v>
      </c>
      <c r="AB27" s="50">
        <v>14</v>
      </c>
      <c r="AC27" s="50">
        <v>14</v>
      </c>
      <c r="AD27" s="50">
        <v>14</v>
      </c>
      <c r="AE27" s="50">
        <v>14</v>
      </c>
      <c r="AF27" s="50">
        <v>14</v>
      </c>
      <c r="AG27" s="61">
        <v>23.5</v>
      </c>
      <c r="AH27" s="56">
        <f t="shared" si="2"/>
        <v>14.9</v>
      </c>
      <c r="AI27" s="57">
        <f t="shared" si="3"/>
        <v>14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10</v>
      </c>
      <c r="C28" s="50">
        <v>10</v>
      </c>
      <c r="D28" s="50">
        <v>10</v>
      </c>
      <c r="E28" s="50">
        <v>10</v>
      </c>
      <c r="F28" s="50">
        <v>10</v>
      </c>
      <c r="G28" s="50">
        <v>10</v>
      </c>
      <c r="H28" s="50">
        <v>10</v>
      </c>
      <c r="I28" s="50">
        <v>10</v>
      </c>
      <c r="J28" s="50">
        <v>10</v>
      </c>
      <c r="K28" s="50">
        <v>10</v>
      </c>
      <c r="L28" s="50">
        <v>10</v>
      </c>
      <c r="M28" s="50">
        <v>10</v>
      </c>
      <c r="N28" s="50">
        <v>10</v>
      </c>
      <c r="O28" s="50">
        <v>10</v>
      </c>
      <c r="P28" s="50">
        <v>10</v>
      </c>
      <c r="Q28" s="50">
        <v>10</v>
      </c>
      <c r="R28" s="50">
        <v>10</v>
      </c>
      <c r="S28" s="50">
        <v>10</v>
      </c>
      <c r="T28" s="50">
        <v>10</v>
      </c>
      <c r="U28" s="50">
        <v>10</v>
      </c>
      <c r="V28" s="50">
        <v>10</v>
      </c>
      <c r="W28" s="50">
        <v>10</v>
      </c>
      <c r="X28" s="50">
        <v>10</v>
      </c>
      <c r="Y28" s="50">
        <v>10</v>
      </c>
      <c r="Z28" s="50">
        <v>10</v>
      </c>
      <c r="AA28" s="50">
        <v>10</v>
      </c>
      <c r="AB28" s="50">
        <v>10</v>
      </c>
      <c r="AC28" s="50">
        <v>10</v>
      </c>
      <c r="AD28" s="50">
        <v>10</v>
      </c>
      <c r="AE28" s="50">
        <v>10</v>
      </c>
      <c r="AF28" s="50">
        <v>10</v>
      </c>
      <c r="AG28" s="61">
        <v>22.2</v>
      </c>
      <c r="AH28" s="56">
        <f t="shared" si="2"/>
        <v>10</v>
      </c>
      <c r="AI28" s="57">
        <f t="shared" si="3"/>
        <v>10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9.1999999999999993</v>
      </c>
      <c r="C33" s="50">
        <v>9.1999999999999993</v>
      </c>
      <c r="D33" s="50">
        <v>9.1999999999999993</v>
      </c>
      <c r="E33" s="50">
        <v>9.1999999999999993</v>
      </c>
      <c r="F33" s="50">
        <v>9.1999999999999993</v>
      </c>
      <c r="G33" s="50">
        <v>9.1999999999999993</v>
      </c>
      <c r="H33" s="50">
        <v>9.1999999999999993</v>
      </c>
      <c r="I33" s="50">
        <v>9.1999999999999993</v>
      </c>
      <c r="J33" s="50">
        <v>9.1999999999999993</v>
      </c>
      <c r="K33" s="50">
        <v>9.1999999999999993</v>
      </c>
      <c r="L33" s="50">
        <v>9.1999999999999993</v>
      </c>
      <c r="M33" s="50">
        <v>9.1999999999999993</v>
      </c>
      <c r="N33" s="50">
        <v>9.1999999999999993</v>
      </c>
      <c r="O33" s="50">
        <v>9.1999999999999993</v>
      </c>
      <c r="P33" s="50">
        <v>9.1999999999999993</v>
      </c>
      <c r="Q33" s="50">
        <v>9.1999999999999993</v>
      </c>
      <c r="R33" s="50">
        <v>9.1999999999999993</v>
      </c>
      <c r="S33" s="50">
        <v>9.1999999999999993</v>
      </c>
      <c r="T33" s="50">
        <v>9.1999999999999993</v>
      </c>
      <c r="U33" s="50">
        <v>9.1999999999999993</v>
      </c>
      <c r="V33" s="50">
        <v>9.1999999999999993</v>
      </c>
      <c r="W33" s="50">
        <v>9.1999999999999993</v>
      </c>
      <c r="X33" s="50">
        <v>9.1999999999999993</v>
      </c>
      <c r="Y33" s="50">
        <v>9.1999999999999993</v>
      </c>
      <c r="Z33" s="50">
        <v>9.1999999999999993</v>
      </c>
      <c r="AA33" s="50">
        <v>9.1999999999999993</v>
      </c>
      <c r="AB33" s="50">
        <v>9.1999999999999993</v>
      </c>
      <c r="AC33" s="50">
        <v>9.1999999999999993</v>
      </c>
      <c r="AD33" s="50">
        <v>9.1999999999999993</v>
      </c>
      <c r="AE33" s="50">
        <v>9.1999999999999993</v>
      </c>
      <c r="AF33" s="50">
        <v>9.1999999999999993</v>
      </c>
      <c r="AG33" s="69">
        <v>20</v>
      </c>
      <c r="AH33" s="56">
        <f t="shared" si="2"/>
        <v>9.1999999999999993</v>
      </c>
      <c r="AI33" s="57">
        <f t="shared" si="3"/>
        <v>9.1999999999999993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72">
        <f>62.5+63.4</f>
        <v>125.9</v>
      </c>
      <c r="C36" s="72">
        <f>62.5+63.4</f>
        <v>125.9</v>
      </c>
      <c r="D36" s="72">
        <f>62.5+63.4</f>
        <v>125.9</v>
      </c>
      <c r="E36" s="72">
        <f>62.5+63.4</f>
        <v>125.9</v>
      </c>
      <c r="F36" s="72">
        <v>125.4</v>
      </c>
      <c r="G36" s="72">
        <v>125.4</v>
      </c>
      <c r="H36" s="72">
        <v>125.4</v>
      </c>
      <c r="I36" s="72">
        <v>125.4</v>
      </c>
      <c r="J36" s="72">
        <v>125.4</v>
      </c>
      <c r="K36" s="72">
        <f>62+62.5</f>
        <v>124.5</v>
      </c>
      <c r="L36" s="72">
        <v>123.4</v>
      </c>
      <c r="M36" s="72">
        <v>123.7</v>
      </c>
      <c r="N36" s="72">
        <v>121.2</v>
      </c>
      <c r="O36" s="72">
        <v>119</v>
      </c>
      <c r="P36" s="72">
        <f>60.1+63.7</f>
        <v>123.80000000000001</v>
      </c>
      <c r="Q36" s="72">
        <v>124.4</v>
      </c>
      <c r="R36" s="72">
        <v>113</v>
      </c>
      <c r="S36" s="72">
        <f>65+59.4</f>
        <v>124.4</v>
      </c>
      <c r="T36" s="72">
        <f>64.3+59.4</f>
        <v>123.69999999999999</v>
      </c>
      <c r="U36" s="72">
        <f>63.3+58.8</f>
        <v>122.1</v>
      </c>
      <c r="V36" s="72">
        <f>59.5+57.9</f>
        <v>117.4</v>
      </c>
      <c r="W36" s="72">
        <v>117.1</v>
      </c>
      <c r="X36" s="72">
        <v>117.1</v>
      </c>
      <c r="Y36" s="72">
        <f>60.6+58</f>
        <v>118.6</v>
      </c>
      <c r="Z36" s="72">
        <f>61.5+58</f>
        <v>119.5</v>
      </c>
      <c r="AA36" s="72">
        <f>58.5+62.2</f>
        <v>120.7</v>
      </c>
      <c r="AB36" s="72">
        <f>58.4+63.1</f>
        <v>121.5</v>
      </c>
      <c r="AC36" s="72">
        <f>63.6+58.9</f>
        <v>122.5</v>
      </c>
      <c r="AD36" s="72">
        <f>64.3+59.8</f>
        <v>124.1</v>
      </c>
      <c r="AE36" s="72">
        <f>64.3+59.8</f>
        <v>124.1</v>
      </c>
      <c r="AF36" s="72">
        <f>60.2+63.5</f>
        <v>123.7</v>
      </c>
      <c r="AG36" s="69">
        <v>240</v>
      </c>
      <c r="AH36" s="56">
        <f t="shared" si="2"/>
        <v>125.9</v>
      </c>
      <c r="AI36" s="57">
        <f t="shared" si="3"/>
        <v>113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632.19999999999993</v>
      </c>
      <c r="C37" s="74">
        <f t="shared" si="4"/>
        <v>622.20000000000005</v>
      </c>
      <c r="D37" s="74">
        <f t="shared" si="4"/>
        <v>622.20000000000005</v>
      </c>
      <c r="E37" s="74">
        <f t="shared" si="4"/>
        <v>612.20000000000005</v>
      </c>
      <c r="F37" s="74">
        <f t="shared" si="4"/>
        <v>618.20000000000005</v>
      </c>
      <c r="G37" s="74">
        <f t="shared" si="4"/>
        <v>628.19999999999993</v>
      </c>
      <c r="H37" s="74">
        <f t="shared" si="4"/>
        <v>638.19999999999993</v>
      </c>
      <c r="I37" s="74">
        <f t="shared" si="4"/>
        <v>686.19999999999993</v>
      </c>
      <c r="J37" s="74">
        <f t="shared" si="4"/>
        <v>706.19999999999993</v>
      </c>
      <c r="K37" s="74">
        <f t="shared" si="4"/>
        <v>736.19999999999993</v>
      </c>
      <c r="L37" s="74">
        <f t="shared" si="4"/>
        <v>747.2</v>
      </c>
      <c r="M37" s="74">
        <f t="shared" si="4"/>
        <v>731.19999999999993</v>
      </c>
      <c r="N37" s="74">
        <f t="shared" si="4"/>
        <v>716.19999999999993</v>
      </c>
      <c r="O37" s="74">
        <f t="shared" si="4"/>
        <v>716.19999999999993</v>
      </c>
      <c r="P37" s="74">
        <f t="shared" si="4"/>
        <v>706.19999999999993</v>
      </c>
      <c r="Q37" s="74">
        <f t="shared" si="4"/>
        <v>706.19999999999993</v>
      </c>
      <c r="R37" s="74">
        <f t="shared" si="4"/>
        <v>707.39999999999986</v>
      </c>
      <c r="S37" s="74">
        <f t="shared" si="4"/>
        <v>707.39999999999986</v>
      </c>
      <c r="T37" s="74">
        <f t="shared" si="4"/>
        <v>707.39999999999986</v>
      </c>
      <c r="U37" s="74">
        <f t="shared" si="4"/>
        <v>707.39999999999986</v>
      </c>
      <c r="V37" s="74">
        <f t="shared" si="4"/>
        <v>801.5</v>
      </c>
      <c r="W37" s="74">
        <f t="shared" si="4"/>
        <v>908.30000000000007</v>
      </c>
      <c r="X37" s="74">
        <f t="shared" si="4"/>
        <v>878.30000000000007</v>
      </c>
      <c r="Y37" s="74">
        <f t="shared" si="4"/>
        <v>848.30000000000007</v>
      </c>
      <c r="Z37" s="74">
        <f t="shared" si="4"/>
        <v>808.30000000000007</v>
      </c>
      <c r="AA37" s="74">
        <f t="shared" si="4"/>
        <v>777.40000000000009</v>
      </c>
      <c r="AB37" s="74">
        <f t="shared" si="4"/>
        <v>767.40000000000009</v>
      </c>
      <c r="AC37" s="74">
        <f t="shared" si="4"/>
        <v>737.4</v>
      </c>
      <c r="AD37" s="74">
        <f t="shared" si="4"/>
        <v>687.4</v>
      </c>
      <c r="AE37" s="74">
        <f t="shared" si="4"/>
        <v>657.4</v>
      </c>
      <c r="AF37" s="74">
        <f t="shared" si="4"/>
        <v>655.5</v>
      </c>
      <c r="AG37" s="69">
        <f>SUM(AG11:AG36)</f>
        <v>1481.8299999999997</v>
      </c>
      <c r="AH37" s="56">
        <f t="shared" si="2"/>
        <v>908.30000000000007</v>
      </c>
      <c r="AI37" s="57">
        <f t="shared" si="3"/>
        <v>612.20000000000005</v>
      </c>
      <c r="AK37" s="58"/>
    </row>
    <row r="38" spans="1:88" x14ac:dyDescent="0.25">
      <c r="A38" s="59" t="s">
        <v>45</v>
      </c>
      <c r="B38" s="50">
        <v>45.5</v>
      </c>
      <c r="C38" s="63">
        <v>40</v>
      </c>
      <c r="D38" s="63">
        <v>36</v>
      </c>
      <c r="E38" s="63">
        <v>43</v>
      </c>
      <c r="F38" s="63">
        <v>43.5</v>
      </c>
      <c r="G38" s="63">
        <v>68</v>
      </c>
      <c r="H38" s="63">
        <v>69</v>
      </c>
      <c r="I38" s="63">
        <v>89</v>
      </c>
      <c r="J38" s="63">
        <v>95</v>
      </c>
      <c r="K38" s="63">
        <v>131</v>
      </c>
      <c r="L38" s="50">
        <v>131.69999999999999</v>
      </c>
      <c r="M38" s="50">
        <v>112.4</v>
      </c>
      <c r="N38" s="50">
        <v>101</v>
      </c>
      <c r="O38" s="50">
        <v>101.1</v>
      </c>
      <c r="P38" s="50">
        <v>81.099999999999994</v>
      </c>
      <c r="Q38" s="50">
        <v>61.2</v>
      </c>
      <c r="R38" s="50">
        <v>61.1</v>
      </c>
      <c r="S38" s="50">
        <v>80.400000000000006</v>
      </c>
      <c r="T38" s="50">
        <v>121.7</v>
      </c>
      <c r="U38" s="50">
        <v>122.5</v>
      </c>
      <c r="V38" s="50">
        <v>142.9</v>
      </c>
      <c r="W38" s="50">
        <v>145.80000000000001</v>
      </c>
      <c r="X38" s="50">
        <v>146</v>
      </c>
      <c r="Y38" s="50">
        <v>131</v>
      </c>
      <c r="Z38" s="50">
        <v>121</v>
      </c>
      <c r="AA38" s="50">
        <v>121.5</v>
      </c>
      <c r="AB38" s="50">
        <v>108</v>
      </c>
      <c r="AC38" s="50">
        <v>80.400000000000006</v>
      </c>
      <c r="AD38" s="50">
        <v>70</v>
      </c>
      <c r="AE38" s="50">
        <v>46</v>
      </c>
      <c r="AF38" s="50">
        <v>41.6</v>
      </c>
      <c r="AG38" s="64">
        <v>144</v>
      </c>
      <c r="AH38" s="56">
        <f t="shared" si="2"/>
        <v>146</v>
      </c>
      <c r="AI38" s="57">
        <f t="shared" si="3"/>
        <v>36</v>
      </c>
      <c r="AK38" s="58"/>
    </row>
    <row r="39" spans="1:88" x14ac:dyDescent="0.25">
      <c r="A39" s="68" t="s">
        <v>46</v>
      </c>
      <c r="B39" s="52">
        <v>29.7</v>
      </c>
      <c r="C39" s="63">
        <v>22</v>
      </c>
      <c r="D39" s="63">
        <v>22</v>
      </c>
      <c r="E39" s="63">
        <v>25</v>
      </c>
      <c r="F39" s="63">
        <v>29</v>
      </c>
      <c r="G39" s="63">
        <v>34</v>
      </c>
      <c r="H39" s="63">
        <v>35.5</v>
      </c>
      <c r="I39" s="63">
        <v>58.7</v>
      </c>
      <c r="J39" s="63">
        <v>61.7</v>
      </c>
      <c r="K39" s="63">
        <v>66.5</v>
      </c>
      <c r="L39" s="52">
        <v>64.5</v>
      </c>
      <c r="M39" s="52">
        <v>57.3</v>
      </c>
      <c r="N39" s="52">
        <v>56.5</v>
      </c>
      <c r="O39" s="52">
        <v>56.3</v>
      </c>
      <c r="P39" s="52">
        <v>46</v>
      </c>
      <c r="Q39" s="52">
        <v>46.9</v>
      </c>
      <c r="R39" s="52">
        <v>55.4</v>
      </c>
      <c r="S39" s="52">
        <v>45.4</v>
      </c>
      <c r="T39" s="52">
        <v>51.1</v>
      </c>
      <c r="U39" s="52">
        <v>70.599999999999994</v>
      </c>
      <c r="V39" s="52">
        <v>70.599999999999994</v>
      </c>
      <c r="W39" s="52">
        <v>71.2</v>
      </c>
      <c r="X39" s="52">
        <v>70</v>
      </c>
      <c r="Y39" s="52">
        <v>59</v>
      </c>
      <c r="Z39" s="52">
        <v>59.7</v>
      </c>
      <c r="AA39" s="52">
        <v>50.5</v>
      </c>
      <c r="AB39" s="52">
        <v>46.1</v>
      </c>
      <c r="AC39" s="52">
        <v>37</v>
      </c>
      <c r="AD39" s="52">
        <v>24.5</v>
      </c>
      <c r="AE39" s="52">
        <v>25.3</v>
      </c>
      <c r="AF39" s="52">
        <v>25.8</v>
      </c>
      <c r="AG39" s="69">
        <v>70</v>
      </c>
      <c r="AH39" s="56">
        <f t="shared" si="2"/>
        <v>71.2</v>
      </c>
      <c r="AI39" s="57">
        <f t="shared" si="3"/>
        <v>22</v>
      </c>
      <c r="AK39" s="58"/>
    </row>
    <row r="40" spans="1:88" x14ac:dyDescent="0.25">
      <c r="A40" s="68" t="s">
        <v>47</v>
      </c>
      <c r="B40" s="52">
        <v>37.6</v>
      </c>
      <c r="C40" s="63">
        <v>32</v>
      </c>
      <c r="D40" s="63">
        <v>22</v>
      </c>
      <c r="E40" s="63">
        <v>23</v>
      </c>
      <c r="F40" s="63">
        <v>46.8</v>
      </c>
      <c r="G40" s="63">
        <v>46.5</v>
      </c>
      <c r="H40" s="63">
        <v>37.9</v>
      </c>
      <c r="I40" s="63">
        <v>45</v>
      </c>
      <c r="J40" s="63">
        <v>65.599999999999994</v>
      </c>
      <c r="K40" s="63">
        <v>63</v>
      </c>
      <c r="L40" s="52">
        <v>53.4</v>
      </c>
      <c r="M40" s="52">
        <v>54.2</v>
      </c>
      <c r="N40" s="52">
        <v>54.5</v>
      </c>
      <c r="O40" s="52">
        <v>54.6</v>
      </c>
      <c r="P40" s="52">
        <v>40.5</v>
      </c>
      <c r="Q40" s="52">
        <v>40.700000000000003</v>
      </c>
      <c r="R40" s="52">
        <v>45.6</v>
      </c>
      <c r="S40" s="52">
        <v>45.4</v>
      </c>
      <c r="T40" s="52">
        <v>51.8</v>
      </c>
      <c r="U40" s="52">
        <v>68.400000000000006</v>
      </c>
      <c r="V40" s="52">
        <v>69.900000000000006</v>
      </c>
      <c r="W40" s="52">
        <v>70.2</v>
      </c>
      <c r="X40" s="52">
        <v>69</v>
      </c>
      <c r="Y40" s="52">
        <v>61</v>
      </c>
      <c r="Z40" s="52">
        <v>60.5</v>
      </c>
      <c r="AA40" s="52">
        <v>51.6</v>
      </c>
      <c r="AB40" s="52">
        <v>39.1</v>
      </c>
      <c r="AC40" s="52">
        <v>34.299999999999997</v>
      </c>
      <c r="AD40" s="52">
        <v>0</v>
      </c>
      <c r="AE40" s="52">
        <v>0</v>
      </c>
      <c r="AF40" s="52">
        <v>0</v>
      </c>
      <c r="AG40" s="69">
        <v>69</v>
      </c>
      <c r="AH40" s="56">
        <f t="shared" si="2"/>
        <v>70.2</v>
      </c>
      <c r="AI40" s="57">
        <f t="shared" si="3"/>
        <v>0</v>
      </c>
      <c r="AK40" s="58"/>
    </row>
    <row r="41" spans="1:88" x14ac:dyDescent="0.25">
      <c r="A41" s="68" t="s">
        <v>48</v>
      </c>
      <c r="B41" s="52">
        <v>10.3</v>
      </c>
      <c r="C41" s="63">
        <v>10</v>
      </c>
      <c r="D41" s="63">
        <v>10</v>
      </c>
      <c r="E41" s="63">
        <v>30</v>
      </c>
      <c r="F41" s="63">
        <v>25.4</v>
      </c>
      <c r="G41" s="63">
        <v>39.6</v>
      </c>
      <c r="H41" s="63">
        <v>50.7</v>
      </c>
      <c r="I41" s="63">
        <v>51</v>
      </c>
      <c r="J41" s="63">
        <v>55.9</v>
      </c>
      <c r="K41" s="63">
        <v>56</v>
      </c>
      <c r="L41" s="52">
        <v>43.6</v>
      </c>
      <c r="M41" s="52">
        <v>43.6</v>
      </c>
      <c r="N41" s="52">
        <v>43.3</v>
      </c>
      <c r="O41" s="52">
        <v>40.299999999999997</v>
      </c>
      <c r="P41" s="52">
        <v>40.299999999999997</v>
      </c>
      <c r="Q41" s="52">
        <v>40.299999999999997</v>
      </c>
      <c r="R41" s="52">
        <v>40.299999999999997</v>
      </c>
      <c r="S41" s="52">
        <v>51.4</v>
      </c>
      <c r="T41" s="52">
        <v>41.3</v>
      </c>
      <c r="U41" s="52">
        <v>41.3</v>
      </c>
      <c r="V41" s="52">
        <v>60</v>
      </c>
      <c r="W41" s="52">
        <v>60</v>
      </c>
      <c r="X41" s="52">
        <v>60</v>
      </c>
      <c r="Y41" s="52">
        <v>60</v>
      </c>
      <c r="Z41" s="52">
        <v>60.2</v>
      </c>
      <c r="AA41" s="52">
        <v>40.299999999999997</v>
      </c>
      <c r="AB41" s="52">
        <v>40.299999999999997</v>
      </c>
      <c r="AC41" s="52">
        <v>20.399999999999999</v>
      </c>
      <c r="AD41" s="52">
        <v>12.4</v>
      </c>
      <c r="AE41" s="52">
        <v>25.4</v>
      </c>
      <c r="AF41" s="52">
        <v>19.899999999999999</v>
      </c>
      <c r="AG41" s="69">
        <v>60</v>
      </c>
      <c r="AH41" s="56">
        <f t="shared" si="2"/>
        <v>60.2</v>
      </c>
      <c r="AI41" s="57">
        <f t="shared" si="3"/>
        <v>10</v>
      </c>
      <c r="AK41" s="58"/>
    </row>
    <row r="42" spans="1:88" x14ac:dyDescent="0.25">
      <c r="A42" s="68" t="s">
        <v>49</v>
      </c>
      <c r="B42" s="50">
        <v>24.9</v>
      </c>
      <c r="C42" s="50">
        <v>24.9</v>
      </c>
      <c r="D42" s="50">
        <v>24.9</v>
      </c>
      <c r="E42" s="50">
        <v>24.9</v>
      </c>
      <c r="F42" s="50">
        <v>24.9</v>
      </c>
      <c r="G42" s="63">
        <v>29.6</v>
      </c>
      <c r="H42" s="63">
        <v>29.6</v>
      </c>
      <c r="I42" s="63">
        <v>29.6</v>
      </c>
      <c r="J42" s="63">
        <v>29.6</v>
      </c>
      <c r="K42" s="63">
        <v>29.2</v>
      </c>
      <c r="L42" s="50">
        <v>29</v>
      </c>
      <c r="M42" s="50">
        <v>29</v>
      </c>
      <c r="N42" s="50">
        <v>29</v>
      </c>
      <c r="O42" s="50">
        <v>24.8</v>
      </c>
      <c r="P42" s="50">
        <v>24.3</v>
      </c>
      <c r="Q42" s="50">
        <v>24.3</v>
      </c>
      <c r="R42" s="50">
        <v>23.7</v>
      </c>
      <c r="S42" s="50">
        <v>10.3</v>
      </c>
      <c r="T42" s="50">
        <v>10.3</v>
      </c>
      <c r="U42" s="50">
        <v>10.3</v>
      </c>
      <c r="V42" s="50">
        <v>10.3</v>
      </c>
      <c r="W42" s="50">
        <v>29</v>
      </c>
      <c r="X42" s="50">
        <v>29</v>
      </c>
      <c r="Y42" s="50">
        <v>29</v>
      </c>
      <c r="Z42" s="50">
        <v>29</v>
      </c>
      <c r="AA42" s="50">
        <v>29.5</v>
      </c>
      <c r="AB42" s="50">
        <v>24.4</v>
      </c>
      <c r="AC42" s="50">
        <v>24.5</v>
      </c>
      <c r="AD42" s="50">
        <v>25.4</v>
      </c>
      <c r="AE42" s="50">
        <v>25.4</v>
      </c>
      <c r="AF42" s="50">
        <v>25.3</v>
      </c>
      <c r="AG42" s="69">
        <v>30</v>
      </c>
      <c r="AH42" s="56">
        <f t="shared" si="2"/>
        <v>29.6</v>
      </c>
      <c r="AI42" s="57">
        <f t="shared" si="3"/>
        <v>10.3</v>
      </c>
      <c r="AK42" s="58"/>
    </row>
    <row r="43" spans="1:88" x14ac:dyDescent="0.25">
      <c r="A43" s="68" t="s">
        <v>50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K43" s="1">
        <f>450-SUM(AB38:AB49)</f>
        <v>131.30000000000001</v>
      </c>
    </row>
    <row r="44" spans="1:88" x14ac:dyDescent="0.25">
      <c r="A44" s="68" t="s">
        <v>51</v>
      </c>
      <c r="B44" s="50">
        <v>14</v>
      </c>
      <c r="C44" s="50">
        <v>14</v>
      </c>
      <c r="D44" s="50">
        <v>14</v>
      </c>
      <c r="E44" s="50">
        <v>14</v>
      </c>
      <c r="F44" s="50">
        <v>14</v>
      </c>
      <c r="G44" s="50">
        <v>14</v>
      </c>
      <c r="H44" s="50">
        <v>14</v>
      </c>
      <c r="I44" s="50">
        <v>18</v>
      </c>
      <c r="J44" s="50">
        <v>18</v>
      </c>
      <c r="K44" s="50">
        <v>18</v>
      </c>
      <c r="L44" s="50">
        <v>18</v>
      </c>
      <c r="M44" s="50">
        <v>18</v>
      </c>
      <c r="N44" s="50">
        <v>18</v>
      </c>
      <c r="O44" s="50">
        <v>18</v>
      </c>
      <c r="P44" s="50">
        <v>18</v>
      </c>
      <c r="Q44" s="50">
        <v>18</v>
      </c>
      <c r="R44" s="50">
        <v>18</v>
      </c>
      <c r="S44" s="50">
        <v>18</v>
      </c>
      <c r="T44" s="50">
        <v>18</v>
      </c>
      <c r="U44" s="50">
        <v>18</v>
      </c>
      <c r="V44" s="50">
        <v>18</v>
      </c>
      <c r="W44" s="50">
        <v>18</v>
      </c>
      <c r="X44" s="50">
        <v>18</v>
      </c>
      <c r="Y44" s="50">
        <v>18</v>
      </c>
      <c r="Z44" s="50">
        <v>18</v>
      </c>
      <c r="AA44" s="50">
        <v>18</v>
      </c>
      <c r="AB44" s="50">
        <v>18</v>
      </c>
      <c r="AC44" s="50">
        <v>18</v>
      </c>
      <c r="AD44" s="50">
        <v>18</v>
      </c>
      <c r="AE44" s="50">
        <v>10</v>
      </c>
      <c r="AF44" s="50">
        <v>10</v>
      </c>
      <c r="AG44" s="69">
        <v>24</v>
      </c>
      <c r="AH44" s="56">
        <f t="shared" si="2"/>
        <v>18</v>
      </c>
      <c r="AI44" s="57">
        <f t="shared" si="3"/>
        <v>10</v>
      </c>
      <c r="AK44" s="1">
        <f>400-150</f>
        <v>250</v>
      </c>
    </row>
    <row r="45" spans="1:88" x14ac:dyDescent="0.25">
      <c r="A45" s="68" t="s">
        <v>52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1">
        <f>AK43+AK44</f>
        <v>381.3</v>
      </c>
      <c r="AL45" s="76"/>
      <c r="AO45" s="76"/>
    </row>
    <row r="46" spans="1:88" s="76" customFormat="1" x14ac:dyDescent="0.25">
      <c r="A46" s="68" t="s">
        <v>53</v>
      </c>
      <c r="B46" s="50">
        <v>12</v>
      </c>
      <c r="C46" s="50">
        <v>12</v>
      </c>
      <c r="D46" s="50">
        <v>12</v>
      </c>
      <c r="E46" s="50">
        <v>12</v>
      </c>
      <c r="F46" s="50">
        <v>12</v>
      </c>
      <c r="G46" s="50">
        <v>12</v>
      </c>
      <c r="H46" s="50">
        <v>12</v>
      </c>
      <c r="I46" s="50">
        <v>13</v>
      </c>
      <c r="J46" s="50">
        <v>13</v>
      </c>
      <c r="K46" s="50">
        <v>13</v>
      </c>
      <c r="L46" s="50">
        <v>13</v>
      </c>
      <c r="M46" s="50">
        <v>13</v>
      </c>
      <c r="N46" s="50">
        <v>13</v>
      </c>
      <c r="O46" s="50">
        <v>13</v>
      </c>
      <c r="P46" s="50">
        <v>13</v>
      </c>
      <c r="Q46" s="50">
        <v>13</v>
      </c>
      <c r="R46" s="50">
        <v>13</v>
      </c>
      <c r="S46" s="50">
        <v>13</v>
      </c>
      <c r="T46" s="50">
        <v>13</v>
      </c>
      <c r="U46" s="50">
        <v>13</v>
      </c>
      <c r="V46" s="50">
        <v>13</v>
      </c>
      <c r="W46" s="50">
        <v>13</v>
      </c>
      <c r="X46" s="50">
        <v>13</v>
      </c>
      <c r="Y46" s="50">
        <v>13</v>
      </c>
      <c r="Z46" s="50">
        <v>13</v>
      </c>
      <c r="AA46" s="50">
        <v>13</v>
      </c>
      <c r="AB46" s="50">
        <v>13</v>
      </c>
      <c r="AC46" s="50">
        <v>13</v>
      </c>
      <c r="AD46" s="50">
        <v>13</v>
      </c>
      <c r="AE46" s="50">
        <v>8</v>
      </c>
      <c r="AF46" s="50">
        <v>8</v>
      </c>
      <c r="AG46" s="69">
        <v>14.1</v>
      </c>
      <c r="AH46" s="56">
        <f t="shared" si="2"/>
        <v>13</v>
      </c>
      <c r="AI46" s="57">
        <f t="shared" si="3"/>
        <v>8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14</v>
      </c>
      <c r="H47" s="50">
        <v>14</v>
      </c>
      <c r="I47" s="50">
        <v>14</v>
      </c>
      <c r="J47" s="50">
        <v>14</v>
      </c>
      <c r="K47" s="50">
        <v>14</v>
      </c>
      <c r="L47" s="50">
        <v>14</v>
      </c>
      <c r="M47" s="50">
        <v>14</v>
      </c>
      <c r="N47" s="50">
        <v>14</v>
      </c>
      <c r="O47" s="50">
        <v>14</v>
      </c>
      <c r="P47" s="50">
        <v>14</v>
      </c>
      <c r="Q47" s="50">
        <v>14</v>
      </c>
      <c r="R47" s="50">
        <v>14</v>
      </c>
      <c r="S47" s="50">
        <v>14</v>
      </c>
      <c r="T47" s="50">
        <v>14</v>
      </c>
      <c r="U47" s="50">
        <v>14</v>
      </c>
      <c r="V47" s="50">
        <v>14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14</v>
      </c>
      <c r="AG47" s="69">
        <v>14</v>
      </c>
      <c r="AH47" s="56">
        <f t="shared" si="2"/>
        <v>14</v>
      </c>
      <c r="AI47" s="57">
        <f t="shared" si="3"/>
        <v>10</v>
      </c>
      <c r="AK47" s="58"/>
    </row>
    <row r="48" spans="1:88" x14ac:dyDescent="0.25">
      <c r="A48" s="68" t="s">
        <v>55</v>
      </c>
      <c r="B48" s="50">
        <v>9.6</v>
      </c>
      <c r="C48" s="50">
        <v>9.6</v>
      </c>
      <c r="D48" s="50">
        <v>9.6</v>
      </c>
      <c r="E48" s="50">
        <v>9.6</v>
      </c>
      <c r="F48" s="50">
        <v>9.6</v>
      </c>
      <c r="G48" s="50">
        <v>9.6</v>
      </c>
      <c r="H48" s="50">
        <v>9.6</v>
      </c>
      <c r="I48" s="50">
        <v>9.6</v>
      </c>
      <c r="J48" s="50">
        <v>9.6</v>
      </c>
      <c r="K48" s="50">
        <v>9.6</v>
      </c>
      <c r="L48" s="50">
        <v>9.6</v>
      </c>
      <c r="M48" s="50">
        <v>9.6</v>
      </c>
      <c r="N48" s="50">
        <v>9.6</v>
      </c>
      <c r="O48" s="50">
        <v>9.6</v>
      </c>
      <c r="P48" s="50">
        <v>9.6</v>
      </c>
      <c r="Q48" s="50">
        <v>9.6</v>
      </c>
      <c r="R48" s="50">
        <v>9.6</v>
      </c>
      <c r="S48" s="50">
        <v>9.6</v>
      </c>
      <c r="T48" s="50">
        <v>9.6</v>
      </c>
      <c r="U48" s="50">
        <v>9.6</v>
      </c>
      <c r="V48" s="50">
        <v>9.6</v>
      </c>
      <c r="W48" s="50">
        <v>9.6</v>
      </c>
      <c r="X48" s="50">
        <v>9.6</v>
      </c>
      <c r="Y48" s="50">
        <v>9.6</v>
      </c>
      <c r="Z48" s="50">
        <v>9.6</v>
      </c>
      <c r="AA48" s="50">
        <v>9.6</v>
      </c>
      <c r="AB48" s="50">
        <v>9.6</v>
      </c>
      <c r="AC48" s="50">
        <v>9.6</v>
      </c>
      <c r="AD48" s="50">
        <v>9.6</v>
      </c>
      <c r="AE48" s="50">
        <v>9.6</v>
      </c>
      <c r="AF48" s="50">
        <v>9.6</v>
      </c>
      <c r="AG48" s="69">
        <v>10.050000000000001</v>
      </c>
      <c r="AH48" s="56">
        <f t="shared" si="2"/>
        <v>9.6</v>
      </c>
      <c r="AI48" s="57">
        <f t="shared" si="3"/>
        <v>9.6</v>
      </c>
      <c r="AK48" s="58"/>
    </row>
    <row r="49" spans="1:37" x14ac:dyDescent="0.25">
      <c r="A49" s="68" t="s">
        <v>56</v>
      </c>
      <c r="B49" s="50">
        <v>6.2</v>
      </c>
      <c r="C49" s="50">
        <v>6.2</v>
      </c>
      <c r="D49" s="50">
        <v>6.2</v>
      </c>
      <c r="E49" s="50">
        <v>6.2</v>
      </c>
      <c r="F49" s="50">
        <v>6.2</v>
      </c>
      <c r="G49" s="50">
        <v>6.2</v>
      </c>
      <c r="H49" s="50">
        <v>6.2</v>
      </c>
      <c r="I49" s="50">
        <v>6.2</v>
      </c>
      <c r="J49" s="50">
        <v>6.2</v>
      </c>
      <c r="K49" s="50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203.33999999999997</v>
      </c>
      <c r="C51" s="74">
        <f t="shared" si="6"/>
        <v>184.23999999999998</v>
      </c>
      <c r="D51" s="74">
        <f t="shared" si="6"/>
        <v>170.23999999999998</v>
      </c>
      <c r="E51" s="74">
        <f t="shared" si="6"/>
        <v>201.23999999999998</v>
      </c>
      <c r="F51" s="74">
        <f t="shared" si="6"/>
        <v>224.93999999999997</v>
      </c>
      <c r="G51" s="74">
        <f t="shared" si="6"/>
        <v>277.04000000000002</v>
      </c>
      <c r="H51" s="74">
        <f t="shared" si="6"/>
        <v>282.04000000000008</v>
      </c>
      <c r="I51" s="74">
        <f t="shared" si="6"/>
        <v>337.64000000000004</v>
      </c>
      <c r="J51" s="74">
        <f t="shared" si="6"/>
        <v>372.14000000000004</v>
      </c>
      <c r="K51" s="74">
        <f t="shared" si="6"/>
        <v>410.04</v>
      </c>
      <c r="L51" s="74">
        <f t="shared" si="6"/>
        <v>386.54</v>
      </c>
      <c r="M51" s="74">
        <f t="shared" si="6"/>
        <v>360.84000000000003</v>
      </c>
      <c r="N51" s="74">
        <f t="shared" si="6"/>
        <v>348.64000000000004</v>
      </c>
      <c r="O51" s="74">
        <f t="shared" si="6"/>
        <v>341.44</v>
      </c>
      <c r="P51" s="74">
        <f t="shared" si="6"/>
        <v>296.54000000000002</v>
      </c>
      <c r="Q51" s="74">
        <f t="shared" si="6"/>
        <v>277.74000000000007</v>
      </c>
      <c r="R51" s="74">
        <f t="shared" si="6"/>
        <v>290.44</v>
      </c>
      <c r="S51" s="74">
        <f t="shared" si="6"/>
        <v>297.24000000000007</v>
      </c>
      <c r="T51" s="74">
        <f t="shared" si="6"/>
        <v>340.54000000000008</v>
      </c>
      <c r="U51" s="74">
        <f t="shared" si="6"/>
        <v>377.44000000000005</v>
      </c>
      <c r="V51" s="74">
        <f t="shared" si="6"/>
        <v>418.04</v>
      </c>
      <c r="W51" s="74">
        <f t="shared" si="6"/>
        <v>440.54</v>
      </c>
      <c r="X51" s="74">
        <f t="shared" si="6"/>
        <v>438.34000000000003</v>
      </c>
      <c r="Y51" s="74">
        <f t="shared" si="6"/>
        <v>404.34000000000003</v>
      </c>
      <c r="Z51" s="74">
        <f t="shared" si="6"/>
        <v>394.74</v>
      </c>
      <c r="AA51" s="74">
        <f t="shared" si="6"/>
        <v>357.74</v>
      </c>
      <c r="AB51" s="74">
        <f t="shared" si="6"/>
        <v>322.24</v>
      </c>
      <c r="AC51" s="74">
        <f t="shared" si="6"/>
        <v>260.94</v>
      </c>
      <c r="AD51" s="74">
        <f t="shared" si="6"/>
        <v>196.64</v>
      </c>
      <c r="AE51" s="74">
        <f>SUM(AE38:AE50)</f>
        <v>173.43999999999997</v>
      </c>
      <c r="AF51" s="74">
        <f t="shared" si="6"/>
        <v>163.94</v>
      </c>
      <c r="AG51" s="79">
        <f>SUM(AG38:AG50)</f>
        <v>489.91</v>
      </c>
      <c r="AH51" s="56">
        <f t="shared" si="2"/>
        <v>440.54</v>
      </c>
      <c r="AI51" s="57">
        <f t="shared" si="3"/>
        <v>163.94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0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2">
        <v>0</v>
      </c>
      <c r="Q53" s="52">
        <v>0</v>
      </c>
      <c r="R53" s="52">
        <v>0</v>
      </c>
      <c r="S53" s="50">
        <v>0</v>
      </c>
      <c r="T53" s="50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0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2">
        <v>0</v>
      </c>
      <c r="Q54" s="82">
        <v>0</v>
      </c>
      <c r="R54" s="82">
        <v>0</v>
      </c>
      <c r="S54" s="50">
        <v>0</v>
      </c>
      <c r="T54" s="50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0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v>0</v>
      </c>
      <c r="X55" s="74">
        <f t="shared" si="7"/>
        <v>0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0">
        <v>0</v>
      </c>
      <c r="C57" s="50">
        <v>0</v>
      </c>
      <c r="D57" s="50">
        <v>0</v>
      </c>
      <c r="E57" s="50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-57.9</v>
      </c>
      <c r="C58" s="52">
        <v>-52</v>
      </c>
      <c r="D58" s="52">
        <v>-47</v>
      </c>
      <c r="E58" s="52">
        <v>-54</v>
      </c>
      <c r="F58" s="52">
        <v>-48</v>
      </c>
      <c r="G58" s="50">
        <v>-51.3</v>
      </c>
      <c r="H58" s="50">
        <v>-56.9</v>
      </c>
      <c r="I58" s="50">
        <v>-57</v>
      </c>
      <c r="J58" s="50">
        <v>-61</v>
      </c>
      <c r="K58" s="50">
        <v>-60.2</v>
      </c>
      <c r="L58" s="52">
        <v>-50</v>
      </c>
      <c r="M58" s="52">
        <v>-59</v>
      </c>
      <c r="N58" s="52">
        <v>-72</v>
      </c>
      <c r="O58" s="52">
        <v>-54</v>
      </c>
      <c r="P58" s="52">
        <v>-61</v>
      </c>
      <c r="Q58" s="52">
        <v>-49.1</v>
      </c>
      <c r="R58" s="52">
        <v>-67.7</v>
      </c>
      <c r="S58" s="52">
        <v>-49.2</v>
      </c>
      <c r="T58" s="52">
        <v>-72</v>
      </c>
      <c r="U58" s="52">
        <v>-53.2</v>
      </c>
      <c r="V58" s="52">
        <v>-66</v>
      </c>
      <c r="W58" s="85">
        <v>-52.1</v>
      </c>
      <c r="X58" s="85">
        <v>-52.1</v>
      </c>
      <c r="Y58" s="85">
        <v>-49</v>
      </c>
      <c r="Z58" s="85">
        <v>-71</v>
      </c>
      <c r="AA58" s="52">
        <v>-76</v>
      </c>
      <c r="AB58" s="52">
        <v>-65</v>
      </c>
      <c r="AC58" s="52">
        <v>-72.900000000000006</v>
      </c>
      <c r="AD58" s="52">
        <v>-65</v>
      </c>
      <c r="AE58" s="52">
        <v>-45.3</v>
      </c>
      <c r="AF58" s="52">
        <v>-54.2</v>
      </c>
      <c r="AG58" s="86"/>
      <c r="AH58" s="56">
        <f t="shared" si="2"/>
        <v>-45.3</v>
      </c>
      <c r="AI58" s="57">
        <f t="shared" si="3"/>
        <v>-76</v>
      </c>
      <c r="AK58" s="58"/>
    </row>
    <row r="59" spans="1:37" x14ac:dyDescent="0.25">
      <c r="A59" s="68" t="s">
        <v>66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0">
        <v>0</v>
      </c>
      <c r="Q60" s="50">
        <v>0</v>
      </c>
      <c r="R60" s="50">
        <v>0</v>
      </c>
      <c r="S60" s="52">
        <v>0</v>
      </c>
      <c r="T60" s="52">
        <v>0</v>
      </c>
      <c r="U60" s="52">
        <v>0</v>
      </c>
      <c r="V60" s="52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62">
        <v>0</v>
      </c>
      <c r="Q61" s="62">
        <v>0</v>
      </c>
      <c r="R61" s="62">
        <v>0</v>
      </c>
      <c r="S61" s="52">
        <v>0</v>
      </c>
      <c r="T61" s="52">
        <v>0</v>
      </c>
      <c r="U61" s="52">
        <v>0</v>
      </c>
      <c r="V61" s="5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62">
        <v>0</v>
      </c>
      <c r="Q62" s="62">
        <v>0</v>
      </c>
      <c r="R62" s="62">
        <v>0</v>
      </c>
      <c r="S62" s="52">
        <v>0</v>
      </c>
      <c r="T62" s="52">
        <v>0</v>
      </c>
      <c r="U62" s="52">
        <v>0</v>
      </c>
      <c r="V62" s="5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52">
        <v>0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62">
        <v>0</v>
      </c>
      <c r="Q63" s="62">
        <v>0</v>
      </c>
      <c r="R63" s="62">
        <v>0</v>
      </c>
      <c r="S63" s="52">
        <v>0</v>
      </c>
      <c r="T63" s="52">
        <v>0</v>
      </c>
      <c r="U63" s="52">
        <v>0</v>
      </c>
      <c r="V63" s="52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62">
        <v>0</v>
      </c>
      <c r="Q64" s="62">
        <v>0</v>
      </c>
      <c r="R64" s="62">
        <v>0</v>
      </c>
      <c r="S64" s="52">
        <v>0</v>
      </c>
      <c r="T64" s="52">
        <v>0</v>
      </c>
      <c r="U64" s="52">
        <v>0</v>
      </c>
      <c r="V64" s="52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52">
        <v>0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62">
        <v>0</v>
      </c>
      <c r="Q65" s="62">
        <v>0</v>
      </c>
      <c r="R65" s="62">
        <v>0</v>
      </c>
      <c r="S65" s="52">
        <v>0</v>
      </c>
      <c r="T65" s="52">
        <v>0</v>
      </c>
      <c r="U65" s="52">
        <v>0</v>
      </c>
      <c r="V65" s="52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52">
        <v>0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62">
        <v>0</v>
      </c>
      <c r="Q66" s="62">
        <v>0</v>
      </c>
      <c r="R66" s="62">
        <v>0</v>
      </c>
      <c r="S66" s="52">
        <v>0</v>
      </c>
      <c r="T66" s="52">
        <v>0</v>
      </c>
      <c r="U66" s="52">
        <v>0</v>
      </c>
      <c r="V66" s="52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-57.9</v>
      </c>
      <c r="C67" s="74">
        <f t="shared" ref="C67:AF67" si="8">SUM(C56:C66)</f>
        <v>-52</v>
      </c>
      <c r="D67" s="74">
        <f t="shared" si="8"/>
        <v>-47</v>
      </c>
      <c r="E67" s="74">
        <f t="shared" si="8"/>
        <v>-54</v>
      </c>
      <c r="F67" s="74">
        <f t="shared" si="8"/>
        <v>-48</v>
      </c>
      <c r="G67" s="74">
        <f t="shared" si="8"/>
        <v>-51.3</v>
      </c>
      <c r="H67" s="74">
        <f t="shared" si="8"/>
        <v>-56.9</v>
      </c>
      <c r="I67" s="74">
        <f t="shared" si="8"/>
        <v>-57</v>
      </c>
      <c r="J67" s="74">
        <f t="shared" si="8"/>
        <v>-61</v>
      </c>
      <c r="K67" s="74">
        <f t="shared" si="8"/>
        <v>-60.2</v>
      </c>
      <c r="L67" s="74">
        <f t="shared" si="8"/>
        <v>-50</v>
      </c>
      <c r="M67" s="74">
        <f t="shared" si="8"/>
        <v>-59</v>
      </c>
      <c r="N67" s="74">
        <f t="shared" si="8"/>
        <v>-72</v>
      </c>
      <c r="O67" s="74">
        <f t="shared" si="8"/>
        <v>-54</v>
      </c>
      <c r="P67" s="74">
        <f t="shared" si="8"/>
        <v>-61</v>
      </c>
      <c r="Q67" s="74">
        <f t="shared" si="8"/>
        <v>-49.1</v>
      </c>
      <c r="R67" s="74">
        <f t="shared" si="8"/>
        <v>-67.7</v>
      </c>
      <c r="S67" s="74">
        <f t="shared" si="8"/>
        <v>-49.2</v>
      </c>
      <c r="T67" s="74">
        <f t="shared" si="8"/>
        <v>-72</v>
      </c>
      <c r="U67" s="74">
        <f t="shared" si="8"/>
        <v>-53.2</v>
      </c>
      <c r="V67" s="74">
        <f t="shared" si="8"/>
        <v>-66</v>
      </c>
      <c r="W67" s="74">
        <f t="shared" si="8"/>
        <v>-52.1</v>
      </c>
      <c r="X67" s="74">
        <f t="shared" si="8"/>
        <v>-52.1</v>
      </c>
      <c r="Y67" s="74">
        <f t="shared" si="8"/>
        <v>-49</v>
      </c>
      <c r="Z67" s="74">
        <f t="shared" si="8"/>
        <v>-71</v>
      </c>
      <c r="AA67" s="74">
        <f t="shared" si="8"/>
        <v>-76</v>
      </c>
      <c r="AB67" s="74">
        <f t="shared" si="8"/>
        <v>-65</v>
      </c>
      <c r="AC67" s="74">
        <f t="shared" si="8"/>
        <v>-72.900000000000006</v>
      </c>
      <c r="AD67" s="74">
        <f t="shared" si="8"/>
        <v>-65</v>
      </c>
      <c r="AE67" s="74">
        <f t="shared" si="8"/>
        <v>-45.3</v>
      </c>
      <c r="AF67" s="74">
        <f t="shared" si="8"/>
        <v>-54.2</v>
      </c>
      <c r="AG67" s="79">
        <f>SUM(AG56:AG66)</f>
        <v>0</v>
      </c>
      <c r="AH67" s="56">
        <f t="shared" si="2"/>
        <v>-45.3</v>
      </c>
      <c r="AI67" s="57">
        <f t="shared" si="3"/>
        <v>-76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777.63999999999987</v>
      </c>
      <c r="C72" s="90">
        <f t="shared" ref="C72:AG72" si="10">C67+C55+C51+C37+C71</f>
        <v>754.44</v>
      </c>
      <c r="D72" s="90">
        <f t="shared" si="10"/>
        <v>745.44</v>
      </c>
      <c r="E72" s="90">
        <f t="shared" si="10"/>
        <v>759.44</v>
      </c>
      <c r="F72" s="90">
        <f t="shared" si="10"/>
        <v>795.14</v>
      </c>
      <c r="G72" s="90">
        <f t="shared" si="10"/>
        <v>853.93999999999994</v>
      </c>
      <c r="H72" s="90">
        <f t="shared" si="10"/>
        <v>863.34</v>
      </c>
      <c r="I72" s="90">
        <f t="shared" si="10"/>
        <v>966.83999999999992</v>
      </c>
      <c r="J72" s="90">
        <f t="shared" si="10"/>
        <v>1017.3399999999999</v>
      </c>
      <c r="K72" s="90">
        <f t="shared" si="10"/>
        <v>1086.04</v>
      </c>
      <c r="L72" s="90">
        <f t="shared" si="10"/>
        <v>1083.74</v>
      </c>
      <c r="M72" s="90">
        <f t="shared" si="10"/>
        <v>1033.04</v>
      </c>
      <c r="N72" s="90">
        <f t="shared" si="10"/>
        <v>992.83999999999992</v>
      </c>
      <c r="O72" s="90">
        <f t="shared" si="10"/>
        <v>1003.6399999999999</v>
      </c>
      <c r="P72" s="90">
        <f t="shared" si="10"/>
        <v>941.74</v>
      </c>
      <c r="Q72" s="90">
        <f t="shared" si="10"/>
        <v>934.84</v>
      </c>
      <c r="R72" s="90">
        <f t="shared" si="10"/>
        <v>930.13999999999987</v>
      </c>
      <c r="S72" s="90">
        <f t="shared" si="10"/>
        <v>955.43999999999994</v>
      </c>
      <c r="T72" s="90">
        <f t="shared" si="10"/>
        <v>975.93999999999994</v>
      </c>
      <c r="U72" s="90">
        <f t="shared" si="10"/>
        <v>1031.6399999999999</v>
      </c>
      <c r="V72" s="90">
        <f t="shared" si="10"/>
        <v>1153.54</v>
      </c>
      <c r="W72" s="90">
        <f t="shared" si="10"/>
        <v>1296.74</v>
      </c>
      <c r="X72" s="90">
        <f t="shared" si="10"/>
        <v>1264.54</v>
      </c>
      <c r="Y72" s="90">
        <f t="shared" si="10"/>
        <v>1203.6400000000001</v>
      </c>
      <c r="Z72" s="90">
        <f t="shared" si="10"/>
        <v>1132.04</v>
      </c>
      <c r="AA72" s="90">
        <f t="shared" si="10"/>
        <v>1059.1400000000001</v>
      </c>
      <c r="AB72" s="90">
        <f t="shared" si="10"/>
        <v>1024.6400000000001</v>
      </c>
      <c r="AC72" s="90">
        <f t="shared" si="10"/>
        <v>925.43999999999994</v>
      </c>
      <c r="AD72" s="90">
        <f t="shared" si="10"/>
        <v>819.04</v>
      </c>
      <c r="AE72" s="90">
        <f t="shared" si="10"/>
        <v>785.54</v>
      </c>
      <c r="AF72" s="90">
        <f t="shared" si="10"/>
        <v>765.24</v>
      </c>
      <c r="AG72" s="90">
        <f t="shared" si="10"/>
        <v>2133.14</v>
      </c>
      <c r="AH72" s="56">
        <f t="shared" si="2"/>
        <v>1296.74</v>
      </c>
      <c r="AI72" s="57">
        <f t="shared" si="3"/>
        <v>745.44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777.63999999999987</v>
      </c>
      <c r="C74" s="90">
        <f t="shared" ref="C74:AF74" si="11">C71+C67+C55+C51+C37+C73</f>
        <v>754.44</v>
      </c>
      <c r="D74" s="90">
        <f t="shared" si="11"/>
        <v>745.44</v>
      </c>
      <c r="E74" s="90">
        <f t="shared" si="11"/>
        <v>759.44</v>
      </c>
      <c r="F74" s="90">
        <f t="shared" si="11"/>
        <v>795.14</v>
      </c>
      <c r="G74" s="90">
        <f t="shared" si="11"/>
        <v>853.93999999999994</v>
      </c>
      <c r="H74" s="90">
        <f t="shared" si="11"/>
        <v>863.34</v>
      </c>
      <c r="I74" s="90">
        <f t="shared" si="11"/>
        <v>966.83999999999992</v>
      </c>
      <c r="J74" s="90">
        <f t="shared" si="11"/>
        <v>1017.3399999999999</v>
      </c>
      <c r="K74" s="90">
        <f t="shared" si="11"/>
        <v>1086.04</v>
      </c>
      <c r="L74" s="90">
        <f t="shared" si="11"/>
        <v>1083.74</v>
      </c>
      <c r="M74" s="90">
        <f t="shared" si="11"/>
        <v>1033.04</v>
      </c>
      <c r="N74" s="90">
        <f t="shared" si="11"/>
        <v>992.83999999999992</v>
      </c>
      <c r="O74" s="90">
        <f t="shared" si="11"/>
        <v>1003.6399999999999</v>
      </c>
      <c r="P74" s="90">
        <f t="shared" si="11"/>
        <v>941.74</v>
      </c>
      <c r="Q74" s="90">
        <f t="shared" si="11"/>
        <v>934.84</v>
      </c>
      <c r="R74" s="90">
        <f t="shared" si="11"/>
        <v>930.13999999999987</v>
      </c>
      <c r="S74" s="90">
        <f t="shared" si="11"/>
        <v>955.43999999999994</v>
      </c>
      <c r="T74" s="90">
        <f t="shared" si="11"/>
        <v>975.93999999999994</v>
      </c>
      <c r="U74" s="90">
        <f t="shared" si="11"/>
        <v>1031.6399999999999</v>
      </c>
      <c r="V74" s="90">
        <f t="shared" si="11"/>
        <v>1153.54</v>
      </c>
      <c r="W74" s="90">
        <f t="shared" si="11"/>
        <v>1296.74</v>
      </c>
      <c r="X74" s="90">
        <f t="shared" si="11"/>
        <v>1264.54</v>
      </c>
      <c r="Y74" s="90">
        <f t="shared" si="11"/>
        <v>1203.6400000000001</v>
      </c>
      <c r="Z74" s="90">
        <f t="shared" si="11"/>
        <v>1132.04</v>
      </c>
      <c r="AA74" s="90">
        <f t="shared" si="11"/>
        <v>1059.1400000000001</v>
      </c>
      <c r="AB74" s="90">
        <f t="shared" si="11"/>
        <v>1024.6400000000001</v>
      </c>
      <c r="AC74" s="90">
        <f t="shared" si="11"/>
        <v>925.43999999999994</v>
      </c>
      <c r="AD74" s="90">
        <f t="shared" si="11"/>
        <v>819.04</v>
      </c>
      <c r="AE74" s="90">
        <f t="shared" si="11"/>
        <v>785.54</v>
      </c>
      <c r="AF74" s="90">
        <f t="shared" si="11"/>
        <v>765.24</v>
      </c>
      <c r="AG74" s="79">
        <f>AG71+AG67+AG55+AG51+AG37+AG73</f>
        <v>2133.14</v>
      </c>
      <c r="AH74" s="56">
        <f t="shared" si="2"/>
        <v>1296.74</v>
      </c>
      <c r="AI74" s="57">
        <f t="shared" si="3"/>
        <v>745.44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57.9</v>
      </c>
      <c r="C78" s="60">
        <f t="shared" ref="C78:AF78" si="15">IF(C58&lt;0,C58*-1,0)</f>
        <v>52</v>
      </c>
      <c r="D78" s="60">
        <f t="shared" si="15"/>
        <v>47</v>
      </c>
      <c r="E78" s="60">
        <f t="shared" si="15"/>
        <v>54</v>
      </c>
      <c r="F78" s="60">
        <f t="shared" si="15"/>
        <v>48</v>
      </c>
      <c r="G78" s="60">
        <f t="shared" si="15"/>
        <v>51.3</v>
      </c>
      <c r="H78" s="60">
        <f t="shared" si="15"/>
        <v>56.9</v>
      </c>
      <c r="I78" s="60">
        <f t="shared" si="15"/>
        <v>57</v>
      </c>
      <c r="J78" s="60">
        <f t="shared" si="15"/>
        <v>61</v>
      </c>
      <c r="K78" s="60">
        <f t="shared" si="15"/>
        <v>60.2</v>
      </c>
      <c r="L78" s="60">
        <f t="shared" si="15"/>
        <v>50</v>
      </c>
      <c r="M78" s="60">
        <f t="shared" si="15"/>
        <v>59</v>
      </c>
      <c r="N78" s="60">
        <f t="shared" si="15"/>
        <v>72</v>
      </c>
      <c r="O78" s="60">
        <f t="shared" si="15"/>
        <v>54</v>
      </c>
      <c r="P78" s="60">
        <f t="shared" si="15"/>
        <v>61</v>
      </c>
      <c r="Q78" s="60">
        <f t="shared" si="15"/>
        <v>49.1</v>
      </c>
      <c r="R78" s="60">
        <f t="shared" si="15"/>
        <v>67.7</v>
      </c>
      <c r="S78" s="60">
        <f t="shared" si="15"/>
        <v>49.2</v>
      </c>
      <c r="T78" s="60">
        <f t="shared" si="15"/>
        <v>72</v>
      </c>
      <c r="U78" s="60">
        <f t="shared" si="15"/>
        <v>53.2</v>
      </c>
      <c r="V78" s="60">
        <f t="shared" si="15"/>
        <v>66</v>
      </c>
      <c r="W78" s="60">
        <f t="shared" si="15"/>
        <v>52.1</v>
      </c>
      <c r="X78" s="60">
        <f t="shared" si="15"/>
        <v>52.1</v>
      </c>
      <c r="Y78" s="60">
        <f t="shared" si="15"/>
        <v>49</v>
      </c>
      <c r="Z78" s="60">
        <f t="shared" si="15"/>
        <v>71</v>
      </c>
      <c r="AA78" s="60">
        <f t="shared" si="15"/>
        <v>76</v>
      </c>
      <c r="AB78" s="60">
        <f t="shared" si="15"/>
        <v>65</v>
      </c>
      <c r="AC78" s="60">
        <f t="shared" si="15"/>
        <v>72.900000000000006</v>
      </c>
      <c r="AD78" s="60">
        <f t="shared" si="15"/>
        <v>65</v>
      </c>
      <c r="AE78" s="60">
        <f t="shared" si="15"/>
        <v>45.3</v>
      </c>
      <c r="AF78" s="60">
        <f t="shared" si="15"/>
        <v>54.2</v>
      </c>
      <c r="AG78" s="93"/>
      <c r="AH78" s="56">
        <f t="shared" ref="AH78:AH90" si="16">MAX(B78:AF78)</f>
        <v>76</v>
      </c>
      <c r="AI78" s="57">
        <f t="shared" ref="AI78:AI90" si="17">MIN(B78:AF78)</f>
        <v>45.3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57.9</v>
      </c>
      <c r="C81" s="74">
        <f t="shared" si="19"/>
        <v>52</v>
      </c>
      <c r="D81" s="74">
        <f t="shared" si="19"/>
        <v>47</v>
      </c>
      <c r="E81" s="74">
        <f t="shared" si="19"/>
        <v>54</v>
      </c>
      <c r="F81" s="74">
        <f t="shared" si="19"/>
        <v>48</v>
      </c>
      <c r="G81" s="74">
        <f t="shared" si="19"/>
        <v>51.3</v>
      </c>
      <c r="H81" s="74">
        <f t="shared" si="19"/>
        <v>56.9</v>
      </c>
      <c r="I81" s="74">
        <f t="shared" si="19"/>
        <v>57</v>
      </c>
      <c r="J81" s="74">
        <f t="shared" si="19"/>
        <v>61</v>
      </c>
      <c r="K81" s="74">
        <f t="shared" si="19"/>
        <v>60.2</v>
      </c>
      <c r="L81" s="74">
        <f t="shared" si="19"/>
        <v>50</v>
      </c>
      <c r="M81" s="74">
        <f t="shared" si="19"/>
        <v>59</v>
      </c>
      <c r="N81" s="74">
        <f t="shared" si="19"/>
        <v>72</v>
      </c>
      <c r="O81" s="74">
        <f t="shared" si="19"/>
        <v>54</v>
      </c>
      <c r="P81" s="74">
        <f t="shared" si="19"/>
        <v>61</v>
      </c>
      <c r="Q81" s="74">
        <f t="shared" si="19"/>
        <v>49.1</v>
      </c>
      <c r="R81" s="74">
        <f t="shared" si="19"/>
        <v>67.7</v>
      </c>
      <c r="S81" s="74">
        <f t="shared" si="19"/>
        <v>49.2</v>
      </c>
      <c r="T81" s="74">
        <f t="shared" si="19"/>
        <v>72</v>
      </c>
      <c r="U81" s="74">
        <f t="shared" si="19"/>
        <v>53.2</v>
      </c>
      <c r="V81" s="74">
        <f t="shared" si="19"/>
        <v>66</v>
      </c>
      <c r="W81" s="74">
        <f t="shared" si="19"/>
        <v>52.1</v>
      </c>
      <c r="X81" s="74">
        <f t="shared" si="19"/>
        <v>52.1</v>
      </c>
      <c r="Y81" s="74">
        <f t="shared" si="19"/>
        <v>49</v>
      </c>
      <c r="Z81" s="74">
        <f t="shared" si="19"/>
        <v>71</v>
      </c>
      <c r="AA81" s="74">
        <f t="shared" si="19"/>
        <v>76</v>
      </c>
      <c r="AB81" s="74">
        <f t="shared" si="19"/>
        <v>65</v>
      </c>
      <c r="AC81" s="74">
        <f t="shared" si="19"/>
        <v>72.900000000000006</v>
      </c>
      <c r="AD81" s="74">
        <f t="shared" si="19"/>
        <v>65</v>
      </c>
      <c r="AE81" s="74">
        <f t="shared" si="19"/>
        <v>45.3</v>
      </c>
      <c r="AF81" s="74">
        <f t="shared" si="19"/>
        <v>54.2</v>
      </c>
      <c r="AG81" s="79">
        <f t="shared" si="19"/>
        <v>0</v>
      </c>
      <c r="AH81" s="56">
        <f t="shared" si="16"/>
        <v>76</v>
      </c>
      <c r="AI81" s="57">
        <f t="shared" si="17"/>
        <v>45.3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1671.08</v>
      </c>
      <c r="C82" s="74">
        <f t="shared" si="20"/>
        <v>1612.88</v>
      </c>
      <c r="D82" s="74">
        <f t="shared" si="20"/>
        <v>1584.88</v>
      </c>
      <c r="E82" s="74">
        <f t="shared" si="20"/>
        <v>1626.88</v>
      </c>
      <c r="F82" s="74">
        <f t="shared" si="20"/>
        <v>1686.28</v>
      </c>
      <c r="G82" s="74">
        <f t="shared" si="20"/>
        <v>1810.4799999999998</v>
      </c>
      <c r="H82" s="74">
        <f t="shared" si="20"/>
        <v>1840.4800000000002</v>
      </c>
      <c r="I82" s="74">
        <f t="shared" si="20"/>
        <v>2047.6799999999998</v>
      </c>
      <c r="J82" s="74">
        <f t="shared" si="20"/>
        <v>2156.6799999999998</v>
      </c>
      <c r="K82" s="74">
        <f t="shared" si="20"/>
        <v>2292.4799999999996</v>
      </c>
      <c r="L82" s="74">
        <f t="shared" si="20"/>
        <v>2267.48</v>
      </c>
      <c r="M82" s="74">
        <f t="shared" si="20"/>
        <v>2184.08</v>
      </c>
      <c r="N82" s="74">
        <f t="shared" si="20"/>
        <v>2129.6799999999998</v>
      </c>
      <c r="O82" s="74">
        <f t="shared" si="20"/>
        <v>2115.2799999999997</v>
      </c>
      <c r="P82" s="74">
        <f t="shared" si="20"/>
        <v>2005.48</v>
      </c>
      <c r="Q82" s="74">
        <f t="shared" si="20"/>
        <v>1967.8799999999999</v>
      </c>
      <c r="R82" s="74">
        <f t="shared" si="20"/>
        <v>1995.6799999999998</v>
      </c>
      <c r="S82" s="74">
        <f t="shared" si="20"/>
        <v>2009.28</v>
      </c>
      <c r="T82" s="74">
        <f t="shared" si="20"/>
        <v>2095.88</v>
      </c>
      <c r="U82" s="74">
        <f t="shared" si="20"/>
        <v>2169.6799999999994</v>
      </c>
      <c r="V82" s="74">
        <f t="shared" si="20"/>
        <v>2439.08</v>
      </c>
      <c r="W82" s="74">
        <f t="shared" si="20"/>
        <v>2697.68</v>
      </c>
      <c r="X82" s="74">
        <f t="shared" si="20"/>
        <v>2633.2799999999997</v>
      </c>
      <c r="Y82" s="74">
        <f t="shared" si="20"/>
        <v>2505.2800000000002</v>
      </c>
      <c r="Z82" s="74">
        <f t="shared" si="20"/>
        <v>2406.08</v>
      </c>
      <c r="AA82" s="74">
        <f t="shared" si="20"/>
        <v>2270.2800000000002</v>
      </c>
      <c r="AB82" s="74">
        <f t="shared" si="20"/>
        <v>2179.2800000000002</v>
      </c>
      <c r="AC82" s="74">
        <f t="shared" si="20"/>
        <v>1996.68</v>
      </c>
      <c r="AD82" s="74">
        <f t="shared" si="20"/>
        <v>1768.08</v>
      </c>
      <c r="AE82" s="74">
        <f t="shared" si="20"/>
        <v>1661.6799999999998</v>
      </c>
      <c r="AF82" s="74">
        <f t="shared" si="20"/>
        <v>1638.88</v>
      </c>
      <c r="AG82" s="79">
        <f t="shared" si="20"/>
        <v>4338.08</v>
      </c>
      <c r="AH82" s="56">
        <f t="shared" si="16"/>
        <v>2697.68</v>
      </c>
      <c r="AI82" s="57">
        <f t="shared" si="17"/>
        <v>1584.88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49.98</v>
      </c>
      <c r="C83" s="96">
        <v>49.95</v>
      </c>
      <c r="D83" s="96">
        <v>50.01</v>
      </c>
      <c r="E83" s="96">
        <v>50</v>
      </c>
      <c r="F83" s="96">
        <v>50.054000000000002</v>
      </c>
      <c r="G83" s="96">
        <v>50.036999999999999</v>
      </c>
      <c r="H83" s="96">
        <v>49.954999999999998</v>
      </c>
      <c r="I83" s="96">
        <v>50.012999999999998</v>
      </c>
      <c r="J83" s="96">
        <v>50.012999999999998</v>
      </c>
      <c r="K83" s="96">
        <v>49.88</v>
      </c>
      <c r="L83" s="96">
        <v>50.036000000000001</v>
      </c>
      <c r="M83" s="96">
        <v>49.911999999999999</v>
      </c>
      <c r="N83" s="96">
        <v>50.015000000000001</v>
      </c>
      <c r="O83" s="96">
        <v>50.031999999999996</v>
      </c>
      <c r="P83" s="96">
        <v>49.98</v>
      </c>
      <c r="Q83" s="96">
        <v>49.920999999999999</v>
      </c>
      <c r="R83" s="96">
        <v>50.006999999999998</v>
      </c>
      <c r="S83" s="96">
        <v>49.918999999999997</v>
      </c>
      <c r="T83" s="96">
        <v>49.901000000000003</v>
      </c>
      <c r="U83" s="96">
        <v>49.970999999999997</v>
      </c>
      <c r="V83" s="96">
        <v>49.991</v>
      </c>
      <c r="W83" s="96">
        <v>49.92</v>
      </c>
      <c r="X83" s="96">
        <v>49.889000000000003</v>
      </c>
      <c r="Y83" s="96">
        <v>50.040999999999997</v>
      </c>
      <c r="Z83" s="96">
        <v>50.01</v>
      </c>
      <c r="AA83" s="96">
        <v>50.03</v>
      </c>
      <c r="AB83" s="96">
        <v>49.98</v>
      </c>
      <c r="AC83" s="96">
        <v>50.03</v>
      </c>
      <c r="AD83" s="96">
        <v>50.05</v>
      </c>
      <c r="AE83" s="96">
        <v>49.98</v>
      </c>
      <c r="AF83" s="96">
        <v>50.01</v>
      </c>
      <c r="AG83" s="98"/>
      <c r="AH83" s="56">
        <f t="shared" si="16"/>
        <v>50.054000000000002</v>
      </c>
      <c r="AI83" s="57">
        <f t="shared" si="17"/>
        <v>49.88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127.8</v>
      </c>
      <c r="C84" s="52">
        <v>127.8</v>
      </c>
      <c r="D84" s="52">
        <v>127.8</v>
      </c>
      <c r="E84" s="52">
        <v>127.8</v>
      </c>
      <c r="F84" s="52">
        <v>128.5</v>
      </c>
      <c r="G84" s="52">
        <v>127</v>
      </c>
      <c r="H84" s="52">
        <v>127</v>
      </c>
      <c r="I84" s="52">
        <v>126</v>
      </c>
      <c r="J84" s="52">
        <v>126</v>
      </c>
      <c r="K84" s="52">
        <v>124.4</v>
      </c>
      <c r="L84" s="52">
        <v>125.3</v>
      </c>
      <c r="M84" s="52">
        <v>125.7</v>
      </c>
      <c r="N84" s="52">
        <v>125.2</v>
      </c>
      <c r="O84" s="52">
        <v>125.8</v>
      </c>
      <c r="P84" s="52">
        <v>125.8</v>
      </c>
      <c r="Q84" s="52">
        <v>124.6</v>
      </c>
      <c r="R84" s="52">
        <v>126.1</v>
      </c>
      <c r="S84" s="52">
        <v>125.9</v>
      </c>
      <c r="T84" s="100">
        <v>125.3</v>
      </c>
      <c r="U84" s="100">
        <v>125.6</v>
      </c>
      <c r="V84" s="100">
        <v>126.3</v>
      </c>
      <c r="W84" s="100">
        <v>125.4</v>
      </c>
      <c r="X84" s="100">
        <v>125.1</v>
      </c>
      <c r="Y84" s="100">
        <v>126.4</v>
      </c>
      <c r="Z84" s="100">
        <v>128</v>
      </c>
      <c r="AA84" s="100">
        <v>128.6</v>
      </c>
      <c r="AB84" s="100">
        <v>128.6</v>
      </c>
      <c r="AC84" s="100">
        <v>128.9</v>
      </c>
      <c r="AD84" s="100">
        <v>129.69999999999999</v>
      </c>
      <c r="AE84" s="100">
        <v>129.19999999999999</v>
      </c>
      <c r="AF84" s="100">
        <v>129.4</v>
      </c>
      <c r="AG84" s="102"/>
      <c r="AH84" s="56">
        <f t="shared" si="16"/>
        <v>129.69999999999999</v>
      </c>
      <c r="AI84" s="57">
        <f t="shared" si="17"/>
        <v>124.4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131.1</v>
      </c>
      <c r="C85" s="52">
        <v>131.1</v>
      </c>
      <c r="D85" s="52">
        <v>131.1</v>
      </c>
      <c r="E85" s="52">
        <v>131.1</v>
      </c>
      <c r="F85" s="52">
        <v>131.6</v>
      </c>
      <c r="G85" s="52">
        <v>130.80000000000001</v>
      </c>
      <c r="H85" s="52">
        <v>130.80000000000001</v>
      </c>
      <c r="I85" s="52">
        <v>129.5</v>
      </c>
      <c r="J85" s="52">
        <v>129.5</v>
      </c>
      <c r="K85" s="52">
        <v>127.4</v>
      </c>
      <c r="L85" s="52">
        <v>128.19999999999999</v>
      </c>
      <c r="M85" s="52">
        <v>128.30000000000001</v>
      </c>
      <c r="N85" s="52">
        <v>128.1</v>
      </c>
      <c r="O85" s="52">
        <v>128.30000000000001</v>
      </c>
      <c r="P85" s="52">
        <v>128.19999999999999</v>
      </c>
      <c r="Q85" s="52">
        <v>127</v>
      </c>
      <c r="R85" s="52">
        <v>128.4</v>
      </c>
      <c r="S85" s="52">
        <v>128.30000000000001</v>
      </c>
      <c r="T85" s="100">
        <v>128.19999999999999</v>
      </c>
      <c r="U85" s="100">
        <v>128.5</v>
      </c>
      <c r="V85" s="100">
        <v>128.69999999999999</v>
      </c>
      <c r="W85" s="100">
        <v>127.5</v>
      </c>
      <c r="X85" s="100">
        <v>127.4</v>
      </c>
      <c r="Y85" s="100">
        <v>129</v>
      </c>
      <c r="Z85" s="100">
        <v>130.5</v>
      </c>
      <c r="AA85" s="100">
        <v>130.9</v>
      </c>
      <c r="AB85" s="100">
        <v>130.9</v>
      </c>
      <c r="AC85" s="100">
        <v>131</v>
      </c>
      <c r="AD85" s="100">
        <v>131.9</v>
      </c>
      <c r="AE85" s="100">
        <v>131.9</v>
      </c>
      <c r="AF85" s="100">
        <v>132.19999999999999</v>
      </c>
      <c r="AG85" s="102"/>
      <c r="AH85" s="56">
        <f t="shared" si="16"/>
        <v>132.19999999999999</v>
      </c>
      <c r="AI85" s="57">
        <f t="shared" si="17"/>
        <v>127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127.7</v>
      </c>
      <c r="C86" s="52">
        <v>127.7</v>
      </c>
      <c r="D86" s="52">
        <v>127.7</v>
      </c>
      <c r="E86" s="52">
        <v>127.7</v>
      </c>
      <c r="F86" s="52">
        <v>129</v>
      </c>
      <c r="G86" s="52">
        <v>129</v>
      </c>
      <c r="H86" s="52">
        <v>129</v>
      </c>
      <c r="I86" s="52">
        <v>127.6</v>
      </c>
      <c r="J86" s="52">
        <v>127.6</v>
      </c>
      <c r="K86" s="52">
        <v>126.5</v>
      </c>
      <c r="L86" s="52">
        <v>127.8</v>
      </c>
      <c r="M86" s="52">
        <v>127.2</v>
      </c>
      <c r="N86" s="52">
        <v>128</v>
      </c>
      <c r="O86" s="52">
        <v>128</v>
      </c>
      <c r="P86" s="52">
        <v>128.80000000000001</v>
      </c>
      <c r="Q86" s="52">
        <v>129.4</v>
      </c>
      <c r="R86" s="52">
        <v>127</v>
      </c>
      <c r="S86" s="52">
        <v>126.7</v>
      </c>
      <c r="T86" s="52">
        <v>129.9</v>
      </c>
      <c r="U86" s="52">
        <v>127.2</v>
      </c>
      <c r="V86" s="52">
        <v>127.2</v>
      </c>
      <c r="W86" s="100">
        <v>128.1</v>
      </c>
      <c r="X86" s="100">
        <v>127.1</v>
      </c>
      <c r="Y86" s="100">
        <v>129.69999999999999</v>
      </c>
      <c r="Z86" s="100">
        <v>130.19999999999999</v>
      </c>
      <c r="AA86" s="100">
        <v>131.69999999999999</v>
      </c>
      <c r="AB86" s="100">
        <v>130.6</v>
      </c>
      <c r="AC86" s="100">
        <v>130.6</v>
      </c>
      <c r="AD86" s="100">
        <v>130.5</v>
      </c>
      <c r="AE86" s="100">
        <v>130.69999999999999</v>
      </c>
      <c r="AF86" s="100">
        <v>130.69999999999999</v>
      </c>
      <c r="AG86" s="102"/>
      <c r="AH86" s="56">
        <f t="shared" si="16"/>
        <v>131.69999999999999</v>
      </c>
      <c r="AI86" s="57">
        <f t="shared" si="17"/>
        <v>126.5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131.69999999999999</v>
      </c>
      <c r="C87" s="52">
        <v>131.69999999999999</v>
      </c>
      <c r="D87" s="52">
        <v>131.69999999999999</v>
      </c>
      <c r="E87" s="52">
        <v>131.69999999999999</v>
      </c>
      <c r="F87" s="52">
        <v>134</v>
      </c>
      <c r="G87" s="52">
        <v>133.6</v>
      </c>
      <c r="H87" s="52">
        <v>133.6</v>
      </c>
      <c r="I87" s="52">
        <v>131.6</v>
      </c>
      <c r="J87" s="52">
        <v>131.6</v>
      </c>
      <c r="K87" s="52">
        <v>129.5</v>
      </c>
      <c r="L87" s="52">
        <v>129.69999999999999</v>
      </c>
      <c r="M87" s="52">
        <v>129.6</v>
      </c>
      <c r="N87" s="52">
        <v>130.5</v>
      </c>
      <c r="O87" s="52">
        <v>130.5</v>
      </c>
      <c r="P87" s="52">
        <v>131.4</v>
      </c>
      <c r="Q87" s="52">
        <v>132.19999999999999</v>
      </c>
      <c r="R87" s="52">
        <v>129.9</v>
      </c>
      <c r="S87" s="52">
        <v>129.30000000000001</v>
      </c>
      <c r="T87" s="52">
        <v>131.80000000000001</v>
      </c>
      <c r="U87" s="52">
        <v>129.9</v>
      </c>
      <c r="V87" s="52">
        <v>129.30000000000001</v>
      </c>
      <c r="W87" s="100">
        <v>130</v>
      </c>
      <c r="X87" s="100">
        <v>129.4</v>
      </c>
      <c r="Y87" s="100">
        <v>132</v>
      </c>
      <c r="Z87" s="100">
        <v>132.5</v>
      </c>
      <c r="AA87" s="100">
        <v>134.5</v>
      </c>
      <c r="AB87" s="100">
        <v>133.80000000000001</v>
      </c>
      <c r="AC87" s="100">
        <v>134.30000000000001</v>
      </c>
      <c r="AD87" s="100">
        <v>134.30000000000001</v>
      </c>
      <c r="AE87" s="100">
        <v>134.30000000000001</v>
      </c>
      <c r="AF87" s="100">
        <v>134.5</v>
      </c>
      <c r="AG87" s="102"/>
      <c r="AH87" s="56">
        <f t="shared" si="16"/>
        <v>134.5</v>
      </c>
      <c r="AI87" s="57">
        <f t="shared" si="17"/>
        <v>129.30000000000001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132.5</v>
      </c>
      <c r="C88" s="104">
        <v>132.5</v>
      </c>
      <c r="D88" s="104">
        <v>132.5</v>
      </c>
      <c r="E88" s="104">
        <v>132.5</v>
      </c>
      <c r="F88" s="104">
        <v>133</v>
      </c>
      <c r="G88" s="104">
        <v>132.5</v>
      </c>
      <c r="H88" s="104">
        <v>132.5</v>
      </c>
      <c r="I88" s="104">
        <v>134</v>
      </c>
      <c r="J88" s="104">
        <v>134</v>
      </c>
      <c r="K88" s="104">
        <v>134</v>
      </c>
      <c r="L88" s="104">
        <v>133.4</v>
      </c>
      <c r="M88" s="104">
        <v>132.30000000000001</v>
      </c>
      <c r="N88" s="104">
        <v>132.80000000000001</v>
      </c>
      <c r="O88" s="104">
        <v>132.69999999999999</v>
      </c>
      <c r="P88" s="104">
        <v>132.6</v>
      </c>
      <c r="Q88" s="104">
        <v>132.4</v>
      </c>
      <c r="R88" s="104">
        <v>132.30000000000001</v>
      </c>
      <c r="S88" s="104">
        <v>132.80000000000001</v>
      </c>
      <c r="T88" s="104">
        <v>134.1</v>
      </c>
      <c r="U88" s="104">
        <v>133.5</v>
      </c>
      <c r="V88" s="104">
        <v>135.30000000000001</v>
      </c>
      <c r="W88" s="100">
        <v>134</v>
      </c>
      <c r="X88" s="100">
        <v>135.19999999999999</v>
      </c>
      <c r="Y88" s="100">
        <v>134.6</v>
      </c>
      <c r="Z88" s="100">
        <v>134.30000000000001</v>
      </c>
      <c r="AA88" s="100">
        <v>135.4</v>
      </c>
      <c r="AB88" s="100">
        <v>134.69999999999999</v>
      </c>
      <c r="AC88" s="100">
        <v>134.19999999999999</v>
      </c>
      <c r="AD88" s="100">
        <v>135.30000000000001</v>
      </c>
      <c r="AE88" s="100">
        <v>131.80000000000001</v>
      </c>
      <c r="AF88" s="100">
        <v>131</v>
      </c>
      <c r="AG88" s="106"/>
      <c r="AH88" s="56">
        <f t="shared" si="16"/>
        <v>135.4</v>
      </c>
      <c r="AI88" s="57">
        <f t="shared" si="17"/>
        <v>131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132.80000000000001</v>
      </c>
      <c r="C89" s="52">
        <v>132.80000000000001</v>
      </c>
      <c r="D89" s="52">
        <v>132.80000000000001</v>
      </c>
      <c r="E89" s="52">
        <v>132.80000000000001</v>
      </c>
      <c r="F89" s="52">
        <v>132.9</v>
      </c>
      <c r="G89" s="52">
        <v>131</v>
      </c>
      <c r="H89" s="52">
        <v>131</v>
      </c>
      <c r="I89" s="52">
        <v>132</v>
      </c>
      <c r="J89" s="52">
        <v>132</v>
      </c>
      <c r="K89" s="52">
        <v>130.4</v>
      </c>
      <c r="L89" s="52">
        <v>128.30000000000001</v>
      </c>
      <c r="M89" s="52">
        <v>128.30000000000001</v>
      </c>
      <c r="N89" s="52">
        <v>129.69999999999999</v>
      </c>
      <c r="O89" s="52">
        <v>129.9</v>
      </c>
      <c r="P89" s="52">
        <v>131.69999999999999</v>
      </c>
      <c r="Q89" s="52">
        <v>130.4</v>
      </c>
      <c r="R89" s="52">
        <v>131.1</v>
      </c>
      <c r="S89" s="52">
        <v>130</v>
      </c>
      <c r="T89" s="52">
        <v>130.9</v>
      </c>
      <c r="U89" s="52">
        <v>129.30000000000001</v>
      </c>
      <c r="V89" s="52">
        <v>131.1</v>
      </c>
      <c r="W89" s="100">
        <v>133.5</v>
      </c>
      <c r="X89" s="100">
        <v>132.19999999999999</v>
      </c>
      <c r="Y89" s="100">
        <v>133.1</v>
      </c>
      <c r="Z89" s="100">
        <v>131.9</v>
      </c>
      <c r="AA89" s="100">
        <v>133.69999999999999</v>
      </c>
      <c r="AB89" s="100">
        <v>133.80000000000001</v>
      </c>
      <c r="AC89" s="100">
        <v>135.1</v>
      </c>
      <c r="AD89" s="100">
        <v>136.9</v>
      </c>
      <c r="AE89" s="100">
        <v>133.4</v>
      </c>
      <c r="AF89" s="100">
        <v>132.30000000000001</v>
      </c>
      <c r="AG89" s="102"/>
      <c r="AH89" s="56">
        <f t="shared" si="16"/>
        <v>136.9</v>
      </c>
      <c r="AI89" s="57">
        <f t="shared" si="17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66.8</v>
      </c>
      <c r="C90" s="107">
        <v>66.8</v>
      </c>
      <c r="D90" s="107">
        <v>66.8</v>
      </c>
      <c r="E90" s="107">
        <v>67</v>
      </c>
      <c r="F90" s="107">
        <v>66.400000000000006</v>
      </c>
      <c r="G90" s="107">
        <v>66.5</v>
      </c>
      <c r="H90" s="107">
        <v>66.5</v>
      </c>
      <c r="I90" s="107">
        <v>65.7</v>
      </c>
      <c r="J90" s="107">
        <v>65.7</v>
      </c>
      <c r="K90" s="107">
        <v>65.2</v>
      </c>
      <c r="L90" s="107">
        <v>65.2</v>
      </c>
      <c r="M90" s="107">
        <v>65.3</v>
      </c>
      <c r="N90" s="107">
        <v>65</v>
      </c>
      <c r="O90" s="107">
        <v>65.400000000000006</v>
      </c>
      <c r="P90" s="107">
        <v>65.099999999999994</v>
      </c>
      <c r="Q90" s="107">
        <v>64.400000000000006</v>
      </c>
      <c r="R90" s="107">
        <v>65.2</v>
      </c>
      <c r="S90" s="107">
        <v>65</v>
      </c>
      <c r="T90" s="107">
        <v>65.3</v>
      </c>
      <c r="U90" s="107">
        <v>65.3</v>
      </c>
      <c r="V90" s="107">
        <v>65.599999999999994</v>
      </c>
      <c r="W90" s="107">
        <v>64.900000000000006</v>
      </c>
      <c r="X90" s="107">
        <v>65</v>
      </c>
      <c r="Y90" s="107">
        <v>65.8</v>
      </c>
      <c r="Z90" s="107">
        <v>66.7</v>
      </c>
      <c r="AA90" s="107">
        <v>66.5</v>
      </c>
      <c r="AB90" s="107">
        <v>66.7</v>
      </c>
      <c r="AC90" s="107">
        <v>66.7</v>
      </c>
      <c r="AD90" s="107">
        <v>67.3</v>
      </c>
      <c r="AE90" s="107">
        <v>67.2</v>
      </c>
      <c r="AF90" s="107">
        <v>67.400000000000006</v>
      </c>
      <c r="AG90" s="109"/>
      <c r="AH90" s="56">
        <f t="shared" si="16"/>
        <v>67.400000000000006</v>
      </c>
      <c r="AI90" s="57">
        <f t="shared" si="17"/>
        <v>64.400000000000006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128.04</v>
      </c>
      <c r="C92" s="114">
        <f t="shared" ref="C92:AF92" si="21">SUM(C15,C18,C21:C22,C41,C43:C44,C46,C48,C93:C96,C101,C107,C113,C122,C124,C136,C143,C146:C147,C154,C156,C158,C162:C164,C166:C168,C173,C179:C180,C182:C184,C192,C197)</f>
        <v>117.33999999999999</v>
      </c>
      <c r="D92" s="114">
        <f t="shared" si="21"/>
        <v>116.24</v>
      </c>
      <c r="E92" s="114">
        <f t="shared" si="21"/>
        <v>127.44000000000001</v>
      </c>
      <c r="F92" s="115">
        <f t="shared" si="21"/>
        <v>142.13999999999999</v>
      </c>
      <c r="G92" s="115">
        <f t="shared" si="21"/>
        <v>163.93999999999997</v>
      </c>
      <c r="H92" s="115">
        <f t="shared" si="21"/>
        <v>187.54</v>
      </c>
      <c r="I92" s="115">
        <f t="shared" si="21"/>
        <v>228.83999999999997</v>
      </c>
      <c r="J92" s="115">
        <f t="shared" si="21"/>
        <v>233.74</v>
      </c>
      <c r="K92" s="115">
        <f t="shared" si="21"/>
        <v>278.54000000000002</v>
      </c>
      <c r="L92" s="115">
        <f t="shared" si="21"/>
        <v>279.33999999999997</v>
      </c>
      <c r="M92" s="115">
        <f t="shared" si="21"/>
        <v>263.33999999999997</v>
      </c>
      <c r="N92" s="115">
        <f t="shared" si="21"/>
        <v>265.53999999999996</v>
      </c>
      <c r="O92" s="115">
        <f t="shared" si="21"/>
        <v>255.64</v>
      </c>
      <c r="P92" s="115">
        <f t="shared" si="21"/>
        <v>240.53999999999996</v>
      </c>
      <c r="Q92" s="115">
        <f t="shared" si="21"/>
        <v>230.53999999999996</v>
      </c>
      <c r="R92" s="115">
        <f t="shared" si="21"/>
        <v>234.53999999999996</v>
      </c>
      <c r="S92" s="115">
        <f t="shared" si="21"/>
        <v>238.03999999999996</v>
      </c>
      <c r="T92" s="115">
        <f t="shared" si="21"/>
        <v>246.83999999999995</v>
      </c>
      <c r="U92" s="115">
        <f t="shared" si="21"/>
        <v>265.53999999999996</v>
      </c>
      <c r="V92" s="115">
        <f t="shared" si="21"/>
        <v>307.44</v>
      </c>
      <c r="W92" s="115">
        <f t="shared" si="21"/>
        <v>339.64</v>
      </c>
      <c r="X92" s="115">
        <f t="shared" si="21"/>
        <v>323.44000000000005</v>
      </c>
      <c r="Y92" s="115">
        <f t="shared" si="21"/>
        <v>319.44</v>
      </c>
      <c r="Z92" s="115">
        <f t="shared" si="21"/>
        <v>297.14</v>
      </c>
      <c r="AA92" s="115">
        <f t="shared" si="21"/>
        <v>270.04000000000002</v>
      </c>
      <c r="AB92" s="115">
        <f t="shared" si="21"/>
        <v>247.43999999999994</v>
      </c>
      <c r="AC92" s="115">
        <f>SUM(AC15,AC18,AC21:AC22,AC41,AC43:AC44,AC46,AC48,AC93:AC96,AC101,AC107,AC113,AC122,AC124,AC136,AC143,AC146:AC147,AC154,AC156,AC158,AC162:AC164,AC166:AC168,AC173,AC179:AC180,AC182:AC184,AC192,AC197)</f>
        <v>221.63999999999996</v>
      </c>
      <c r="AD92" s="115">
        <f t="shared" si="21"/>
        <v>177.14</v>
      </c>
      <c r="AE92" s="115">
        <f>SUM(AE15,AE18,AE21:AE22,AE41,AE43:AE44,AE46,AE48,AE93:AE96,AE101,AE107,AE113,AE122,AE124,AE136,AE143,AE146:AE147,AE154,AE156,AE158,AE162:AE164,AE166:AE168,AE173,AE179:AE180,AE182:AE184,AE192,AE197)</f>
        <v>138.03999999999996</v>
      </c>
      <c r="AF92" s="115">
        <f t="shared" si="21"/>
        <v>130.73999999999998</v>
      </c>
      <c r="AG92" s="116"/>
      <c r="AH92" s="56">
        <f>MAX(B92:AF92)</f>
        <v>339.64</v>
      </c>
      <c r="AI92" s="57">
        <f>MIN(B92:AF92)</f>
        <v>116.24</v>
      </c>
    </row>
    <row r="93" spans="1:88" x14ac:dyDescent="0.25">
      <c r="A93" s="117" t="s">
        <v>96</v>
      </c>
      <c r="B93" s="60">
        <v>37.6</v>
      </c>
      <c r="C93" s="60">
        <v>32</v>
      </c>
      <c r="D93" s="60">
        <v>30</v>
      </c>
      <c r="E93" s="60">
        <v>26.3</v>
      </c>
      <c r="F93" s="118">
        <v>36.4</v>
      </c>
      <c r="G93" s="118">
        <v>43.4</v>
      </c>
      <c r="H93" s="118">
        <v>32.6</v>
      </c>
      <c r="I93" s="118">
        <v>41</v>
      </c>
      <c r="J93" s="118">
        <v>41</v>
      </c>
      <c r="K93" s="118">
        <v>60.4</v>
      </c>
      <c r="L93" s="54">
        <v>57.3</v>
      </c>
      <c r="M93" s="118">
        <v>54.8</v>
      </c>
      <c r="N93" s="118">
        <v>60.5</v>
      </c>
      <c r="O93" s="118">
        <v>61.7</v>
      </c>
      <c r="P93" s="118">
        <v>44.9</v>
      </c>
      <c r="Q93" s="118">
        <v>39.4</v>
      </c>
      <c r="R93" s="118">
        <v>42.7</v>
      </c>
      <c r="S93" s="118">
        <v>34.799999999999997</v>
      </c>
      <c r="T93" s="54">
        <v>56.6</v>
      </c>
      <c r="U93" s="54">
        <v>59</v>
      </c>
      <c r="V93" s="54">
        <v>59.8</v>
      </c>
      <c r="W93" s="118">
        <v>47.3</v>
      </c>
      <c r="X93" s="118">
        <v>53</v>
      </c>
      <c r="Y93" s="118">
        <v>51</v>
      </c>
      <c r="Z93" s="118">
        <v>56.8</v>
      </c>
      <c r="AA93" s="118">
        <v>52.1</v>
      </c>
      <c r="AB93" s="118">
        <v>46.3</v>
      </c>
      <c r="AC93" s="118">
        <v>42</v>
      </c>
      <c r="AD93" s="118">
        <v>30</v>
      </c>
      <c r="AE93" s="118">
        <v>17.2</v>
      </c>
      <c r="AF93" s="118">
        <v>16.399999999999999</v>
      </c>
      <c r="AG93" s="120">
        <v>75</v>
      </c>
      <c r="AH93" s="56">
        <f t="shared" ref="AH93:AH98" si="22">IF(ABS(MAX(B93:AF93))&gt;ABS(MIN(B93:AF93)),MAX(B93:AF93),MIN(B93:AF93))</f>
        <v>61.7</v>
      </c>
      <c r="AI93" s="121">
        <f t="shared" ref="AI93:AI98" si="23">INDEX($B$9:$AF$9,1,MATCH(AH93,B93:AF93,0))</f>
        <v>0.45833333333333298</v>
      </c>
    </row>
    <row r="94" spans="1:88" x14ac:dyDescent="0.25">
      <c r="A94" s="122" t="s">
        <v>97</v>
      </c>
      <c r="B94" s="62">
        <f>-30.2-36</f>
        <v>-66.2</v>
      </c>
      <c r="C94" s="62">
        <v>-67</v>
      </c>
      <c r="D94" s="62">
        <v>-68</v>
      </c>
      <c r="E94" s="62">
        <v>-70</v>
      </c>
      <c r="F94" s="62">
        <v>-68</v>
      </c>
      <c r="G94" s="62">
        <v>-67.400000000000006</v>
      </c>
      <c r="H94" s="62">
        <v>-61</v>
      </c>
      <c r="I94" s="62">
        <v>-51.8</v>
      </c>
      <c r="J94" s="62">
        <v>-51.8</v>
      </c>
      <c r="K94" s="62">
        <f>-18.8-22.7</f>
        <v>-41.5</v>
      </c>
      <c r="L94" s="62">
        <v>-32.1</v>
      </c>
      <c r="M94" s="62">
        <v>-35</v>
      </c>
      <c r="N94" s="62">
        <v>-34.5</v>
      </c>
      <c r="O94" s="62">
        <v>-38.4</v>
      </c>
      <c r="P94" s="62">
        <f>-11.7-13.7</f>
        <v>-25.4</v>
      </c>
      <c r="Q94" s="62">
        <v>-24.5</v>
      </c>
      <c r="R94" s="62">
        <v>-24</v>
      </c>
      <c r="S94" s="62">
        <v>-23.2</v>
      </c>
      <c r="T94" s="62">
        <v>-42</v>
      </c>
      <c r="U94" s="62">
        <v>-33</v>
      </c>
      <c r="V94" s="62">
        <v>-33</v>
      </c>
      <c r="W94" s="62">
        <v>-23</v>
      </c>
      <c r="X94" s="62">
        <v>-35</v>
      </c>
      <c r="Y94" s="62">
        <v>-28</v>
      </c>
      <c r="Z94" s="62">
        <v>-37</v>
      </c>
      <c r="AA94" s="62">
        <f>-15.2-18.5</f>
        <v>-33.700000000000003</v>
      </c>
      <c r="AB94" s="62">
        <f>-18.1-21.8</f>
        <v>-39.900000000000006</v>
      </c>
      <c r="AC94" s="62">
        <f>-15.7-19.7</f>
        <v>-35.4</v>
      </c>
      <c r="AD94" s="62">
        <f>-19-22.6</f>
        <v>-41.6</v>
      </c>
      <c r="AE94" s="62">
        <f>-25.2-30.4</f>
        <v>-55.599999999999994</v>
      </c>
      <c r="AF94" s="62">
        <f>-26-31</f>
        <v>-57</v>
      </c>
      <c r="AG94" s="120">
        <v>240</v>
      </c>
      <c r="AH94" s="56">
        <f t="shared" si="22"/>
        <v>-70</v>
      </c>
      <c r="AI94" s="121">
        <f t="shared" si="23"/>
        <v>0.16666666666666699</v>
      </c>
    </row>
    <row r="95" spans="1:88" x14ac:dyDescent="0.25">
      <c r="A95" s="122" t="s">
        <v>98</v>
      </c>
      <c r="B95" s="62">
        <v>-8.6999999999999993</v>
      </c>
      <c r="C95" s="62">
        <v>-8</v>
      </c>
      <c r="D95" s="62">
        <v>-8.1</v>
      </c>
      <c r="E95" s="62">
        <v>-8.1999999999999993</v>
      </c>
      <c r="F95" s="62">
        <v>-1.7</v>
      </c>
      <c r="G95" s="62">
        <v>-4.7</v>
      </c>
      <c r="H95" s="62">
        <v>3.4</v>
      </c>
      <c r="I95" s="62">
        <v>4.3</v>
      </c>
      <c r="J95" s="62">
        <v>4.3</v>
      </c>
      <c r="K95" s="62">
        <v>11.9</v>
      </c>
      <c r="L95" s="62">
        <v>12.2</v>
      </c>
      <c r="M95" s="62">
        <v>10.6</v>
      </c>
      <c r="N95" s="62">
        <v>12.2</v>
      </c>
      <c r="O95" s="62">
        <v>12.4</v>
      </c>
      <c r="P95" s="62">
        <v>15.4</v>
      </c>
      <c r="Q95" s="62">
        <v>10</v>
      </c>
      <c r="R95" s="62">
        <v>10.199999999999999</v>
      </c>
      <c r="S95" s="62">
        <v>9.6999999999999993</v>
      </c>
      <c r="T95" s="62">
        <v>5.2</v>
      </c>
      <c r="U95" s="62">
        <v>10.7</v>
      </c>
      <c r="V95" s="62">
        <v>15.2</v>
      </c>
      <c r="W95" s="62">
        <v>14.4</v>
      </c>
      <c r="X95" s="62">
        <v>12</v>
      </c>
      <c r="Y95" s="62">
        <v>11.1</v>
      </c>
      <c r="Z95" s="62">
        <v>14.5</v>
      </c>
      <c r="AA95" s="62">
        <v>16.399999999999999</v>
      </c>
      <c r="AB95" s="62">
        <v>11.7</v>
      </c>
      <c r="AC95" s="62">
        <v>8.1999999999999993</v>
      </c>
      <c r="AD95" s="62">
        <v>6.9</v>
      </c>
      <c r="AE95" s="62">
        <v>-1.4</v>
      </c>
      <c r="AF95" s="62">
        <v>-0.9</v>
      </c>
      <c r="AG95" s="120">
        <v>60</v>
      </c>
      <c r="AH95" s="56">
        <f t="shared" si="22"/>
        <v>16.399999999999999</v>
      </c>
      <c r="AI95" s="121">
        <f t="shared" si="23"/>
        <v>0.83333333333333337</v>
      </c>
    </row>
    <row r="96" spans="1:88" x14ac:dyDescent="0.25">
      <c r="A96" s="124" t="s">
        <v>99</v>
      </c>
      <c r="B96" s="65">
        <v>-5.3</v>
      </c>
      <c r="C96" s="65">
        <v>-10</v>
      </c>
      <c r="D96" s="65">
        <v>-8</v>
      </c>
      <c r="E96" s="65">
        <v>-11</v>
      </c>
      <c r="F96" s="65">
        <v>-10.3</v>
      </c>
      <c r="G96" s="65">
        <v>-7.3</v>
      </c>
      <c r="H96" s="65">
        <v>1.5</v>
      </c>
      <c r="I96" s="65">
        <v>19</v>
      </c>
      <c r="J96" s="65">
        <v>19</v>
      </c>
      <c r="K96" s="65">
        <v>26.4</v>
      </c>
      <c r="L96" s="65">
        <v>33</v>
      </c>
      <c r="M96" s="65">
        <v>24</v>
      </c>
      <c r="N96" s="65">
        <v>18.7</v>
      </c>
      <c r="O96" s="65">
        <v>14.3</v>
      </c>
      <c r="P96" s="65">
        <v>0</v>
      </c>
      <c r="Q96" s="65">
        <v>0</v>
      </c>
      <c r="R96" s="65">
        <v>0</v>
      </c>
      <c r="S96" s="65">
        <v>0</v>
      </c>
      <c r="T96" s="65">
        <v>20.399999999999999</v>
      </c>
      <c r="U96" s="65">
        <v>22.2</v>
      </c>
      <c r="V96" s="65">
        <v>36</v>
      </c>
      <c r="W96" s="65">
        <v>71.5</v>
      </c>
      <c r="X96" s="65">
        <v>64</v>
      </c>
      <c r="Y96" s="65">
        <v>55.9</v>
      </c>
      <c r="Z96" s="65">
        <v>33.200000000000003</v>
      </c>
      <c r="AA96" s="65">
        <v>25.5</v>
      </c>
      <c r="AB96" s="65">
        <v>19.600000000000001</v>
      </c>
      <c r="AC96" s="65">
        <v>17</v>
      </c>
      <c r="AD96" s="65">
        <v>0</v>
      </c>
      <c r="AE96" s="65">
        <v>0</v>
      </c>
      <c r="AF96" s="65">
        <v>0</v>
      </c>
      <c r="AG96" s="127">
        <v>120</v>
      </c>
      <c r="AH96" s="56">
        <f t="shared" si="22"/>
        <v>71.5</v>
      </c>
      <c r="AI96" s="121">
        <f t="shared" si="23"/>
        <v>0.75</v>
      </c>
    </row>
    <row r="97" spans="1:37" x14ac:dyDescent="0.25">
      <c r="A97" s="124" t="s">
        <v>100</v>
      </c>
      <c r="B97" s="65">
        <v>20.6</v>
      </c>
      <c r="C97" s="65">
        <v>21</v>
      </c>
      <c r="D97" s="65">
        <v>18</v>
      </c>
      <c r="E97" s="65">
        <v>14.8</v>
      </c>
      <c r="F97" s="65">
        <v>17.3</v>
      </c>
      <c r="G97" s="65">
        <v>18.5</v>
      </c>
      <c r="H97" s="65">
        <v>21.7</v>
      </c>
      <c r="I97" s="65">
        <v>29.8</v>
      </c>
      <c r="J97" s="65">
        <v>29.8</v>
      </c>
      <c r="K97" s="65">
        <v>26.9</v>
      </c>
      <c r="L97" s="65">
        <v>33</v>
      </c>
      <c r="M97" s="65">
        <v>26.8</v>
      </c>
      <c r="N97" s="65">
        <v>23.4</v>
      </c>
      <c r="O97" s="65">
        <v>20.100000000000001</v>
      </c>
      <c r="P97" s="65">
        <v>36.299999999999997</v>
      </c>
      <c r="Q97" s="65">
        <v>47.1</v>
      </c>
      <c r="R97" s="65">
        <v>31.4</v>
      </c>
      <c r="S97" s="65">
        <v>51.7</v>
      </c>
      <c r="T97" s="65">
        <v>25.2</v>
      </c>
      <c r="U97" s="65">
        <v>24.9</v>
      </c>
      <c r="V97" s="65">
        <v>28.1</v>
      </c>
      <c r="W97" s="65">
        <v>52.3</v>
      </c>
      <c r="X97" s="65">
        <v>48.1</v>
      </c>
      <c r="Y97" s="65">
        <v>45.9</v>
      </c>
      <c r="Z97" s="65">
        <v>26.6</v>
      </c>
      <c r="AA97" s="65">
        <v>28.6</v>
      </c>
      <c r="AB97" s="65">
        <v>24.7</v>
      </c>
      <c r="AC97" s="65">
        <v>24.6</v>
      </c>
      <c r="AD97" s="65">
        <v>14.6</v>
      </c>
      <c r="AE97" s="65">
        <v>18.899999999999999</v>
      </c>
      <c r="AF97" s="65">
        <v>18.2</v>
      </c>
      <c r="AG97" s="127"/>
      <c r="AH97" s="56">
        <f t="shared" si="22"/>
        <v>52.3</v>
      </c>
      <c r="AI97" s="121">
        <f t="shared" si="23"/>
        <v>0.75</v>
      </c>
    </row>
    <row r="98" spans="1:37" ht="15.75" thickBot="1" x14ac:dyDescent="0.3">
      <c r="A98" s="124" t="s">
        <v>101</v>
      </c>
      <c r="B98" s="65">
        <v>35.9</v>
      </c>
      <c r="C98" s="65">
        <v>34.799999999999997</v>
      </c>
      <c r="D98" s="65">
        <v>35</v>
      </c>
      <c r="E98" s="65">
        <v>34.4</v>
      </c>
      <c r="F98" s="65">
        <v>36.5</v>
      </c>
      <c r="G98" s="65">
        <v>33</v>
      </c>
      <c r="H98" s="65">
        <v>40.299999999999997</v>
      </c>
      <c r="I98" s="65">
        <v>38.299999999999997</v>
      </c>
      <c r="J98" s="65">
        <v>38.299999999999997</v>
      </c>
      <c r="K98" s="65">
        <v>28.7</v>
      </c>
      <c r="L98" s="65">
        <v>30.6</v>
      </c>
      <c r="M98" s="65">
        <v>32.1</v>
      </c>
      <c r="N98" s="65">
        <v>29.2</v>
      </c>
      <c r="O98" s="65">
        <v>28</v>
      </c>
      <c r="P98" s="65">
        <v>36</v>
      </c>
      <c r="Q98" s="65">
        <v>43.3</v>
      </c>
      <c r="R98" s="65">
        <v>45</v>
      </c>
      <c r="S98" s="65">
        <v>51.8</v>
      </c>
      <c r="T98" s="65">
        <v>31.3</v>
      </c>
      <c r="U98" s="65">
        <v>44.6</v>
      </c>
      <c r="V98" s="65">
        <v>37.200000000000003</v>
      </c>
      <c r="W98" s="65">
        <v>54.1</v>
      </c>
      <c r="X98" s="65">
        <v>45.3</v>
      </c>
      <c r="Y98" s="65">
        <v>41.5</v>
      </c>
      <c r="Z98" s="65">
        <v>36.200000000000003</v>
      </c>
      <c r="AA98" s="65">
        <v>34</v>
      </c>
      <c r="AB98" s="65">
        <v>32.6</v>
      </c>
      <c r="AC98" s="65">
        <v>32.5</v>
      </c>
      <c r="AD98" s="65">
        <v>21.4</v>
      </c>
      <c r="AE98" s="65">
        <v>34.5</v>
      </c>
      <c r="AF98" s="65">
        <v>40</v>
      </c>
      <c r="AG98" s="128"/>
      <c r="AH98" s="56">
        <f t="shared" si="22"/>
        <v>54.1</v>
      </c>
      <c r="AI98" s="121">
        <f t="shared" si="23"/>
        <v>0.75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1086.04</v>
      </c>
      <c r="C207" s="164">
        <f>INDEX(F9:M9,1,MATCH(MAX(F74:M74),F74:M74,0))</f>
        <v>0.3125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23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2078/07/23)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2078/07/23)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777.63999999999987</v>
      </c>
      <c r="U212" s="173">
        <f t="shared" si="52"/>
        <v>754.44</v>
      </c>
      <c r="V212" s="173">
        <f t="shared" si="52"/>
        <v>745.44</v>
      </c>
      <c r="W212" s="173">
        <f t="shared" si="52"/>
        <v>759.44</v>
      </c>
      <c r="X212" s="173">
        <f t="shared" si="52"/>
        <v>795.14</v>
      </c>
      <c r="Y212" s="173">
        <f t="shared" si="52"/>
        <v>853.93999999999994</v>
      </c>
      <c r="Z212" s="173">
        <f t="shared" si="52"/>
        <v>863.34</v>
      </c>
      <c r="AA212" s="173">
        <f t="shared" si="52"/>
        <v>966.83999999999992</v>
      </c>
      <c r="AB212" s="173">
        <f t="shared" si="52"/>
        <v>1017.3399999999999</v>
      </c>
      <c r="AC212" s="173">
        <f t="shared" si="52"/>
        <v>1086.04</v>
      </c>
      <c r="AD212" s="173">
        <f t="shared" si="52"/>
        <v>1083.74</v>
      </c>
      <c r="AE212" s="173">
        <f t="shared" si="52"/>
        <v>1033.04</v>
      </c>
      <c r="AF212" s="173">
        <f t="shared" si="52"/>
        <v>992.83999999999992</v>
      </c>
      <c r="AG212" s="173">
        <f t="shared" si="52"/>
        <v>1003.6399999999999</v>
      </c>
      <c r="AH212" s="173">
        <f t="shared" si="52"/>
        <v>941.74</v>
      </c>
      <c r="AI212" s="173">
        <f t="shared" si="52"/>
        <v>934.84</v>
      </c>
      <c r="AJ212" s="173">
        <f t="shared" si="52"/>
        <v>930.13999999999987</v>
      </c>
      <c r="AK212" s="173">
        <f t="shared" si="52"/>
        <v>955.43999999999994</v>
      </c>
      <c r="AL212" s="173">
        <f t="shared" si="52"/>
        <v>975.93999999999994</v>
      </c>
      <c r="AM212" s="173">
        <f t="shared" si="52"/>
        <v>1031.6399999999999</v>
      </c>
      <c r="AN212" s="173">
        <f t="shared" si="52"/>
        <v>1153.54</v>
      </c>
      <c r="AO212" s="173">
        <f t="shared" si="52"/>
        <v>1296.74</v>
      </c>
      <c r="AP212" s="173">
        <f t="shared" si="52"/>
        <v>1264.54</v>
      </c>
      <c r="AQ212" s="173">
        <f t="shared" si="52"/>
        <v>1203.6400000000001</v>
      </c>
      <c r="AR212" s="173">
        <f t="shared" si="52"/>
        <v>1132.04</v>
      </c>
      <c r="AS212" s="173">
        <f t="shared" si="52"/>
        <v>1059.1400000000001</v>
      </c>
      <c r="AT212" s="173">
        <f t="shared" si="52"/>
        <v>1024.6400000000001</v>
      </c>
      <c r="AU212" s="173">
        <f t="shared" si="52"/>
        <v>925.43999999999994</v>
      </c>
      <c r="AV212" s="173">
        <f t="shared" si="52"/>
        <v>819.04</v>
      </c>
      <c r="AW212" s="173">
        <f t="shared" si="52"/>
        <v>785.54</v>
      </c>
      <c r="AX212" s="173">
        <f t="shared" si="52"/>
        <v>765.24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216" priority="377">
      <formula>S$9&gt;=20/24</formula>
    </cfRule>
    <cfRule type="expression" dxfId="3215" priority="378">
      <formula>AND(S$9&gt;=14/24,S$9&lt;20/24)</formula>
    </cfRule>
    <cfRule type="expression" dxfId="3214" priority="379">
      <formula>AND(S$9&gt;=8/24,S$9&lt;14/24)</formula>
    </cfRule>
    <cfRule type="expression" dxfId="3213" priority="380">
      <formula>S$9&lt;8/24</formula>
    </cfRule>
  </conditionalFormatting>
  <conditionalFormatting sqref="B8:AF10 AA80:AF80 B80:Q80 B55:AF55 B81:AF81 C192:AF198 T211:AX211 O38:Q38 O39:P41 Q41 Q39:Z40 B73:AF77 B79:AF79 F56:K58 L38:N41 L57:P58 L36:Q36 P59:P66 P44:R47 Q57:R66 S57:V58 B67:AF71 T41:Z41 W84:AD90 M11:AF11 W18:AF30 AA39:AF41 L52:AF54 AD83:AF90">
    <cfRule type="expression" dxfId="3212" priority="373">
      <formula>B$9&gt;=20/24</formula>
    </cfRule>
    <cfRule type="expression" dxfId="3211" priority="374">
      <formula>AND(B$9&gt;=14/24,B$9&lt;20/24)</formula>
    </cfRule>
    <cfRule type="expression" dxfId="3210" priority="375">
      <formula>AND(B$9&gt;=8/24,B$9&lt;14/24)</formula>
    </cfRule>
    <cfRule type="expression" dxfId="3209" priority="376">
      <formula>B$9&lt;8/24</formula>
    </cfRule>
  </conditionalFormatting>
  <conditionalFormatting sqref="B190:AF190">
    <cfRule type="expression" dxfId="3208" priority="369">
      <formula>B$9&gt;=20/24</formula>
    </cfRule>
    <cfRule type="expression" dxfId="3207" priority="370">
      <formula>AND(B$9&gt;=14/24,B$9&lt;20/24)</formula>
    </cfRule>
    <cfRule type="expression" dxfId="3206" priority="371">
      <formula>AND(B$9&gt;=8/24,B$9&lt;14/24)</formula>
    </cfRule>
    <cfRule type="expression" dxfId="3205" priority="372">
      <formula>B$9&lt;8/24</formula>
    </cfRule>
  </conditionalFormatting>
  <conditionalFormatting sqref="AL4:AL6">
    <cfRule type="iconSet" priority="368">
      <iconSet iconSet="3TrafficLights2" reverse="1">
        <cfvo type="percent" val="0"/>
        <cfvo type="num" val="1"/>
        <cfvo type="num" val="1"/>
      </iconSet>
    </cfRule>
  </conditionalFormatting>
  <conditionalFormatting sqref="L56:R56">
    <cfRule type="expression" dxfId="3204" priority="364">
      <formula>L$9&gt;=20/24</formula>
    </cfRule>
    <cfRule type="expression" dxfId="3203" priority="365">
      <formula>AND(L$9&gt;=14/24,L$9&lt;20/24)</formula>
    </cfRule>
    <cfRule type="expression" dxfId="3202" priority="366">
      <formula>AND(L$9&gt;=8/24,L$9&lt;14/24)</formula>
    </cfRule>
    <cfRule type="expression" dxfId="3201" priority="367">
      <formula>L$9&lt;8/24</formula>
    </cfRule>
  </conditionalFormatting>
  <conditionalFormatting sqref="L42:Q42">
    <cfRule type="expression" dxfId="3200" priority="360">
      <formula>L$9&gt;=20/24</formula>
    </cfRule>
    <cfRule type="expression" dxfId="3199" priority="361">
      <formula>AND(L$9&gt;=14/24,L$9&lt;20/24)</formula>
    </cfRule>
    <cfRule type="expression" dxfId="3198" priority="362">
      <formula>AND(L$9&gt;=8/24,L$9&lt;14/24)</formula>
    </cfRule>
    <cfRule type="expression" dxfId="3197" priority="363">
      <formula>L$9&lt;8/24</formula>
    </cfRule>
  </conditionalFormatting>
  <conditionalFormatting sqref="R38:AF38">
    <cfRule type="expression" dxfId="3196" priority="352">
      <formula>R$9&gt;=20/24</formula>
    </cfRule>
    <cfRule type="expression" dxfId="3195" priority="353">
      <formula>AND(R$9&gt;=14/24,R$9&lt;20/24)</formula>
    </cfRule>
    <cfRule type="expression" dxfId="3194" priority="354">
      <formula>AND(R$9&gt;=8/24,R$9&lt;14/24)</formula>
    </cfRule>
    <cfRule type="expression" dxfId="3193" priority="355">
      <formula>R$9&lt;8/24</formula>
    </cfRule>
  </conditionalFormatting>
  <conditionalFormatting sqref="S56:AF56">
    <cfRule type="expression" dxfId="3192" priority="348">
      <formula>S$9&gt;=20/24</formula>
    </cfRule>
    <cfRule type="expression" dxfId="3191" priority="349">
      <formula>AND(S$9&gt;=14/24,S$9&lt;20/24)</formula>
    </cfRule>
    <cfRule type="expression" dxfId="3190" priority="350">
      <formula>AND(S$9&gt;=8/24,S$9&lt;14/24)</formula>
    </cfRule>
    <cfRule type="expression" dxfId="3189" priority="351">
      <formula>S$9&lt;8/24</formula>
    </cfRule>
  </conditionalFormatting>
  <conditionalFormatting sqref="R80:Z80">
    <cfRule type="expression" dxfId="3188" priority="344">
      <formula>R$9&gt;=20/24</formula>
    </cfRule>
    <cfRule type="expression" dxfId="3187" priority="345">
      <formula>AND(R$9&gt;=14/24,R$9&lt;20/24)</formula>
    </cfRule>
    <cfRule type="expression" dxfId="3186" priority="346">
      <formula>AND(R$9&gt;=8/24,R$9&lt;14/24)</formula>
    </cfRule>
    <cfRule type="expression" dxfId="3185" priority="347">
      <formula>R$9&lt;8/24</formula>
    </cfRule>
  </conditionalFormatting>
  <conditionalFormatting sqref="T83:AC83">
    <cfRule type="expression" dxfId="3184" priority="340">
      <formula>T$9&gt;=20/24</formula>
    </cfRule>
    <cfRule type="expression" dxfId="3183" priority="341">
      <formula>AND(T$9&gt;=14/24,T$9&lt;20/24)</formula>
    </cfRule>
    <cfRule type="expression" dxfId="3182" priority="342">
      <formula>AND(T$9&gt;=8/24,T$9&lt;14/24)</formula>
    </cfRule>
    <cfRule type="expression" dxfId="3181" priority="343">
      <formula>T$9&lt;8/24</formula>
    </cfRule>
  </conditionalFormatting>
  <conditionalFormatting sqref="P48:V48">
    <cfRule type="expression" dxfId="3180" priority="332">
      <formula>P$9&gt;=20/24</formula>
    </cfRule>
    <cfRule type="expression" dxfId="3179" priority="333">
      <formula>AND(P$9&gt;=14/24,P$9&lt;20/24)</formula>
    </cfRule>
    <cfRule type="expression" dxfId="3178" priority="334">
      <formula>AND(P$9&gt;=8/24,P$9&lt;14/24)</formula>
    </cfRule>
    <cfRule type="expression" dxfId="3177" priority="335">
      <formula>P$9&lt;8/24</formula>
    </cfRule>
  </conditionalFormatting>
  <conditionalFormatting sqref="P49:R49">
    <cfRule type="expression" dxfId="3176" priority="328">
      <formula>P$9&gt;=20/24</formula>
    </cfRule>
    <cfRule type="expression" dxfId="3175" priority="329">
      <formula>AND(P$9&gt;=14/24,P$9&lt;20/24)</formula>
    </cfRule>
    <cfRule type="expression" dxfId="3174" priority="330">
      <formula>AND(P$9&gt;=8/24,P$9&lt;14/24)</formula>
    </cfRule>
    <cfRule type="expression" dxfId="3173" priority="331">
      <formula>P$9&lt;8/24</formula>
    </cfRule>
  </conditionalFormatting>
  <conditionalFormatting sqref="P44:R47">
    <cfRule type="expression" dxfId="3172" priority="324">
      <formula>P$9&gt;=20/24</formula>
    </cfRule>
    <cfRule type="expression" dxfId="3171" priority="325">
      <formula>AND(P$9&gt;=14/24,P$9&lt;20/24)</formula>
    </cfRule>
    <cfRule type="expression" dxfId="3170" priority="326">
      <formula>AND(P$9&gt;=8/24,P$9&lt;14/24)</formula>
    </cfRule>
    <cfRule type="expression" dxfId="3169" priority="327">
      <formula>P$9&lt;8/24</formula>
    </cfRule>
  </conditionalFormatting>
  <conditionalFormatting sqref="R36:AF36">
    <cfRule type="expression" dxfId="3168" priority="320">
      <formula>R$9&gt;=20/24</formula>
    </cfRule>
    <cfRule type="expression" dxfId="3167" priority="321">
      <formula>AND(R$9&gt;=14/24,R$9&lt;20/24)</formula>
    </cfRule>
    <cfRule type="expression" dxfId="3166" priority="322">
      <formula>AND(R$9&gt;=8/24,R$9&lt;14/24)</formula>
    </cfRule>
    <cfRule type="expression" dxfId="3165" priority="323">
      <formula>R$9&lt;8/24</formula>
    </cfRule>
  </conditionalFormatting>
  <conditionalFormatting sqref="W31:AF32 W34:AF34">
    <cfRule type="expression" dxfId="3164" priority="316">
      <formula>W$9&gt;=20/24</formula>
    </cfRule>
    <cfRule type="expression" dxfId="3163" priority="317">
      <formula>AND(W$9&gt;=14/24,W$9&lt;20/24)</formula>
    </cfRule>
    <cfRule type="expression" dxfId="3162" priority="318">
      <formula>AND(W$9&gt;=8/24,W$9&lt;14/24)</formula>
    </cfRule>
    <cfRule type="expression" dxfId="3161" priority="319">
      <formula>W$9&lt;8/24</formula>
    </cfRule>
  </conditionalFormatting>
  <conditionalFormatting sqref="R41:S42 T42:AF42 S44:AF47">
    <cfRule type="expression" dxfId="3160" priority="312">
      <formula>R$9&gt;=20/24</formula>
    </cfRule>
    <cfRule type="expression" dxfId="3159" priority="313">
      <formula>AND(R$9&gt;=14/24,R$9&lt;20/24)</formula>
    </cfRule>
    <cfRule type="expression" dxfId="3158" priority="314">
      <formula>AND(R$9&gt;=8/24,R$9&lt;14/24)</formula>
    </cfRule>
    <cfRule type="expression" dxfId="3157" priority="315">
      <formula>R$9&lt;8/24</formula>
    </cfRule>
  </conditionalFormatting>
  <conditionalFormatting sqref="S48:AF48">
    <cfRule type="expression" dxfId="3156" priority="308">
      <formula>S$9&gt;=20/24</formula>
    </cfRule>
    <cfRule type="expression" dxfId="3155" priority="309">
      <formula>AND(S$9&gt;=14/24,S$9&lt;20/24)</formula>
    </cfRule>
    <cfRule type="expression" dxfId="3154" priority="310">
      <formula>AND(S$9&gt;=8/24,S$9&lt;14/24)</formula>
    </cfRule>
    <cfRule type="expression" dxfId="3153" priority="311">
      <formula>S$9&lt;8/24</formula>
    </cfRule>
  </conditionalFormatting>
  <conditionalFormatting sqref="S49:AF49">
    <cfRule type="expression" dxfId="3152" priority="304">
      <formula>S$9&gt;=20/24</formula>
    </cfRule>
    <cfRule type="expression" dxfId="3151" priority="305">
      <formula>AND(S$9&gt;=14/24,S$9&lt;20/24)</formula>
    </cfRule>
    <cfRule type="expression" dxfId="3150" priority="306">
      <formula>AND(S$9&gt;=8/24,S$9&lt;14/24)</formula>
    </cfRule>
    <cfRule type="expression" dxfId="3149" priority="307">
      <formula>S$9&lt;8/24</formula>
    </cfRule>
  </conditionalFormatting>
  <conditionalFormatting sqref="S59:AF66">
    <cfRule type="expression" dxfId="3148" priority="300">
      <formula>S$9&gt;=20/24</formula>
    </cfRule>
    <cfRule type="expression" dxfId="3147" priority="301">
      <formula>AND(S$9&gt;=14/24,S$9&lt;20/24)</formula>
    </cfRule>
    <cfRule type="expression" dxfId="3146" priority="302">
      <formula>AND(S$9&gt;=8/24,S$9&lt;14/24)</formula>
    </cfRule>
    <cfRule type="expression" dxfId="3145" priority="303">
      <formula>S$9&lt;8/24</formula>
    </cfRule>
  </conditionalFormatting>
  <conditionalFormatting sqref="T93:AF96">
    <cfRule type="expression" dxfId="3144" priority="288">
      <formula>T$9&gt;=20/24</formula>
    </cfRule>
    <cfRule type="expression" dxfId="3143" priority="289">
      <formula>AND(T$9&gt;=14/24,T$9&lt;20/24)</formula>
    </cfRule>
    <cfRule type="expression" dxfId="3142" priority="290">
      <formula>AND(T$9&gt;=8/24,T$9&lt;14/24)</formula>
    </cfRule>
    <cfRule type="expression" dxfId="3141" priority="291">
      <formula>T$9&lt;8/24</formula>
    </cfRule>
  </conditionalFormatting>
  <conditionalFormatting sqref="C50:AG50 R35 B37:AF37 L36:Z36 C38:Z41 W34:Z35 G42:Z42 C11:K11 W18:AF32 AA34:AF36 M11:AF11 P44:AF49 AA38:AF42 B51:AF55">
    <cfRule type="expression" dxfId="3140" priority="287">
      <formula>B11&gt;$AG11</formula>
    </cfRule>
  </conditionalFormatting>
  <conditionalFormatting sqref="A99:A155 A83:A96 A11:A14 A16:A32 A44:A71 A79:A81 A73:A77 A34:A42 A168:A199">
    <cfRule type="expression" dxfId="3139" priority="286">
      <formula>$AH11=0</formula>
    </cfRule>
  </conditionalFormatting>
  <conditionalFormatting sqref="T97:AF97">
    <cfRule type="expression" dxfId="3138" priority="278">
      <formula>T$9&gt;=20/24</formula>
    </cfRule>
    <cfRule type="expression" dxfId="3137" priority="279">
      <formula>AND(T$9&gt;=14/24,T$9&lt;20/24)</formula>
    </cfRule>
    <cfRule type="expression" dxfId="3136" priority="280">
      <formula>AND(T$9&gt;=8/24,T$9&lt;14/24)</formula>
    </cfRule>
    <cfRule type="expression" dxfId="3135" priority="281">
      <formula>T$9&lt;8/24</formula>
    </cfRule>
  </conditionalFormatting>
  <conditionalFormatting sqref="A97">
    <cfRule type="expression" dxfId="3134" priority="277">
      <formula>$AH97=0</formula>
    </cfRule>
  </conditionalFormatting>
  <conditionalFormatting sqref="R35 W35:AF35">
    <cfRule type="expression" dxfId="3133" priority="273">
      <formula>R$9&gt;=20/24</formula>
    </cfRule>
    <cfRule type="expression" dxfId="3132" priority="274">
      <formula>AND(R$9&gt;=14/24,R$9&lt;20/24)</formula>
    </cfRule>
    <cfRule type="expression" dxfId="3131" priority="275">
      <formula>AND(R$9&gt;=8/24,R$9&lt;14/24)</formula>
    </cfRule>
    <cfRule type="expression" dxfId="3130" priority="276">
      <formula>R$9&lt;8/24</formula>
    </cfRule>
  </conditionalFormatting>
  <conditionalFormatting sqref="R35 W35:AF35">
    <cfRule type="expression" dxfId="3129" priority="269">
      <formula>R$9&gt;=20/24</formula>
    </cfRule>
    <cfRule type="expression" dxfId="3128" priority="270">
      <formula>AND(R$9&gt;=14/24,R$9&lt;20/24)</formula>
    </cfRule>
    <cfRule type="expression" dxfId="3127" priority="271">
      <formula>AND(R$9&gt;=8/24,R$9&lt;14/24)</formula>
    </cfRule>
    <cfRule type="expression" dxfId="3126" priority="272">
      <formula>R$9&lt;8/24</formula>
    </cfRule>
  </conditionalFormatting>
  <conditionalFormatting sqref="AL32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W33:AF33">
    <cfRule type="expression" dxfId="3125" priority="244">
      <formula>W$9&gt;=20/24</formula>
    </cfRule>
    <cfRule type="expression" dxfId="3124" priority="245">
      <formula>AND(W$9&gt;=14/24,W$9&lt;20/24)</formula>
    </cfRule>
    <cfRule type="expression" dxfId="3123" priority="246">
      <formula>AND(W$9&gt;=8/24,W$9&lt;14/24)</formula>
    </cfRule>
    <cfRule type="expression" dxfId="3122" priority="247">
      <formula>W$9&lt;8/24</formula>
    </cfRule>
  </conditionalFormatting>
  <conditionalFormatting sqref="W33:AF33">
    <cfRule type="expression" dxfId="3121" priority="243">
      <formula>W33&gt;$AG33</formula>
    </cfRule>
  </conditionalFormatting>
  <conditionalFormatting sqref="A33">
    <cfRule type="expression" dxfId="3120" priority="242">
      <formula>$AH33=0</formula>
    </cfRule>
  </conditionalFormatting>
  <conditionalFormatting sqref="B82:AF82">
    <cfRule type="expression" dxfId="3119" priority="238">
      <formula>B$9&gt;=20/24</formula>
    </cfRule>
    <cfRule type="expression" dxfId="3118" priority="239">
      <formula>AND(B$9&gt;=14/24,B$9&lt;20/24)</formula>
    </cfRule>
    <cfRule type="expression" dxfId="3117" priority="240">
      <formula>AND(B$9&gt;=8/24,B$9&lt;14/24)</formula>
    </cfRule>
    <cfRule type="expression" dxfId="3116" priority="241">
      <formula>B$9&lt;8/24</formula>
    </cfRule>
  </conditionalFormatting>
  <conditionalFormatting sqref="A82">
    <cfRule type="expression" dxfId="3115" priority="237">
      <formula>$AH82=0</formula>
    </cfRule>
  </conditionalFormatting>
  <conditionalFormatting sqref="A15">
    <cfRule type="expression" dxfId="3114" priority="227">
      <formula>$AH15=0</formula>
    </cfRule>
  </conditionalFormatting>
  <conditionalFormatting sqref="A162:A167">
    <cfRule type="expression" dxfId="3113" priority="226">
      <formula>$AH162=0</formula>
    </cfRule>
  </conditionalFormatting>
  <conditionalFormatting sqref="A156:A161">
    <cfRule type="expression" dxfId="3112" priority="225">
      <formula>$AH156=0</formula>
    </cfRule>
  </conditionalFormatting>
  <conditionalFormatting sqref="P43:R43">
    <cfRule type="expression" dxfId="3111" priority="217">
      <formula>P$9&gt;=20/24</formula>
    </cfRule>
    <cfRule type="expression" dxfId="3110" priority="218">
      <formula>AND(P$9&gt;=14/24,P$9&lt;20/24)</formula>
    </cfRule>
    <cfRule type="expression" dxfId="3109" priority="219">
      <formula>AND(P$9&gt;=8/24,P$9&lt;14/24)</formula>
    </cfRule>
    <cfRule type="expression" dxfId="3108" priority="220">
      <formula>P$9&lt;8/24</formula>
    </cfRule>
  </conditionalFormatting>
  <conditionalFormatting sqref="S43:AF43">
    <cfRule type="expression" dxfId="3107" priority="213">
      <formula>S$9&gt;=20/24</formula>
    </cfRule>
    <cfRule type="expression" dxfId="3106" priority="214">
      <formula>AND(S$9&gt;=14/24,S$9&lt;20/24)</formula>
    </cfRule>
    <cfRule type="expression" dxfId="3105" priority="215">
      <formula>AND(S$9&gt;=8/24,S$9&lt;14/24)</formula>
    </cfRule>
    <cfRule type="expression" dxfId="3104" priority="216">
      <formula>S$9&lt;8/24</formula>
    </cfRule>
  </conditionalFormatting>
  <conditionalFormatting sqref="P43:AF43">
    <cfRule type="expression" dxfId="3103" priority="212">
      <formula>P43&gt;$AG43</formula>
    </cfRule>
  </conditionalFormatting>
  <conditionalFormatting sqref="A43">
    <cfRule type="expression" dxfId="3102" priority="211">
      <formula>$AH43=0</formula>
    </cfRule>
  </conditionalFormatting>
  <conditionalFormatting sqref="B78:AF78">
    <cfRule type="expression" dxfId="3101" priority="207">
      <formula>B$9&gt;=20/24</formula>
    </cfRule>
    <cfRule type="expression" dxfId="3100" priority="208">
      <formula>AND(B$9&gt;=14/24,B$9&lt;20/24)</formula>
    </cfRule>
    <cfRule type="expression" dxfId="3099" priority="209">
      <formula>AND(B$9&gt;=8/24,B$9&lt;14/24)</formula>
    </cfRule>
    <cfRule type="expression" dxfId="3098" priority="210">
      <formula>B$9&lt;8/24</formula>
    </cfRule>
  </conditionalFormatting>
  <conditionalFormatting sqref="A78">
    <cfRule type="expression" dxfId="3097" priority="206">
      <formula>$AH78=0</formula>
    </cfRule>
  </conditionalFormatting>
  <conditionalFormatting sqref="B72:AG72">
    <cfRule type="expression" dxfId="3096" priority="202">
      <formula>B$9&gt;=20/24</formula>
    </cfRule>
    <cfRule type="expression" dxfId="3095" priority="203">
      <formula>AND(B$9&gt;=14/24,B$9&lt;20/24)</formula>
    </cfRule>
    <cfRule type="expression" dxfId="3094" priority="204">
      <formula>AND(B$9&gt;=8/24,B$9&lt;14/24)</formula>
    </cfRule>
    <cfRule type="expression" dxfId="3093" priority="205">
      <formula>B$9&lt;8/24</formula>
    </cfRule>
  </conditionalFormatting>
  <conditionalFormatting sqref="A72">
    <cfRule type="expression" dxfId="3092" priority="201">
      <formula>$AH72=0</formula>
    </cfRule>
  </conditionalFormatting>
  <conditionalFormatting sqref="AL33:AL34 AL7:AL31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3091" priority="193">
      <formula>T$9&gt;=20/24</formula>
    </cfRule>
    <cfRule type="expression" dxfId="3090" priority="194">
      <formula>AND(T$9&gt;=14/24,T$9&lt;20/24)</formula>
    </cfRule>
    <cfRule type="expression" dxfId="3089" priority="195">
      <formula>AND(T$9&gt;=8/24,T$9&lt;14/24)</formula>
    </cfRule>
    <cfRule type="expression" dxfId="3088" priority="196">
      <formula>T$9&lt;8/24</formula>
    </cfRule>
  </conditionalFormatting>
  <conditionalFormatting sqref="R84:S90 B83:Q90">
    <cfRule type="expression" dxfId="3087" priority="189">
      <formula>B$9&gt;=20/24</formula>
    </cfRule>
    <cfRule type="expression" dxfId="3086" priority="190">
      <formula>AND(B$9&gt;=14/24,B$9&lt;20/24)</formula>
    </cfRule>
    <cfRule type="expression" dxfId="3085" priority="191">
      <formula>AND(B$9&gt;=8/24,B$9&lt;14/24)</formula>
    </cfRule>
    <cfRule type="expression" dxfId="3084" priority="192">
      <formula>B$9&lt;8/24</formula>
    </cfRule>
  </conditionalFormatting>
  <conditionalFormatting sqref="R83:S83">
    <cfRule type="expression" dxfId="3083" priority="185">
      <formula>R$9&gt;=20/24</formula>
    </cfRule>
    <cfRule type="expression" dxfId="3082" priority="186">
      <formula>AND(R$9&gt;=14/24,R$9&lt;20/24)</formula>
    </cfRule>
    <cfRule type="expression" dxfId="3081" priority="187">
      <formula>AND(R$9&gt;=8/24,R$9&lt;14/24)</formula>
    </cfRule>
    <cfRule type="expression" dxfId="3080" priority="188">
      <formula>R$9&lt;8/24</formula>
    </cfRule>
  </conditionalFormatting>
  <conditionalFormatting sqref="B93:E93 B94:L96">
    <cfRule type="expression" dxfId="3079" priority="181">
      <formula>B$9&gt;=20/24</formula>
    </cfRule>
    <cfRule type="expression" dxfId="3078" priority="182">
      <formula>AND(B$9&gt;=14/24,B$9&lt;20/24)</formula>
    </cfRule>
    <cfRule type="expression" dxfId="3077" priority="183">
      <formula>AND(B$9&gt;=8/24,B$9&lt;14/24)</formula>
    </cfRule>
    <cfRule type="expression" dxfId="3076" priority="184">
      <formula>B$9&lt;8/24</formula>
    </cfRule>
  </conditionalFormatting>
  <conditionalFormatting sqref="M94:Q96 N93:Q93">
    <cfRule type="expression" dxfId="3075" priority="177">
      <formula>M$9&gt;=20/24</formula>
    </cfRule>
    <cfRule type="expression" dxfId="3074" priority="178">
      <formula>AND(M$9&gt;=14/24,M$9&lt;20/24)</formula>
    </cfRule>
    <cfRule type="expression" dxfId="3073" priority="179">
      <formula>AND(M$9&gt;=8/24,M$9&lt;14/24)</formula>
    </cfRule>
    <cfRule type="expression" dxfId="3072" priority="180">
      <formula>M$9&lt;8/24</formula>
    </cfRule>
  </conditionalFormatting>
  <conditionalFormatting sqref="R93:S96">
    <cfRule type="expression" dxfId="3071" priority="173">
      <formula>R$9&gt;=20/24</formula>
    </cfRule>
    <cfRule type="expression" dxfId="3070" priority="174">
      <formula>AND(R$9&gt;=14/24,R$9&lt;20/24)</formula>
    </cfRule>
    <cfRule type="expression" dxfId="3069" priority="175">
      <formula>AND(R$9&gt;=8/24,R$9&lt;14/24)</formula>
    </cfRule>
    <cfRule type="expression" dxfId="3068" priority="176">
      <formula>R$9&lt;8/24</formula>
    </cfRule>
  </conditionalFormatting>
  <conditionalFormatting sqref="B97:L97">
    <cfRule type="expression" dxfId="3067" priority="169">
      <formula>B$9&gt;=20/24</formula>
    </cfRule>
    <cfRule type="expression" dxfId="3066" priority="170">
      <formula>AND(B$9&gt;=14/24,B$9&lt;20/24)</formula>
    </cfRule>
    <cfRule type="expression" dxfId="3065" priority="171">
      <formula>AND(B$9&gt;=8/24,B$9&lt;14/24)</formula>
    </cfRule>
    <cfRule type="expression" dxfId="3064" priority="172">
      <formula>B$9&lt;8/24</formula>
    </cfRule>
  </conditionalFormatting>
  <conditionalFormatting sqref="M97:Q97">
    <cfRule type="expression" dxfId="3063" priority="165">
      <formula>M$9&gt;=20/24</formula>
    </cfRule>
    <cfRule type="expression" dxfId="3062" priority="166">
      <formula>AND(M$9&gt;=14/24,M$9&lt;20/24)</formula>
    </cfRule>
    <cfRule type="expression" dxfId="3061" priority="167">
      <formula>AND(M$9&gt;=8/24,M$9&lt;14/24)</formula>
    </cfRule>
    <cfRule type="expression" dxfId="3060" priority="168">
      <formula>M$9&lt;8/24</formula>
    </cfRule>
  </conditionalFormatting>
  <conditionalFormatting sqref="R97:S97">
    <cfRule type="expression" dxfId="3059" priority="161">
      <formula>R$9&gt;=20/24</formula>
    </cfRule>
    <cfRule type="expression" dxfId="3058" priority="162">
      <formula>AND(R$9&gt;=14/24,R$9&lt;20/24)</formula>
    </cfRule>
    <cfRule type="expression" dxfId="3057" priority="163">
      <formula>AND(R$9&gt;=8/24,R$9&lt;14/24)</formula>
    </cfRule>
    <cfRule type="expression" dxfId="3056" priority="164">
      <formula>R$9&lt;8/24</formula>
    </cfRule>
  </conditionalFormatting>
  <conditionalFormatting sqref="L93:M93">
    <cfRule type="expression" dxfId="3055" priority="157">
      <formula>L$9&gt;=20/24</formula>
    </cfRule>
    <cfRule type="expression" dxfId="3054" priority="158">
      <formula>AND(L$9&gt;=14/24,L$9&lt;20/24)</formula>
    </cfRule>
    <cfRule type="expression" dxfId="3053" priority="159">
      <formula>AND(L$9&gt;=8/24,L$9&lt;14/24)</formula>
    </cfRule>
    <cfRule type="expression" dxfId="3052" priority="160">
      <formula>L$9&lt;8/24</formula>
    </cfRule>
  </conditionalFormatting>
  <conditionalFormatting sqref="F93:K93">
    <cfRule type="expression" dxfId="3051" priority="153">
      <formula>F$9&gt;=20/24</formula>
    </cfRule>
    <cfRule type="expression" dxfId="3050" priority="154">
      <formula>AND(F$9&gt;=14/24,F$9&lt;20/24)</formula>
    </cfRule>
    <cfRule type="expression" dxfId="3049" priority="155">
      <formula>AND(F$9&gt;=8/24,F$9&lt;14/24)</formula>
    </cfRule>
    <cfRule type="expression" dxfId="3048" priority="156">
      <formula>F$9&lt;8/24</formula>
    </cfRule>
  </conditionalFormatting>
  <conditionalFormatting sqref="T93:V93">
    <cfRule type="expression" dxfId="3047" priority="149">
      <formula>T$9&gt;=20/24</formula>
    </cfRule>
    <cfRule type="expression" dxfId="3046" priority="150">
      <formula>AND(T$9&gt;=14/24,T$9&lt;20/24)</formula>
    </cfRule>
    <cfRule type="expression" dxfId="3045" priority="151">
      <formula>AND(T$9&gt;=8/24,T$9&lt;14/24)</formula>
    </cfRule>
    <cfRule type="expression" dxfId="3044" priority="152">
      <formula>T$9&lt;8/24</formula>
    </cfRule>
  </conditionalFormatting>
  <conditionalFormatting sqref="M93:S93">
    <cfRule type="expression" dxfId="3043" priority="145">
      <formula>M$9&gt;=20/24</formula>
    </cfRule>
    <cfRule type="expression" dxfId="3042" priority="146">
      <formula>AND(M$9&gt;=14/24,M$9&lt;20/24)</formula>
    </cfRule>
    <cfRule type="expression" dxfId="3041" priority="147">
      <formula>AND(M$9&gt;=8/24,M$9&lt;14/24)</formula>
    </cfRule>
    <cfRule type="expression" dxfId="3040" priority="148">
      <formula>M$9&lt;8/24</formula>
    </cfRule>
  </conditionalFormatting>
  <conditionalFormatting sqref="T98:AF98">
    <cfRule type="expression" dxfId="3039" priority="137">
      <formula>T$9&gt;=20/24</formula>
    </cfRule>
    <cfRule type="expression" dxfId="3038" priority="138">
      <formula>AND(T$9&gt;=14/24,T$9&lt;20/24)</formula>
    </cfRule>
    <cfRule type="expression" dxfId="3037" priority="139">
      <formula>AND(T$9&gt;=8/24,T$9&lt;14/24)</formula>
    </cfRule>
    <cfRule type="expression" dxfId="3036" priority="140">
      <formula>T$9&lt;8/24</formula>
    </cfRule>
  </conditionalFormatting>
  <conditionalFormatting sqref="A98">
    <cfRule type="expression" dxfId="3035" priority="136">
      <formula>$AH98=0</formula>
    </cfRule>
  </conditionalFormatting>
  <conditionalFormatting sqref="B98:L98">
    <cfRule type="expression" dxfId="3034" priority="132">
      <formula>B$9&gt;=20/24</formula>
    </cfRule>
    <cfRule type="expression" dxfId="3033" priority="133">
      <formula>AND(B$9&gt;=14/24,B$9&lt;20/24)</formula>
    </cfRule>
    <cfRule type="expression" dxfId="3032" priority="134">
      <formula>AND(B$9&gt;=8/24,B$9&lt;14/24)</formula>
    </cfRule>
    <cfRule type="expression" dxfId="3031" priority="135">
      <formula>B$9&lt;8/24</formula>
    </cfRule>
  </conditionalFormatting>
  <conditionalFormatting sqref="M98:Q98">
    <cfRule type="expression" dxfId="3030" priority="128">
      <formula>M$9&gt;=20/24</formula>
    </cfRule>
    <cfRule type="expression" dxfId="3029" priority="129">
      <formula>AND(M$9&gt;=14/24,M$9&lt;20/24)</formula>
    </cfRule>
    <cfRule type="expression" dxfId="3028" priority="130">
      <formula>AND(M$9&gt;=8/24,M$9&lt;14/24)</formula>
    </cfRule>
    <cfRule type="expression" dxfId="3027" priority="131">
      <formula>M$9&lt;8/24</formula>
    </cfRule>
  </conditionalFormatting>
  <conditionalFormatting sqref="R98:S98">
    <cfRule type="expression" dxfId="3026" priority="124">
      <formula>R$9&gt;=20/24</formula>
    </cfRule>
    <cfRule type="expression" dxfId="3025" priority="125">
      <formula>AND(R$9&gt;=14/24,R$9&lt;20/24)</formula>
    </cfRule>
    <cfRule type="expression" dxfId="3024" priority="126">
      <formula>AND(R$9&gt;=8/24,R$9&lt;14/24)</formula>
    </cfRule>
    <cfRule type="expression" dxfId="3023" priority="127">
      <formula>R$9&lt;8/24</formula>
    </cfRule>
  </conditionalFormatting>
  <conditionalFormatting sqref="R12:S12 S13:S16 T12:AF16">
    <cfRule type="expression" dxfId="3022" priority="120">
      <formula>R$9&gt;=20/24</formula>
    </cfRule>
    <cfRule type="expression" dxfId="3021" priority="121">
      <formula>AND(R$9&gt;=14/24,R$9&lt;20/24)</formula>
    </cfRule>
    <cfRule type="expression" dxfId="3020" priority="122">
      <formula>AND(R$9&gt;=8/24,R$9&lt;14/24)</formula>
    </cfRule>
    <cfRule type="expression" dxfId="3019" priority="123">
      <formula>R$9&lt;8/24</formula>
    </cfRule>
  </conditionalFormatting>
  <conditionalFormatting sqref="W17:AF17">
    <cfRule type="expression" dxfId="3018" priority="116">
      <formula>W$9&gt;=20/24</formula>
    </cfRule>
    <cfRule type="expression" dxfId="3017" priority="117">
      <formula>AND(W$9&gt;=14/24,W$9&lt;20/24)</formula>
    </cfRule>
    <cfRule type="expression" dxfId="3016" priority="118">
      <formula>AND(W$9&gt;=8/24,W$9&lt;14/24)</formula>
    </cfRule>
    <cfRule type="expression" dxfId="3015" priority="119">
      <formula>W$9&lt;8/24</formula>
    </cfRule>
  </conditionalFormatting>
  <conditionalFormatting sqref="R12:S12 S13 T12:AF13">
    <cfRule type="expression" dxfId="3014" priority="112">
      <formula>R$9&gt;=20/24</formula>
    </cfRule>
    <cfRule type="expression" dxfId="3013" priority="113">
      <formula>AND(R$9&gt;=14/24,R$9&lt;20/24)</formula>
    </cfRule>
    <cfRule type="expression" dxfId="3012" priority="114">
      <formula>AND(R$9&gt;=8/24,R$9&lt;14/24)</formula>
    </cfRule>
    <cfRule type="expression" dxfId="3011" priority="115">
      <formula>R$9&lt;8/24</formula>
    </cfRule>
  </conditionalFormatting>
  <conditionalFormatting sqref="B11 B18:R30">
    <cfRule type="expression" dxfId="3010" priority="104">
      <formula>B$9&gt;=20/24</formula>
    </cfRule>
    <cfRule type="expression" dxfId="3009" priority="105">
      <formula>AND(B$9&gt;=14/24,B$9&lt;20/24)</formula>
    </cfRule>
    <cfRule type="expression" dxfId="3008" priority="106">
      <formula>AND(B$9&gt;=8/24,B$9&lt;14/24)</formula>
    </cfRule>
    <cfRule type="expression" dxfId="3007" priority="107">
      <formula>B$9&lt;8/24</formula>
    </cfRule>
  </conditionalFormatting>
  <conditionalFormatting sqref="B36:K36">
    <cfRule type="expression" dxfId="3006" priority="100">
      <formula>B$9&gt;=20/24</formula>
    </cfRule>
    <cfRule type="expression" dxfId="3005" priority="101">
      <formula>AND(B$9&gt;=14/24,B$9&lt;20/24)</formula>
    </cfRule>
    <cfRule type="expression" dxfId="3004" priority="102">
      <formula>AND(B$9&gt;=8/24,B$9&lt;14/24)</formula>
    </cfRule>
    <cfRule type="expression" dxfId="3003" priority="103">
      <formula>B$9&lt;8/24</formula>
    </cfRule>
  </conditionalFormatting>
  <conditionalFormatting sqref="B31:R32 B34:R34">
    <cfRule type="expression" dxfId="3002" priority="96">
      <formula>B$9&gt;=20/24</formula>
    </cfRule>
    <cfRule type="expression" dxfId="3001" priority="97">
      <formula>AND(B$9&gt;=14/24,B$9&lt;20/24)</formula>
    </cfRule>
    <cfRule type="expression" dxfId="3000" priority="98">
      <formula>AND(B$9&gt;=8/24,B$9&lt;14/24)</formula>
    </cfRule>
    <cfRule type="expression" dxfId="2999" priority="99">
      <formula>B$9&lt;8/24</formula>
    </cfRule>
  </conditionalFormatting>
  <conditionalFormatting sqref="B11 B34:K36 L34:Q35 R34 B18:R32">
    <cfRule type="expression" dxfId="2998" priority="95">
      <formula>B11&gt;$AG11</formula>
    </cfRule>
  </conditionalFormatting>
  <conditionalFormatting sqref="B35:Q35">
    <cfRule type="expression" dxfId="2997" priority="91">
      <formula>B$9&gt;=20/24</formula>
    </cfRule>
    <cfRule type="expression" dxfId="2996" priority="92">
      <formula>AND(B$9&gt;=14/24,B$9&lt;20/24)</formula>
    </cfRule>
    <cfRule type="expression" dxfId="2995" priority="93">
      <formula>AND(B$9&gt;=8/24,B$9&lt;14/24)</formula>
    </cfRule>
    <cfRule type="expression" dxfId="2994" priority="94">
      <formula>B$9&lt;8/24</formula>
    </cfRule>
  </conditionalFormatting>
  <conditionalFormatting sqref="B35:Q35">
    <cfRule type="expression" dxfId="2993" priority="87">
      <formula>B$9&gt;=20/24</formula>
    </cfRule>
    <cfRule type="expression" dxfId="2992" priority="88">
      <formula>AND(B$9&gt;=14/24,B$9&lt;20/24)</formula>
    </cfRule>
    <cfRule type="expression" dxfId="2991" priority="89">
      <formula>AND(B$9&gt;=8/24,B$9&lt;14/24)</formula>
    </cfRule>
    <cfRule type="expression" dxfId="2990" priority="90">
      <formula>B$9&lt;8/24</formula>
    </cfRule>
  </conditionalFormatting>
  <conditionalFormatting sqref="B33:R33">
    <cfRule type="expression" dxfId="2989" priority="83">
      <formula>B$9&gt;=20/24</formula>
    </cfRule>
    <cfRule type="expression" dxfId="2988" priority="84">
      <formula>AND(B$9&gt;=14/24,B$9&lt;20/24)</formula>
    </cfRule>
    <cfRule type="expression" dxfId="2987" priority="85">
      <formula>AND(B$9&gt;=8/24,B$9&lt;14/24)</formula>
    </cfRule>
    <cfRule type="expression" dxfId="2986" priority="86">
      <formula>B$9&lt;8/24</formula>
    </cfRule>
  </conditionalFormatting>
  <conditionalFormatting sqref="B33:R33">
    <cfRule type="expression" dxfId="2985" priority="82">
      <formula>B33&gt;$AG33</formula>
    </cfRule>
  </conditionalFormatting>
  <conditionalFormatting sqref="B12:Q16 R13:R16">
    <cfRule type="expression" dxfId="2984" priority="78">
      <formula>B$9&gt;=20/24</formula>
    </cfRule>
    <cfRule type="expression" dxfId="2983" priority="79">
      <formula>AND(B$9&gt;=14/24,B$9&lt;20/24)</formula>
    </cfRule>
    <cfRule type="expression" dxfId="2982" priority="80">
      <formula>AND(B$9&gt;=8/24,B$9&lt;14/24)</formula>
    </cfRule>
    <cfRule type="expression" dxfId="2981" priority="81">
      <formula>B$9&lt;8/24</formula>
    </cfRule>
  </conditionalFormatting>
  <conditionalFormatting sqref="B17:V17">
    <cfRule type="expression" dxfId="2980" priority="74">
      <formula>B$9&gt;=20/24</formula>
    </cfRule>
    <cfRule type="expression" dxfId="2979" priority="75">
      <formula>AND(B$9&gt;=14/24,B$9&lt;20/24)</formula>
    </cfRule>
    <cfRule type="expression" dxfId="2978" priority="76">
      <formula>AND(B$9&gt;=8/24,B$9&lt;14/24)</formula>
    </cfRule>
    <cfRule type="expression" dxfId="2977" priority="77">
      <formula>B$9&lt;8/24</formula>
    </cfRule>
  </conditionalFormatting>
  <conditionalFormatting sqref="B12:Q13 R13">
    <cfRule type="expression" dxfId="2976" priority="70">
      <formula>B$9&gt;=20/24</formula>
    </cfRule>
    <cfRule type="expression" dxfId="2975" priority="71">
      <formula>AND(B$9&gt;=14/24,B$9&lt;20/24)</formula>
    </cfRule>
    <cfRule type="expression" dxfId="2974" priority="72">
      <formula>AND(B$9&gt;=8/24,B$9&lt;14/24)</formula>
    </cfRule>
    <cfRule type="expression" dxfId="2973" priority="73">
      <formula>B$9&lt;8/24</formula>
    </cfRule>
  </conditionalFormatting>
  <conditionalFormatting sqref="B39:B41">
    <cfRule type="expression" dxfId="2972" priority="66">
      <formula>B$9&gt;=20/24</formula>
    </cfRule>
    <cfRule type="expression" dxfId="2971" priority="67">
      <formula>AND(B$9&gt;=14/24,B$9&lt;20/24)</formula>
    </cfRule>
    <cfRule type="expression" dxfId="2970" priority="68">
      <formula>AND(B$9&gt;=8/24,B$9&lt;14/24)</formula>
    </cfRule>
    <cfRule type="expression" dxfId="2969" priority="69">
      <formula>B$9&lt;8/24</formula>
    </cfRule>
  </conditionalFormatting>
  <conditionalFormatting sqref="B38">
    <cfRule type="expression" dxfId="2968" priority="62">
      <formula>B$9&gt;=20/24</formula>
    </cfRule>
    <cfRule type="expression" dxfId="2967" priority="63">
      <formula>AND(B$9&gt;=14/24,B$9&lt;20/24)</formula>
    </cfRule>
    <cfRule type="expression" dxfId="2966" priority="64">
      <formula>AND(B$9&gt;=8/24,B$9&lt;14/24)</formula>
    </cfRule>
    <cfRule type="expression" dxfId="2965" priority="65">
      <formula>B$9&lt;8/24</formula>
    </cfRule>
  </conditionalFormatting>
  <conditionalFormatting sqref="B42:F42 B44:O47">
    <cfRule type="expression" dxfId="2964" priority="58">
      <formula>B$9&gt;=20/24</formula>
    </cfRule>
    <cfRule type="expression" dxfId="2963" priority="59">
      <formula>AND(B$9&gt;=14/24,B$9&lt;20/24)</formula>
    </cfRule>
    <cfRule type="expression" dxfId="2962" priority="60">
      <formula>AND(B$9&gt;=8/24,B$9&lt;14/24)</formula>
    </cfRule>
    <cfRule type="expression" dxfId="2961" priority="61">
      <formula>B$9&lt;8/24</formula>
    </cfRule>
  </conditionalFormatting>
  <conditionalFormatting sqref="B48:O48">
    <cfRule type="expression" dxfId="2960" priority="54">
      <formula>B$9&gt;=20/24</formula>
    </cfRule>
    <cfRule type="expression" dxfId="2959" priority="55">
      <formula>AND(B$9&gt;=14/24,B$9&lt;20/24)</formula>
    </cfRule>
    <cfRule type="expression" dxfId="2958" priority="56">
      <formula>AND(B$9&gt;=8/24,B$9&lt;14/24)</formula>
    </cfRule>
    <cfRule type="expression" dxfId="2957" priority="57">
      <formula>B$9&lt;8/24</formula>
    </cfRule>
  </conditionalFormatting>
  <conditionalFormatting sqref="B49:O49">
    <cfRule type="expression" dxfId="2956" priority="50">
      <formula>B$9&gt;=20/24</formula>
    </cfRule>
    <cfRule type="expression" dxfId="2955" priority="51">
      <formula>AND(B$9&gt;=14/24,B$9&lt;20/24)</formula>
    </cfRule>
    <cfRule type="expression" dxfId="2954" priority="52">
      <formula>AND(B$9&gt;=8/24,B$9&lt;14/24)</formula>
    </cfRule>
    <cfRule type="expression" dxfId="2953" priority="53">
      <formula>B$9&lt;8/24</formula>
    </cfRule>
  </conditionalFormatting>
  <conditionalFormatting sqref="B38:B42 B44:B50 C42:F42 C44:O49">
    <cfRule type="expression" dxfId="2952" priority="49">
      <formula>B38&gt;$AG38</formula>
    </cfRule>
  </conditionalFormatting>
  <conditionalFormatting sqref="B43:O43">
    <cfRule type="expression" dxfId="2951" priority="45">
      <formula>B$9&gt;=20/24</formula>
    </cfRule>
    <cfRule type="expression" dxfId="2950" priority="46">
      <formula>AND(B$9&gt;=14/24,B$9&lt;20/24)</formula>
    </cfRule>
    <cfRule type="expression" dxfId="2949" priority="47">
      <formula>AND(B$9&gt;=8/24,B$9&lt;14/24)</formula>
    </cfRule>
    <cfRule type="expression" dxfId="2948" priority="48">
      <formula>B$9&lt;8/24</formula>
    </cfRule>
  </conditionalFormatting>
  <conditionalFormatting sqref="B43:O43">
    <cfRule type="expression" dxfId="2947" priority="44">
      <formula>B43&gt;$AG43</formula>
    </cfRule>
  </conditionalFormatting>
  <conditionalFormatting sqref="B57:E66 F59:O66">
    <cfRule type="expression" dxfId="2946" priority="40">
      <formula>B$9&gt;=20/24</formula>
    </cfRule>
    <cfRule type="expression" dxfId="2945" priority="41">
      <formula>AND(B$9&gt;=14/24,B$9&lt;20/24)</formula>
    </cfRule>
    <cfRule type="expression" dxfId="2944" priority="42">
      <formula>AND(B$9&gt;=8/24,B$9&lt;14/24)</formula>
    </cfRule>
    <cfRule type="expression" dxfId="2943" priority="43">
      <formula>B$9&lt;8/24</formula>
    </cfRule>
  </conditionalFormatting>
  <conditionalFormatting sqref="B56:E56">
    <cfRule type="expression" dxfId="2942" priority="36">
      <formula>B$9&gt;=20/24</formula>
    </cfRule>
    <cfRule type="expression" dxfId="2941" priority="37">
      <formula>AND(B$9&gt;=14/24,B$9&lt;20/24)</formula>
    </cfRule>
    <cfRule type="expression" dxfId="2940" priority="38">
      <formula>AND(B$9&gt;=8/24,B$9&lt;14/24)</formula>
    </cfRule>
    <cfRule type="expression" dxfId="2939" priority="39">
      <formula>B$9&lt;8/24</formula>
    </cfRule>
  </conditionalFormatting>
  <conditionalFormatting sqref="S35:V35">
    <cfRule type="expression" dxfId="2938" priority="35">
      <formula>S35&gt;$AG35</formula>
    </cfRule>
  </conditionalFormatting>
  <conditionalFormatting sqref="S35:V35">
    <cfRule type="expression" dxfId="2937" priority="31">
      <formula>S$9&gt;=20/24</formula>
    </cfRule>
    <cfRule type="expression" dxfId="2936" priority="32">
      <formula>AND(S$9&gt;=14/24,S$9&lt;20/24)</formula>
    </cfRule>
    <cfRule type="expression" dxfId="2935" priority="33">
      <formula>AND(S$9&gt;=8/24,S$9&lt;14/24)</formula>
    </cfRule>
    <cfRule type="expression" dxfId="2934" priority="34">
      <formula>S$9&lt;8/24</formula>
    </cfRule>
  </conditionalFormatting>
  <conditionalFormatting sqref="S35:V35">
    <cfRule type="expression" dxfId="2933" priority="27">
      <formula>S$9&gt;=20/24</formula>
    </cfRule>
    <cfRule type="expression" dxfId="2932" priority="28">
      <formula>AND(S$9&gt;=14/24,S$9&lt;20/24)</formula>
    </cfRule>
    <cfRule type="expression" dxfId="2931" priority="29">
      <formula>AND(S$9&gt;=8/24,S$9&lt;14/24)</formula>
    </cfRule>
    <cfRule type="expression" dxfId="2930" priority="30">
      <formula>S$9&lt;8/24</formula>
    </cfRule>
  </conditionalFormatting>
  <conditionalFormatting sqref="S18:V30">
    <cfRule type="expression" dxfId="2929" priority="23">
      <formula>S$9&gt;=20/24</formula>
    </cfRule>
    <cfRule type="expression" dxfId="2928" priority="24">
      <formula>AND(S$9&gt;=14/24,S$9&lt;20/24)</formula>
    </cfRule>
    <cfRule type="expression" dxfId="2927" priority="25">
      <formula>AND(S$9&gt;=8/24,S$9&lt;14/24)</formula>
    </cfRule>
    <cfRule type="expression" dxfId="2926" priority="26">
      <formula>S$9&lt;8/24</formula>
    </cfRule>
  </conditionalFormatting>
  <conditionalFormatting sqref="S31:V32 S34:V34">
    <cfRule type="expression" dxfId="2925" priority="19">
      <formula>S$9&gt;=20/24</formula>
    </cfRule>
    <cfRule type="expression" dxfId="2924" priority="20">
      <formula>AND(S$9&gt;=14/24,S$9&lt;20/24)</formula>
    </cfRule>
    <cfRule type="expression" dxfId="2923" priority="21">
      <formula>AND(S$9&gt;=8/24,S$9&lt;14/24)</formula>
    </cfRule>
    <cfRule type="expression" dxfId="2922" priority="22">
      <formula>S$9&lt;8/24</formula>
    </cfRule>
  </conditionalFormatting>
  <conditionalFormatting sqref="S34:V34 S18:V32">
    <cfRule type="expression" dxfId="2921" priority="18">
      <formula>S18&gt;$AG18</formula>
    </cfRule>
  </conditionalFormatting>
  <conditionalFormatting sqref="S33:V33">
    <cfRule type="expression" dxfId="2920" priority="14">
      <formula>S$9&gt;=20/24</formula>
    </cfRule>
    <cfRule type="expression" dxfId="2919" priority="15">
      <formula>AND(S$9&gt;=14/24,S$9&lt;20/24)</formula>
    </cfRule>
    <cfRule type="expression" dxfId="2918" priority="16">
      <formula>AND(S$9&gt;=8/24,S$9&lt;14/24)</formula>
    </cfRule>
    <cfRule type="expression" dxfId="2917" priority="17">
      <formula>S$9&lt;8/24</formula>
    </cfRule>
  </conditionalFormatting>
  <conditionalFormatting sqref="S33:V33">
    <cfRule type="expression" dxfId="2916" priority="13">
      <formula>S33&gt;$AG33</formula>
    </cfRule>
  </conditionalFormatting>
  <conditionalFormatting sqref="AA57:AF58">
    <cfRule type="expression" dxfId="2915" priority="9">
      <formula>AA$9&gt;=20/24</formula>
    </cfRule>
    <cfRule type="expression" dxfId="2914" priority="10">
      <formula>AND(AA$9&gt;=14/24,AA$9&lt;20/24)</formula>
    </cfRule>
    <cfRule type="expression" dxfId="2913" priority="11">
      <formula>AND(AA$9&gt;=8/24,AA$9&lt;14/24)</formula>
    </cfRule>
    <cfRule type="expression" dxfId="2912" priority="12">
      <formula>AA$9&lt;8/24</formula>
    </cfRule>
  </conditionalFormatting>
  <conditionalFormatting sqref="L11">
    <cfRule type="expression" dxfId="2911" priority="5">
      <formula>L$9&gt;=20/24</formula>
    </cfRule>
    <cfRule type="expression" dxfId="2910" priority="6">
      <formula>AND(L$9&gt;=14/24,L$9&lt;20/24)</formula>
    </cfRule>
    <cfRule type="expression" dxfId="2909" priority="7">
      <formula>AND(L$9&gt;=8/24,L$9&lt;14/24)</formula>
    </cfRule>
    <cfRule type="expression" dxfId="2908" priority="8">
      <formula>L$9&lt;8/24</formula>
    </cfRule>
  </conditionalFormatting>
  <conditionalFormatting sqref="L11">
    <cfRule type="expression" dxfId="2907" priority="1">
      <formula>L$9&gt;=20/24</formula>
    </cfRule>
    <cfRule type="expression" dxfId="2906" priority="2">
      <formula>AND(L$9&gt;=14/24,L$9&lt;20/24)</formula>
    </cfRule>
    <cfRule type="expression" dxfId="2905" priority="3">
      <formula>AND(L$9&gt;=8/24,L$9&lt;14/24)</formula>
    </cfRule>
    <cfRule type="expression" dxfId="2904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E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22" sqref="AL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2078/07/24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-69</v>
      </c>
      <c r="C5" s="32">
        <f t="shared" ref="C5:AF5" si="0">C67</f>
        <v>-60</v>
      </c>
      <c r="D5" s="32">
        <f t="shared" si="0"/>
        <v>-50</v>
      </c>
      <c r="E5" s="32">
        <f t="shared" si="0"/>
        <v>-45</v>
      </c>
      <c r="F5" s="32">
        <f t="shared" si="0"/>
        <v>-57</v>
      </c>
      <c r="G5" s="32">
        <f t="shared" si="0"/>
        <v>-40</v>
      </c>
      <c r="H5" s="32">
        <f t="shared" si="0"/>
        <v>-50</v>
      </c>
      <c r="I5" s="32">
        <f t="shared" si="0"/>
        <v>-43</v>
      </c>
      <c r="J5" s="32">
        <f t="shared" si="0"/>
        <v>-65</v>
      </c>
      <c r="K5" s="32">
        <f t="shared" si="0"/>
        <v>-54.2</v>
      </c>
      <c r="L5" s="32">
        <f t="shared" si="0"/>
        <v>-55</v>
      </c>
      <c r="M5" s="32">
        <f t="shared" si="0"/>
        <v>-58</v>
      </c>
      <c r="N5" s="32">
        <f t="shared" si="0"/>
        <v>-77</v>
      </c>
      <c r="O5" s="32">
        <f t="shared" si="0"/>
        <v>-54</v>
      </c>
      <c r="P5" s="32">
        <f t="shared" si="0"/>
        <v>-47</v>
      </c>
      <c r="Q5" s="32">
        <f t="shared" si="0"/>
        <v>-41.6</v>
      </c>
      <c r="R5" s="32">
        <f t="shared" si="0"/>
        <v>-50.2</v>
      </c>
      <c r="S5" s="32">
        <f t="shared" si="0"/>
        <v>-46.7</v>
      </c>
      <c r="T5" s="32">
        <f t="shared" si="0"/>
        <v>-43.7</v>
      </c>
      <c r="U5" s="32">
        <f t="shared" si="0"/>
        <v>-42.5</v>
      </c>
      <c r="V5" s="32">
        <f t="shared" si="0"/>
        <v>-41</v>
      </c>
      <c r="W5" s="32">
        <f t="shared" si="0"/>
        <v>-39.4</v>
      </c>
      <c r="X5" s="32">
        <f t="shared" si="0"/>
        <v>-58.1</v>
      </c>
      <c r="Y5" s="32">
        <f t="shared" si="0"/>
        <v>-72</v>
      </c>
      <c r="Z5" s="32">
        <f t="shared" si="0"/>
        <v>-53</v>
      </c>
      <c r="AA5" s="32">
        <f t="shared" si="0"/>
        <v>-68.7</v>
      </c>
      <c r="AB5" s="32">
        <f t="shared" si="0"/>
        <v>-90</v>
      </c>
      <c r="AC5" s="32">
        <f t="shared" si="0"/>
        <v>-101</v>
      </c>
      <c r="AD5" s="32">
        <f t="shared" si="0"/>
        <v>-66.8</v>
      </c>
      <c r="AE5" s="32">
        <f t="shared" si="0"/>
        <v>-73.7</v>
      </c>
      <c r="AF5" s="32">
        <f t="shared" si="0"/>
        <v>-82.3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1006MW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Load=675</v>
      </c>
      <c r="B7" s="37">
        <f t="shared" ref="B7:AF7" si="1">B74</f>
        <v>732.44</v>
      </c>
      <c r="C7" s="37">
        <f t="shared" si="1"/>
        <v>730.04</v>
      </c>
      <c r="D7" s="37">
        <f t="shared" si="1"/>
        <v>748.74</v>
      </c>
      <c r="E7" s="37">
        <f t="shared" si="1"/>
        <v>743.74</v>
      </c>
      <c r="F7" s="37">
        <f t="shared" si="1"/>
        <v>762.94</v>
      </c>
      <c r="G7" s="37">
        <f t="shared" si="1"/>
        <v>821.54</v>
      </c>
      <c r="H7" s="37">
        <f t="shared" si="1"/>
        <v>867.54</v>
      </c>
      <c r="I7" s="37">
        <f t="shared" si="1"/>
        <v>924.14</v>
      </c>
      <c r="J7" s="37">
        <f t="shared" si="1"/>
        <v>964.1400000000001</v>
      </c>
      <c r="K7" s="37">
        <f t="shared" si="1"/>
        <v>981.04</v>
      </c>
      <c r="L7" s="37">
        <f>L74</f>
        <v>1006.1400000000001</v>
      </c>
      <c r="M7" s="37">
        <f t="shared" si="1"/>
        <v>973.44</v>
      </c>
      <c r="N7" s="37">
        <f t="shared" si="1"/>
        <v>936.94</v>
      </c>
      <c r="O7" s="37">
        <f t="shared" si="1"/>
        <v>905.33999999999992</v>
      </c>
      <c r="P7" s="37">
        <f t="shared" si="1"/>
        <v>858.83999999999992</v>
      </c>
      <c r="Q7" s="37">
        <f t="shared" si="1"/>
        <v>859.13999999999987</v>
      </c>
      <c r="R7" s="37">
        <f t="shared" si="1"/>
        <v>837.7399999999999</v>
      </c>
      <c r="S7" s="37">
        <f t="shared" si="1"/>
        <v>856.63999999999987</v>
      </c>
      <c r="T7" s="37">
        <f t="shared" si="1"/>
        <v>863.93999999999983</v>
      </c>
      <c r="U7" s="37">
        <f t="shared" si="1"/>
        <v>919.2399999999999</v>
      </c>
      <c r="V7" s="37">
        <f t="shared" si="1"/>
        <v>1035.1400000000001</v>
      </c>
      <c r="W7" s="37">
        <f t="shared" si="1"/>
        <v>1196.04</v>
      </c>
      <c r="X7" s="37">
        <f t="shared" si="1"/>
        <v>1170.44</v>
      </c>
      <c r="Y7" s="37">
        <f t="shared" si="1"/>
        <v>1126.54</v>
      </c>
      <c r="Z7" s="37">
        <f t="shared" si="1"/>
        <v>1087.24</v>
      </c>
      <c r="AA7" s="37">
        <f t="shared" si="1"/>
        <v>1004.74</v>
      </c>
      <c r="AB7" s="37">
        <f t="shared" si="1"/>
        <v>937.6400000000001</v>
      </c>
      <c r="AC7" s="37">
        <f t="shared" si="1"/>
        <v>887.04</v>
      </c>
      <c r="AD7" s="37">
        <f t="shared" si="1"/>
        <v>747.7399999999999</v>
      </c>
      <c r="AE7" s="37">
        <f t="shared" si="1"/>
        <v>692.14</v>
      </c>
      <c r="AF7" s="37">
        <f t="shared" si="1"/>
        <v>675.33999999999992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70</v>
      </c>
      <c r="C11" s="54">
        <v>70</v>
      </c>
      <c r="D11" s="54">
        <v>70</v>
      </c>
      <c r="E11" s="54">
        <v>60</v>
      </c>
      <c r="F11" s="54">
        <v>60</v>
      </c>
      <c r="G11" s="49">
        <v>80</v>
      </c>
      <c r="H11" s="49">
        <v>110</v>
      </c>
      <c r="I11" s="49">
        <v>130</v>
      </c>
      <c r="J11" s="49">
        <v>160</v>
      </c>
      <c r="K11" s="49">
        <v>160</v>
      </c>
      <c r="L11" s="50">
        <v>160</v>
      </c>
      <c r="M11" s="50">
        <v>140</v>
      </c>
      <c r="N11" s="50">
        <v>100</v>
      </c>
      <c r="O11" s="50">
        <v>100</v>
      </c>
      <c r="P11" s="50">
        <v>100</v>
      </c>
      <c r="Q11" s="50">
        <v>100</v>
      </c>
      <c r="R11" s="50">
        <v>100</v>
      </c>
      <c r="S11" s="52">
        <v>100</v>
      </c>
      <c r="T11" s="52">
        <v>100</v>
      </c>
      <c r="U11" s="52">
        <v>120</v>
      </c>
      <c r="V11" s="52">
        <v>170</v>
      </c>
      <c r="W11" s="52">
        <v>240</v>
      </c>
      <c r="X11" s="52">
        <v>230</v>
      </c>
      <c r="Y11" s="53">
        <v>200</v>
      </c>
      <c r="Z11" s="54">
        <v>150</v>
      </c>
      <c r="AA11" s="54">
        <v>120</v>
      </c>
      <c r="AB11" s="54">
        <v>120</v>
      </c>
      <c r="AC11" s="54">
        <v>100</v>
      </c>
      <c r="AD11" s="54">
        <v>60</v>
      </c>
      <c r="AE11" s="49">
        <v>60</v>
      </c>
      <c r="AF11" s="49">
        <v>60</v>
      </c>
      <c r="AG11" s="55">
        <v>456</v>
      </c>
      <c r="AH11" s="56">
        <f>MAX(B11:AF11)</f>
        <v>240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40</v>
      </c>
      <c r="C12" s="60">
        <v>40</v>
      </c>
      <c r="D12" s="60">
        <v>40</v>
      </c>
      <c r="E12" s="60">
        <v>40</v>
      </c>
      <c r="F12" s="60">
        <v>40</v>
      </c>
      <c r="G12" s="49">
        <v>40</v>
      </c>
      <c r="H12" s="49">
        <v>40</v>
      </c>
      <c r="I12" s="49">
        <v>40</v>
      </c>
      <c r="J12" s="49">
        <v>50</v>
      </c>
      <c r="K12" s="49">
        <v>50</v>
      </c>
      <c r="L12" s="49">
        <v>50</v>
      </c>
      <c r="M12" s="49">
        <v>50</v>
      </c>
      <c r="N12" s="49">
        <v>50</v>
      </c>
      <c r="O12" s="49">
        <v>50</v>
      </c>
      <c r="P12" s="49">
        <v>50</v>
      </c>
      <c r="Q12" s="49">
        <v>50</v>
      </c>
      <c r="R12" s="49">
        <v>50</v>
      </c>
      <c r="S12" s="60">
        <v>50</v>
      </c>
      <c r="T12" s="60">
        <v>50</v>
      </c>
      <c r="U12" s="60">
        <v>50</v>
      </c>
      <c r="V12" s="60">
        <v>50</v>
      </c>
      <c r="W12" s="60">
        <v>60</v>
      </c>
      <c r="X12" s="60">
        <v>60</v>
      </c>
      <c r="Y12" s="60">
        <v>60</v>
      </c>
      <c r="Z12" s="60">
        <v>60</v>
      </c>
      <c r="AA12" s="50">
        <v>50</v>
      </c>
      <c r="AB12" s="50">
        <v>50</v>
      </c>
      <c r="AC12" s="50">
        <v>50</v>
      </c>
      <c r="AD12" s="50">
        <v>50</v>
      </c>
      <c r="AE12" s="49">
        <v>40</v>
      </c>
      <c r="AF12" s="49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60">
        <v>20</v>
      </c>
      <c r="C13" s="60">
        <v>20</v>
      </c>
      <c r="D13" s="60">
        <v>20</v>
      </c>
      <c r="E13" s="60">
        <v>20</v>
      </c>
      <c r="F13" s="60">
        <v>20</v>
      </c>
      <c r="G13" s="49">
        <v>30</v>
      </c>
      <c r="H13" s="49">
        <v>30</v>
      </c>
      <c r="I13" s="49">
        <v>30</v>
      </c>
      <c r="J13" s="49">
        <v>36</v>
      </c>
      <c r="K13" s="49">
        <v>36</v>
      </c>
      <c r="L13" s="49">
        <v>36</v>
      </c>
      <c r="M13" s="49">
        <v>36</v>
      </c>
      <c r="N13" s="49">
        <v>35</v>
      </c>
      <c r="O13" s="49">
        <v>35</v>
      </c>
      <c r="P13" s="49">
        <v>35</v>
      </c>
      <c r="Q13" s="49">
        <v>35</v>
      </c>
      <c r="R13" s="49">
        <v>42</v>
      </c>
      <c r="S13" s="49">
        <v>42</v>
      </c>
      <c r="T13" s="49">
        <v>42</v>
      </c>
      <c r="U13" s="49">
        <v>42</v>
      </c>
      <c r="V13" s="49">
        <v>42</v>
      </c>
      <c r="W13" s="60">
        <v>42</v>
      </c>
      <c r="X13" s="60">
        <v>42</v>
      </c>
      <c r="Y13" s="60">
        <v>42</v>
      </c>
      <c r="Z13" s="60">
        <v>42</v>
      </c>
      <c r="AA13" s="50">
        <v>42</v>
      </c>
      <c r="AB13" s="50">
        <v>42</v>
      </c>
      <c r="AC13" s="50">
        <v>42</v>
      </c>
      <c r="AD13" s="50">
        <v>42</v>
      </c>
      <c r="AE13" s="49">
        <v>20</v>
      </c>
      <c r="AF13" s="49">
        <v>20</v>
      </c>
      <c r="AG13" s="61">
        <v>52.4</v>
      </c>
      <c r="AH13" s="56">
        <f t="shared" si="2"/>
        <v>42</v>
      </c>
      <c r="AI13" s="57">
        <f t="shared" si="3"/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62">
        <v>25.3</v>
      </c>
      <c r="C14" s="62">
        <v>25.3</v>
      </c>
      <c r="D14" s="62">
        <v>25.3</v>
      </c>
      <c r="E14" s="62">
        <v>25.3</v>
      </c>
      <c r="F14" s="62">
        <v>25.3</v>
      </c>
      <c r="G14" s="62">
        <v>25.3</v>
      </c>
      <c r="H14" s="62">
        <v>25.3</v>
      </c>
      <c r="I14" s="62">
        <v>25.3</v>
      </c>
      <c r="J14" s="62">
        <v>25.3</v>
      </c>
      <c r="K14" s="62">
        <v>25.3</v>
      </c>
      <c r="L14" s="62">
        <v>25.5</v>
      </c>
      <c r="M14" s="62">
        <v>25.3</v>
      </c>
      <c r="N14" s="50">
        <v>25.1</v>
      </c>
      <c r="O14" s="50">
        <v>25.1</v>
      </c>
      <c r="P14" s="50">
        <v>25.1</v>
      </c>
      <c r="Q14" s="50">
        <v>25.5</v>
      </c>
      <c r="R14" s="50">
        <v>25.5</v>
      </c>
      <c r="S14" s="50">
        <v>25.5</v>
      </c>
      <c r="T14" s="50">
        <v>25.5</v>
      </c>
      <c r="U14" s="50">
        <v>25.5</v>
      </c>
      <c r="V14" s="50">
        <v>25.5</v>
      </c>
      <c r="W14" s="62">
        <v>25.5</v>
      </c>
      <c r="X14" s="62">
        <v>25.5</v>
      </c>
      <c r="Y14" s="62">
        <v>25.5</v>
      </c>
      <c r="Z14" s="62">
        <v>25.5</v>
      </c>
      <c r="AA14" s="50">
        <v>25.3</v>
      </c>
      <c r="AB14" s="50">
        <v>25.3</v>
      </c>
      <c r="AC14" s="50">
        <v>25.3</v>
      </c>
      <c r="AD14" s="50">
        <v>25.3</v>
      </c>
      <c r="AE14" s="49">
        <v>25.4</v>
      </c>
      <c r="AF14" s="49">
        <v>25.4</v>
      </c>
      <c r="AG14" s="61">
        <v>50</v>
      </c>
      <c r="AH14" s="56">
        <f t="shared" si="2"/>
        <v>25.5</v>
      </c>
      <c r="AI14" s="57">
        <f t="shared" si="3"/>
        <v>25.1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2">
        <v>37</v>
      </c>
      <c r="C15" s="62">
        <v>37</v>
      </c>
      <c r="D15" s="62">
        <v>37</v>
      </c>
      <c r="E15" s="62">
        <v>37</v>
      </c>
      <c r="F15" s="62">
        <v>37</v>
      </c>
      <c r="G15" s="62">
        <v>37</v>
      </c>
      <c r="H15" s="62">
        <v>37</v>
      </c>
      <c r="I15" s="62">
        <v>37</v>
      </c>
      <c r="J15" s="62">
        <v>37</v>
      </c>
      <c r="K15" s="62">
        <v>36.799999999999997</v>
      </c>
      <c r="L15" s="62">
        <v>36.799999999999997</v>
      </c>
      <c r="M15" s="62">
        <v>36.9</v>
      </c>
      <c r="N15" s="50">
        <v>36.799999999999997</v>
      </c>
      <c r="O15" s="50">
        <v>36.799999999999997</v>
      </c>
      <c r="P15" s="50">
        <v>36.799999999999997</v>
      </c>
      <c r="Q15" s="50">
        <v>36.9</v>
      </c>
      <c r="R15" s="50">
        <v>36.9</v>
      </c>
      <c r="S15" s="50">
        <v>36.9</v>
      </c>
      <c r="T15" s="50">
        <v>36.9</v>
      </c>
      <c r="U15" s="50">
        <v>36.9</v>
      </c>
      <c r="V15" s="50">
        <v>36.9</v>
      </c>
      <c r="W15" s="62">
        <v>41.8</v>
      </c>
      <c r="X15" s="62">
        <v>44.9</v>
      </c>
      <c r="Y15" s="62">
        <v>44.9</v>
      </c>
      <c r="Z15" s="62">
        <v>43.2</v>
      </c>
      <c r="AA15" s="50">
        <v>43.6</v>
      </c>
      <c r="AB15" s="50">
        <v>43.6</v>
      </c>
      <c r="AC15" s="50">
        <v>43.6</v>
      </c>
      <c r="AD15" s="50">
        <v>44.3</v>
      </c>
      <c r="AE15" s="63">
        <v>37.1</v>
      </c>
      <c r="AF15" s="63">
        <v>37.1</v>
      </c>
      <c r="AG15" s="64">
        <v>45</v>
      </c>
      <c r="AH15" s="56">
        <f t="shared" si="2"/>
        <v>44.9</v>
      </c>
      <c r="AI15" s="57">
        <f t="shared" si="3"/>
        <v>36.799999999999997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23</v>
      </c>
      <c r="C16" s="65">
        <v>23</v>
      </c>
      <c r="D16" s="65">
        <v>23</v>
      </c>
      <c r="E16" s="65">
        <v>23</v>
      </c>
      <c r="F16" s="65">
        <v>23</v>
      </c>
      <c r="G16" s="65">
        <v>23</v>
      </c>
      <c r="H16" s="65">
        <v>23</v>
      </c>
      <c r="I16" s="65">
        <v>23</v>
      </c>
      <c r="J16" s="65">
        <v>23</v>
      </c>
      <c r="K16" s="65">
        <v>23</v>
      </c>
      <c r="L16" s="65">
        <v>23</v>
      </c>
      <c r="M16" s="65">
        <v>23</v>
      </c>
      <c r="N16" s="50">
        <v>23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50">
        <v>23</v>
      </c>
      <c r="W16" s="65">
        <v>23</v>
      </c>
      <c r="X16" s="65">
        <v>23</v>
      </c>
      <c r="Y16" s="65">
        <v>23</v>
      </c>
      <c r="Z16" s="65">
        <v>23</v>
      </c>
      <c r="AA16" s="50">
        <v>23</v>
      </c>
      <c r="AB16" s="50">
        <v>23</v>
      </c>
      <c r="AC16" s="50">
        <v>23</v>
      </c>
      <c r="AD16" s="50">
        <v>23</v>
      </c>
      <c r="AE16" s="49">
        <v>23</v>
      </c>
      <c r="AF16" s="49">
        <v>23</v>
      </c>
      <c r="AG16" s="61">
        <v>45</v>
      </c>
      <c r="AH16" s="56">
        <f t="shared" si="2"/>
        <v>23</v>
      </c>
      <c r="AI16" s="57">
        <f t="shared" si="3"/>
        <v>23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62">
        <v>25</v>
      </c>
      <c r="C17" s="62">
        <v>25</v>
      </c>
      <c r="D17" s="62">
        <v>25</v>
      </c>
      <c r="E17" s="62">
        <v>25</v>
      </c>
      <c r="F17" s="62">
        <v>25</v>
      </c>
      <c r="G17" s="62">
        <v>25</v>
      </c>
      <c r="H17" s="62">
        <v>25</v>
      </c>
      <c r="I17" s="62">
        <v>25</v>
      </c>
      <c r="J17" s="62">
        <v>25</v>
      </c>
      <c r="K17" s="62">
        <v>25</v>
      </c>
      <c r="L17" s="62">
        <v>25</v>
      </c>
      <c r="M17" s="62">
        <v>25</v>
      </c>
      <c r="N17" s="50">
        <v>25</v>
      </c>
      <c r="O17" s="50">
        <v>25</v>
      </c>
      <c r="P17" s="50">
        <v>25</v>
      </c>
      <c r="Q17" s="50">
        <v>25</v>
      </c>
      <c r="R17" s="50">
        <v>25</v>
      </c>
      <c r="S17" s="50">
        <v>25</v>
      </c>
      <c r="T17" s="50">
        <v>25</v>
      </c>
      <c r="U17" s="50">
        <v>25</v>
      </c>
      <c r="V17" s="50">
        <v>25</v>
      </c>
      <c r="W17" s="62">
        <v>25</v>
      </c>
      <c r="X17" s="62">
        <v>25</v>
      </c>
      <c r="Y17" s="62">
        <v>25</v>
      </c>
      <c r="Z17" s="62">
        <v>25</v>
      </c>
      <c r="AA17" s="50">
        <v>23</v>
      </c>
      <c r="AB17" s="50">
        <v>23</v>
      </c>
      <c r="AC17" s="50">
        <v>23</v>
      </c>
      <c r="AD17" s="50">
        <v>23</v>
      </c>
      <c r="AE17" s="49">
        <v>23</v>
      </c>
      <c r="AF17" s="49">
        <v>23</v>
      </c>
      <c r="AG17" s="61">
        <v>42</v>
      </c>
      <c r="AH17" s="56">
        <f t="shared" si="2"/>
        <v>25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49">
        <v>20</v>
      </c>
      <c r="AF18" s="49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24.5</v>
      </c>
      <c r="C19" s="50">
        <v>24.5</v>
      </c>
      <c r="D19" s="50">
        <v>24.5</v>
      </c>
      <c r="E19" s="50">
        <v>24.5</v>
      </c>
      <c r="F19" s="50">
        <v>24.5</v>
      </c>
      <c r="G19" s="50">
        <v>24.5</v>
      </c>
      <c r="H19" s="50">
        <v>24.5</v>
      </c>
      <c r="I19" s="50">
        <v>24.5</v>
      </c>
      <c r="J19" s="50">
        <v>24.5</v>
      </c>
      <c r="K19" s="50">
        <v>24.5</v>
      </c>
      <c r="L19" s="50">
        <v>23</v>
      </c>
      <c r="M19" s="50">
        <v>23</v>
      </c>
      <c r="N19" s="50">
        <v>23.2</v>
      </c>
      <c r="O19" s="50">
        <v>23.2</v>
      </c>
      <c r="P19" s="50">
        <v>23</v>
      </c>
      <c r="Q19" s="50">
        <v>23</v>
      </c>
      <c r="R19" s="50">
        <v>23</v>
      </c>
      <c r="S19" s="50">
        <v>23</v>
      </c>
      <c r="T19" s="50">
        <v>23</v>
      </c>
      <c r="U19" s="50">
        <v>23</v>
      </c>
      <c r="V19" s="50">
        <v>23</v>
      </c>
      <c r="W19" s="50">
        <v>23.8</v>
      </c>
      <c r="X19" s="50">
        <v>23.8</v>
      </c>
      <c r="Y19" s="50">
        <v>23.8</v>
      </c>
      <c r="Z19" s="50">
        <v>23.8</v>
      </c>
      <c r="AA19" s="50">
        <v>22.5</v>
      </c>
      <c r="AB19" s="50">
        <v>22.5</v>
      </c>
      <c r="AC19" s="50">
        <v>22.5</v>
      </c>
      <c r="AD19" s="50">
        <v>22.5</v>
      </c>
      <c r="AE19" s="49">
        <v>22.6</v>
      </c>
      <c r="AF19" s="49">
        <v>22.4</v>
      </c>
      <c r="AG19" s="61">
        <v>30</v>
      </c>
      <c r="AH19" s="56">
        <f t="shared" si="2"/>
        <v>24.5</v>
      </c>
      <c r="AI19" s="57">
        <f t="shared" si="3"/>
        <v>22.4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49">
        <v>6.2</v>
      </c>
      <c r="AF20" s="49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49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49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16</v>
      </c>
      <c r="C23" s="50">
        <v>16</v>
      </c>
      <c r="D23" s="50">
        <v>16</v>
      </c>
      <c r="E23" s="50">
        <v>16</v>
      </c>
      <c r="F23" s="50">
        <v>16</v>
      </c>
      <c r="G23" s="50">
        <v>16</v>
      </c>
      <c r="H23" s="50">
        <v>16</v>
      </c>
      <c r="I23" s="50">
        <v>16</v>
      </c>
      <c r="J23" s="50">
        <v>16</v>
      </c>
      <c r="K23" s="50">
        <v>16</v>
      </c>
      <c r="L23" s="50">
        <v>16</v>
      </c>
      <c r="M23" s="50">
        <v>16</v>
      </c>
      <c r="N23" s="50">
        <v>16</v>
      </c>
      <c r="O23" s="50">
        <v>16</v>
      </c>
      <c r="P23" s="50">
        <v>16</v>
      </c>
      <c r="Q23" s="50">
        <v>16</v>
      </c>
      <c r="R23" s="50">
        <v>16</v>
      </c>
      <c r="S23" s="50">
        <v>16</v>
      </c>
      <c r="T23" s="50">
        <v>16</v>
      </c>
      <c r="U23" s="50">
        <v>16</v>
      </c>
      <c r="V23" s="50">
        <v>16</v>
      </c>
      <c r="W23" s="50">
        <v>16</v>
      </c>
      <c r="X23" s="50">
        <v>16</v>
      </c>
      <c r="Y23" s="50">
        <v>16</v>
      </c>
      <c r="Z23" s="50">
        <v>16</v>
      </c>
      <c r="AA23" s="50">
        <v>16</v>
      </c>
      <c r="AB23" s="50">
        <v>16</v>
      </c>
      <c r="AC23" s="50">
        <v>16</v>
      </c>
      <c r="AD23" s="50">
        <v>16</v>
      </c>
      <c r="AE23" s="50">
        <v>16</v>
      </c>
      <c r="AF23" s="49">
        <v>16</v>
      </c>
      <c r="AG23" s="61">
        <v>25</v>
      </c>
      <c r="AH23" s="56">
        <f t="shared" si="2"/>
        <v>16</v>
      </c>
      <c r="AI23" s="57">
        <f t="shared" si="3"/>
        <v>16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20</v>
      </c>
      <c r="C24" s="50">
        <v>20</v>
      </c>
      <c r="D24" s="50">
        <v>20</v>
      </c>
      <c r="E24" s="50">
        <v>20</v>
      </c>
      <c r="F24" s="50">
        <v>20</v>
      </c>
      <c r="G24" s="50">
        <v>20</v>
      </c>
      <c r="H24" s="50">
        <v>20</v>
      </c>
      <c r="I24" s="50">
        <v>20</v>
      </c>
      <c r="J24" s="50">
        <v>20</v>
      </c>
      <c r="K24" s="50">
        <v>20</v>
      </c>
      <c r="L24" s="50">
        <v>15.5</v>
      </c>
      <c r="M24" s="50">
        <v>15.5</v>
      </c>
      <c r="N24" s="50">
        <v>19.100000000000001</v>
      </c>
      <c r="O24" s="50">
        <v>19.100000000000001</v>
      </c>
      <c r="P24" s="50">
        <v>19.100000000000001</v>
      </c>
      <c r="Q24" s="50">
        <v>19.100000000000001</v>
      </c>
      <c r="R24" s="50">
        <v>19.100000000000001</v>
      </c>
      <c r="S24" s="50">
        <v>19.100000000000001</v>
      </c>
      <c r="T24" s="50">
        <v>19.100000000000001</v>
      </c>
      <c r="U24" s="50">
        <v>19.100000000000001</v>
      </c>
      <c r="V24" s="50">
        <v>19.100000000000001</v>
      </c>
      <c r="W24" s="50">
        <v>19.100000000000001</v>
      </c>
      <c r="X24" s="50">
        <v>19.100000000000001</v>
      </c>
      <c r="Y24" s="50">
        <v>19.100000000000001</v>
      </c>
      <c r="Z24" s="50">
        <v>19.100000000000001</v>
      </c>
      <c r="AA24" s="50">
        <v>19.100000000000001</v>
      </c>
      <c r="AB24" s="50">
        <v>19.100000000000001</v>
      </c>
      <c r="AC24" s="50">
        <v>19.100000000000001</v>
      </c>
      <c r="AD24" s="50">
        <v>19.100000000000001</v>
      </c>
      <c r="AE24" s="50">
        <v>19.100000000000001</v>
      </c>
      <c r="AF24" s="49">
        <v>19.399999999999999</v>
      </c>
      <c r="AG24" s="61">
        <v>25</v>
      </c>
      <c r="AH24" s="56">
        <f t="shared" si="2"/>
        <v>20</v>
      </c>
      <c r="AI24" s="57">
        <f t="shared" si="3"/>
        <v>15.5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20</v>
      </c>
      <c r="C25" s="50">
        <v>20</v>
      </c>
      <c r="D25" s="50">
        <v>20</v>
      </c>
      <c r="E25" s="50">
        <v>20</v>
      </c>
      <c r="F25" s="50">
        <v>20</v>
      </c>
      <c r="G25" s="50">
        <v>20</v>
      </c>
      <c r="H25" s="50">
        <v>20</v>
      </c>
      <c r="I25" s="50">
        <v>20</v>
      </c>
      <c r="J25" s="50">
        <v>20</v>
      </c>
      <c r="K25" s="50">
        <v>20</v>
      </c>
      <c r="L25" s="50">
        <v>20</v>
      </c>
      <c r="M25" s="50">
        <v>20</v>
      </c>
      <c r="N25" s="50">
        <v>20</v>
      </c>
      <c r="O25" s="50">
        <v>20</v>
      </c>
      <c r="P25" s="50">
        <v>20</v>
      </c>
      <c r="Q25" s="50">
        <v>20</v>
      </c>
      <c r="R25" s="50">
        <v>20</v>
      </c>
      <c r="S25" s="50">
        <v>20</v>
      </c>
      <c r="T25" s="50">
        <v>20</v>
      </c>
      <c r="U25" s="50">
        <v>20</v>
      </c>
      <c r="V25" s="50">
        <v>20</v>
      </c>
      <c r="W25" s="50">
        <v>20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49">
        <v>20</v>
      </c>
      <c r="AG25" s="61">
        <v>24.2</v>
      </c>
      <c r="AH25" s="56">
        <f t="shared" si="2"/>
        <v>20</v>
      </c>
      <c r="AI25" s="57">
        <f t="shared" si="3"/>
        <v>20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10</v>
      </c>
      <c r="C26" s="50">
        <v>10</v>
      </c>
      <c r="D26" s="50">
        <v>10</v>
      </c>
      <c r="E26" s="50">
        <v>10</v>
      </c>
      <c r="F26" s="50">
        <v>10</v>
      </c>
      <c r="G26" s="50">
        <v>10</v>
      </c>
      <c r="H26" s="50">
        <v>10</v>
      </c>
      <c r="I26" s="50">
        <v>10</v>
      </c>
      <c r="J26" s="50">
        <v>10</v>
      </c>
      <c r="K26" s="50">
        <v>10</v>
      </c>
      <c r="L26" s="50">
        <v>10</v>
      </c>
      <c r="M26" s="50">
        <v>10</v>
      </c>
      <c r="N26" s="50">
        <v>10</v>
      </c>
      <c r="O26" s="50">
        <v>10</v>
      </c>
      <c r="P26" s="50">
        <v>10</v>
      </c>
      <c r="Q26" s="50">
        <v>10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10</v>
      </c>
      <c r="X26" s="50">
        <v>10</v>
      </c>
      <c r="Y26" s="50">
        <v>10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49">
        <v>4</v>
      </c>
      <c r="AG26" s="61">
        <v>20</v>
      </c>
      <c r="AH26" s="56">
        <f>MAX(B26:AF26)</f>
        <v>10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14</v>
      </c>
      <c r="C27" s="50">
        <v>14</v>
      </c>
      <c r="D27" s="50">
        <v>14</v>
      </c>
      <c r="E27" s="50">
        <v>14</v>
      </c>
      <c r="F27" s="50">
        <v>14</v>
      </c>
      <c r="G27" s="50">
        <v>14</v>
      </c>
      <c r="H27" s="50">
        <v>14</v>
      </c>
      <c r="I27" s="50">
        <v>14</v>
      </c>
      <c r="J27" s="50">
        <v>14</v>
      </c>
      <c r="K27" s="50">
        <v>14</v>
      </c>
      <c r="L27" s="50">
        <v>14</v>
      </c>
      <c r="M27" s="50">
        <v>14</v>
      </c>
      <c r="N27" s="50">
        <v>14</v>
      </c>
      <c r="O27" s="50">
        <v>14</v>
      </c>
      <c r="P27" s="50">
        <v>14</v>
      </c>
      <c r="Q27" s="50">
        <v>14</v>
      </c>
      <c r="R27" s="50">
        <v>14</v>
      </c>
      <c r="S27" s="50">
        <v>14</v>
      </c>
      <c r="T27" s="50">
        <v>14</v>
      </c>
      <c r="U27" s="50">
        <v>14</v>
      </c>
      <c r="V27" s="50">
        <v>14</v>
      </c>
      <c r="W27" s="50">
        <v>14</v>
      </c>
      <c r="X27" s="50">
        <v>14</v>
      </c>
      <c r="Y27" s="50">
        <v>14</v>
      </c>
      <c r="Z27" s="50">
        <v>14</v>
      </c>
      <c r="AA27" s="49">
        <v>14</v>
      </c>
      <c r="AB27" s="49">
        <v>14</v>
      </c>
      <c r="AC27" s="49">
        <v>14</v>
      </c>
      <c r="AD27" s="49">
        <v>14</v>
      </c>
      <c r="AE27" s="49">
        <v>14</v>
      </c>
      <c r="AF27" s="49">
        <v>14</v>
      </c>
      <c r="AG27" s="61">
        <v>23.5</v>
      </c>
      <c r="AH27" s="56">
        <f t="shared" si="2"/>
        <v>14</v>
      </c>
      <c r="AI27" s="57">
        <f t="shared" si="3"/>
        <v>14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10</v>
      </c>
      <c r="C28" s="50">
        <v>10</v>
      </c>
      <c r="D28" s="50">
        <v>10</v>
      </c>
      <c r="E28" s="50">
        <v>10</v>
      </c>
      <c r="F28" s="50">
        <v>10</v>
      </c>
      <c r="G28" s="50">
        <v>10</v>
      </c>
      <c r="H28" s="50">
        <v>10</v>
      </c>
      <c r="I28" s="50">
        <v>10</v>
      </c>
      <c r="J28" s="50">
        <v>10</v>
      </c>
      <c r="K28" s="50">
        <v>10</v>
      </c>
      <c r="L28" s="50">
        <v>10</v>
      </c>
      <c r="M28" s="50">
        <v>10</v>
      </c>
      <c r="N28" s="50">
        <v>10</v>
      </c>
      <c r="O28" s="50">
        <v>10</v>
      </c>
      <c r="P28" s="50">
        <v>10</v>
      </c>
      <c r="Q28" s="50">
        <v>10</v>
      </c>
      <c r="R28" s="50">
        <v>10</v>
      </c>
      <c r="S28" s="50">
        <v>10</v>
      </c>
      <c r="T28" s="50">
        <v>10</v>
      </c>
      <c r="U28" s="50">
        <v>10</v>
      </c>
      <c r="V28" s="50">
        <v>10</v>
      </c>
      <c r="W28" s="50">
        <v>10</v>
      </c>
      <c r="X28" s="50">
        <v>10</v>
      </c>
      <c r="Y28" s="50">
        <v>10</v>
      </c>
      <c r="Z28" s="50">
        <v>10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49">
        <v>5</v>
      </c>
      <c r="AG28" s="61">
        <v>22.2</v>
      </c>
      <c r="AH28" s="56">
        <f t="shared" si="2"/>
        <v>10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49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49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63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63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9.1999999999999993</v>
      </c>
      <c r="C33" s="50">
        <v>9.1999999999999993</v>
      </c>
      <c r="D33" s="50">
        <v>9.1999999999999993</v>
      </c>
      <c r="E33" s="50">
        <v>9.1999999999999993</v>
      </c>
      <c r="F33" s="50">
        <v>9.1999999999999993</v>
      </c>
      <c r="G33" s="50">
        <v>9.1999999999999993</v>
      </c>
      <c r="H33" s="50">
        <v>9.1999999999999993</v>
      </c>
      <c r="I33" s="50">
        <v>9.1999999999999993</v>
      </c>
      <c r="J33" s="50">
        <v>9.1999999999999993</v>
      </c>
      <c r="K33" s="50">
        <v>9.1999999999999993</v>
      </c>
      <c r="L33" s="50">
        <v>9</v>
      </c>
      <c r="M33" s="50">
        <v>9</v>
      </c>
      <c r="N33" s="50">
        <v>9.9</v>
      </c>
      <c r="O33" s="50">
        <v>9.9</v>
      </c>
      <c r="P33" s="50">
        <v>9.9</v>
      </c>
      <c r="Q33" s="50">
        <v>9.9</v>
      </c>
      <c r="R33" s="50">
        <v>9.9</v>
      </c>
      <c r="S33" s="50">
        <v>9.9</v>
      </c>
      <c r="T33" s="50">
        <v>9.9</v>
      </c>
      <c r="U33" s="50">
        <v>9.9</v>
      </c>
      <c r="V33" s="50">
        <v>9.9</v>
      </c>
      <c r="W33" s="50">
        <v>9.9</v>
      </c>
      <c r="X33" s="50">
        <v>9.9</v>
      </c>
      <c r="Y33" s="50">
        <v>9.9</v>
      </c>
      <c r="Z33" s="50">
        <v>9.9</v>
      </c>
      <c r="AA33" s="50">
        <v>9.9</v>
      </c>
      <c r="AB33" s="50">
        <v>9.9</v>
      </c>
      <c r="AC33" s="50">
        <v>9.9</v>
      </c>
      <c r="AD33" s="50">
        <v>9.9</v>
      </c>
      <c r="AE33" s="50">
        <v>9.9</v>
      </c>
      <c r="AF33" s="63">
        <v>9.9</v>
      </c>
      <c r="AG33" s="69">
        <v>20</v>
      </c>
      <c r="AH33" s="56">
        <f t="shared" si="2"/>
        <v>9.9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63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72">
        <f t="shared" ref="B36:H36" si="4">59.6+65.2</f>
        <v>124.80000000000001</v>
      </c>
      <c r="C36" s="72">
        <f t="shared" si="4"/>
        <v>124.80000000000001</v>
      </c>
      <c r="D36" s="72">
        <f t="shared" si="4"/>
        <v>124.80000000000001</v>
      </c>
      <c r="E36" s="72">
        <f t="shared" si="4"/>
        <v>124.80000000000001</v>
      </c>
      <c r="F36" s="72">
        <f t="shared" si="4"/>
        <v>124.80000000000001</v>
      </c>
      <c r="G36" s="72">
        <f t="shared" si="4"/>
        <v>124.80000000000001</v>
      </c>
      <c r="H36" s="72">
        <f t="shared" si="4"/>
        <v>124.80000000000001</v>
      </c>
      <c r="I36" s="72">
        <f>52.2+64</f>
        <v>116.2</v>
      </c>
      <c r="J36" s="72">
        <f>56+64</f>
        <v>120</v>
      </c>
      <c r="K36" s="72">
        <f>59+64.1</f>
        <v>123.1</v>
      </c>
      <c r="L36" s="72">
        <f>57.9+58.2</f>
        <v>116.1</v>
      </c>
      <c r="M36" s="72">
        <f>58.1+64</f>
        <v>122.1</v>
      </c>
      <c r="N36" s="72">
        <v>122</v>
      </c>
      <c r="O36" s="72">
        <f>58.1+65</f>
        <v>123.1</v>
      </c>
      <c r="P36" s="72">
        <f>57.5+65.1</f>
        <v>122.6</v>
      </c>
      <c r="Q36" s="72">
        <f>52.8+65.1</f>
        <v>117.89999999999999</v>
      </c>
      <c r="R36" s="72">
        <v>122.3</v>
      </c>
      <c r="S36" s="72">
        <f>56.9+59.8</f>
        <v>116.69999999999999</v>
      </c>
      <c r="T36" s="72">
        <f>57.1+65.2</f>
        <v>122.30000000000001</v>
      </c>
      <c r="U36" s="72">
        <v>120.8</v>
      </c>
      <c r="V36" s="72">
        <v>118.3</v>
      </c>
      <c r="W36" s="72">
        <v>118.3</v>
      </c>
      <c r="X36" s="72">
        <v>118.3</v>
      </c>
      <c r="Y36" s="72">
        <v>116.6</v>
      </c>
      <c r="Z36" s="72">
        <v>117.4</v>
      </c>
      <c r="AA36" s="72">
        <v>119</v>
      </c>
      <c r="AB36" s="72">
        <v>119</v>
      </c>
      <c r="AC36" s="72">
        <f>63.4+56.4</f>
        <v>119.8</v>
      </c>
      <c r="AD36" s="72">
        <v>122</v>
      </c>
      <c r="AE36" s="63">
        <v>122</v>
      </c>
      <c r="AF36" s="63">
        <v>122</v>
      </c>
      <c r="AG36" s="69">
        <v>240</v>
      </c>
      <c r="AH36" s="56">
        <f t="shared" si="2"/>
        <v>124.80000000000001</v>
      </c>
      <c r="AI36" s="57">
        <f t="shared" si="3"/>
        <v>116.1</v>
      </c>
      <c r="AK36" s="58"/>
    </row>
    <row r="37" spans="1:88" ht="15.75" thickBot="1" x14ac:dyDescent="0.3">
      <c r="A37" s="73" t="s">
        <v>44</v>
      </c>
      <c r="B37" s="74">
        <f t="shared" ref="B37:AF37" si="5">SUM(B11:B35)</f>
        <v>655.20000000000005</v>
      </c>
      <c r="C37" s="74">
        <f t="shared" si="5"/>
        <v>655.20000000000005</v>
      </c>
      <c r="D37" s="74">
        <f t="shared" si="5"/>
        <v>655.20000000000005</v>
      </c>
      <c r="E37" s="74">
        <f t="shared" si="5"/>
        <v>645.20000000000005</v>
      </c>
      <c r="F37" s="74">
        <f t="shared" si="5"/>
        <v>645.20000000000005</v>
      </c>
      <c r="G37" s="74">
        <f t="shared" si="5"/>
        <v>675.2</v>
      </c>
      <c r="H37" s="74">
        <f t="shared" si="5"/>
        <v>705.2</v>
      </c>
      <c r="I37" s="74">
        <f t="shared" si="5"/>
        <v>725.2</v>
      </c>
      <c r="J37" s="74">
        <f t="shared" si="5"/>
        <v>771.2</v>
      </c>
      <c r="K37" s="74">
        <f t="shared" si="5"/>
        <v>771</v>
      </c>
      <c r="L37" s="74">
        <f t="shared" si="5"/>
        <v>765</v>
      </c>
      <c r="M37" s="74">
        <f t="shared" si="5"/>
        <v>744.9</v>
      </c>
      <c r="N37" s="74">
        <f t="shared" si="5"/>
        <v>708.3</v>
      </c>
      <c r="O37" s="74">
        <f t="shared" si="5"/>
        <v>708.3</v>
      </c>
      <c r="P37" s="74">
        <f t="shared" si="5"/>
        <v>708.09999999999991</v>
      </c>
      <c r="Q37" s="74">
        <f t="shared" si="5"/>
        <v>708.59999999999991</v>
      </c>
      <c r="R37" s="74">
        <f t="shared" si="5"/>
        <v>709.59999999999991</v>
      </c>
      <c r="S37" s="74">
        <f t="shared" si="5"/>
        <v>709.59999999999991</v>
      </c>
      <c r="T37" s="74">
        <f t="shared" si="5"/>
        <v>709.59999999999991</v>
      </c>
      <c r="U37" s="74">
        <f t="shared" si="5"/>
        <v>729.59999999999991</v>
      </c>
      <c r="V37" s="74">
        <f t="shared" si="5"/>
        <v>779.6</v>
      </c>
      <c r="W37" s="74">
        <f t="shared" si="5"/>
        <v>871.3</v>
      </c>
      <c r="X37" s="74">
        <f t="shared" si="5"/>
        <v>864.4</v>
      </c>
      <c r="Y37" s="74">
        <f t="shared" si="5"/>
        <v>834.4</v>
      </c>
      <c r="Z37" s="74">
        <f t="shared" si="5"/>
        <v>776.69999999999993</v>
      </c>
      <c r="AA37" s="74">
        <f t="shared" si="5"/>
        <v>728.6</v>
      </c>
      <c r="AB37" s="74">
        <f t="shared" si="5"/>
        <v>728.6</v>
      </c>
      <c r="AC37" s="74">
        <f t="shared" si="5"/>
        <v>708.6</v>
      </c>
      <c r="AD37" s="74">
        <f t="shared" si="5"/>
        <v>669.3</v>
      </c>
      <c r="AE37" s="74">
        <f t="shared" si="5"/>
        <v>630.29999999999995</v>
      </c>
      <c r="AF37" s="74">
        <f t="shared" si="5"/>
        <v>630.39999999999986</v>
      </c>
      <c r="AG37" s="69">
        <f>SUM(AG11:AG36)</f>
        <v>1481.8299999999997</v>
      </c>
      <c r="AH37" s="56">
        <f t="shared" si="2"/>
        <v>871.3</v>
      </c>
      <c r="AI37" s="57">
        <f t="shared" si="3"/>
        <v>630.29999999999995</v>
      </c>
      <c r="AK37" s="58"/>
    </row>
    <row r="38" spans="1:88" x14ac:dyDescent="0.25">
      <c r="A38" s="59" t="s">
        <v>45</v>
      </c>
      <c r="B38" s="50">
        <v>30.8</v>
      </c>
      <c r="C38" s="50">
        <v>30.8</v>
      </c>
      <c r="D38" s="50">
        <v>30.8</v>
      </c>
      <c r="E38" s="50">
        <v>30.8</v>
      </c>
      <c r="F38" s="63">
        <v>63</v>
      </c>
      <c r="G38" s="63">
        <v>62</v>
      </c>
      <c r="H38" s="63">
        <v>77</v>
      </c>
      <c r="I38" s="63">
        <v>77</v>
      </c>
      <c r="J38" s="63">
        <v>91</v>
      </c>
      <c r="K38" s="63">
        <v>97.2</v>
      </c>
      <c r="L38" s="50">
        <v>101.4</v>
      </c>
      <c r="M38" s="50">
        <v>111.5</v>
      </c>
      <c r="N38" s="50">
        <v>121.7</v>
      </c>
      <c r="O38" s="50">
        <v>101.8</v>
      </c>
      <c r="P38" s="50">
        <v>71.2</v>
      </c>
      <c r="Q38" s="50">
        <v>71</v>
      </c>
      <c r="R38" s="50">
        <v>70.7</v>
      </c>
      <c r="S38" s="50">
        <v>77.5</v>
      </c>
      <c r="T38" s="50">
        <v>81.099999999999994</v>
      </c>
      <c r="U38" s="50">
        <v>91.7</v>
      </c>
      <c r="V38" s="50">
        <v>102.6</v>
      </c>
      <c r="W38" s="50">
        <v>146.19999999999999</v>
      </c>
      <c r="X38" s="50">
        <v>146.19999999999999</v>
      </c>
      <c r="Y38" s="50">
        <v>146.19999999999999</v>
      </c>
      <c r="Z38" s="50">
        <v>145.6</v>
      </c>
      <c r="AA38" s="50">
        <v>131.6</v>
      </c>
      <c r="AB38" s="50">
        <v>111</v>
      </c>
      <c r="AC38" s="50">
        <v>96</v>
      </c>
      <c r="AD38" s="50">
        <v>44.1</v>
      </c>
      <c r="AE38" s="49">
        <v>35.700000000000003</v>
      </c>
      <c r="AF38" s="49">
        <v>35.6</v>
      </c>
      <c r="AG38" s="64">
        <v>144</v>
      </c>
      <c r="AH38" s="56">
        <f t="shared" si="2"/>
        <v>146.19999999999999</v>
      </c>
      <c r="AI38" s="57">
        <f t="shared" si="3"/>
        <v>30.8</v>
      </c>
      <c r="AK38" s="58"/>
    </row>
    <row r="39" spans="1:88" x14ac:dyDescent="0.25">
      <c r="A39" s="68" t="s">
        <v>46</v>
      </c>
      <c r="B39" s="52">
        <v>26.3</v>
      </c>
      <c r="C39" s="52">
        <v>26.3</v>
      </c>
      <c r="D39" s="52">
        <v>35</v>
      </c>
      <c r="E39" s="52">
        <v>35</v>
      </c>
      <c r="F39" s="63">
        <v>34</v>
      </c>
      <c r="G39" s="63">
        <v>35</v>
      </c>
      <c r="H39" s="63">
        <v>35</v>
      </c>
      <c r="I39" s="63">
        <v>44</v>
      </c>
      <c r="J39" s="63">
        <v>46</v>
      </c>
      <c r="K39" s="63">
        <v>45.3</v>
      </c>
      <c r="L39" s="52">
        <v>60</v>
      </c>
      <c r="M39" s="52">
        <v>51.1</v>
      </c>
      <c r="N39" s="52">
        <v>50.2</v>
      </c>
      <c r="O39" s="52">
        <v>46</v>
      </c>
      <c r="P39" s="52">
        <v>43.5</v>
      </c>
      <c r="Q39" s="52">
        <v>37.1</v>
      </c>
      <c r="R39" s="52">
        <v>24.3</v>
      </c>
      <c r="S39" s="52">
        <v>21.9</v>
      </c>
      <c r="T39" s="52">
        <v>22.6</v>
      </c>
      <c r="U39" s="52">
        <v>36.200000000000003</v>
      </c>
      <c r="V39" s="52">
        <v>45.7</v>
      </c>
      <c r="W39" s="52">
        <v>69.7</v>
      </c>
      <c r="X39" s="52">
        <v>69.7</v>
      </c>
      <c r="Y39" s="52">
        <v>69.7</v>
      </c>
      <c r="Z39" s="52">
        <v>69.7</v>
      </c>
      <c r="AA39" s="52">
        <v>71</v>
      </c>
      <c r="AB39" s="52">
        <v>50</v>
      </c>
      <c r="AC39" s="52">
        <v>50</v>
      </c>
      <c r="AD39" s="52">
        <v>24.2</v>
      </c>
      <c r="AE39" s="63">
        <v>25.7</v>
      </c>
      <c r="AF39" s="63">
        <v>26.5</v>
      </c>
      <c r="AG39" s="69">
        <v>70</v>
      </c>
      <c r="AH39" s="56">
        <f t="shared" si="2"/>
        <v>71</v>
      </c>
      <c r="AI39" s="57">
        <f t="shared" si="3"/>
        <v>21.9</v>
      </c>
      <c r="AK39" s="58"/>
    </row>
    <row r="40" spans="1:88" x14ac:dyDescent="0.25">
      <c r="A40" s="68" t="s">
        <v>47</v>
      </c>
      <c r="B40" s="52">
        <v>0</v>
      </c>
      <c r="C40" s="52">
        <v>0</v>
      </c>
      <c r="D40" s="52">
        <v>0</v>
      </c>
      <c r="E40" s="52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63">
        <v>0</v>
      </c>
      <c r="AF40" s="63">
        <v>0</v>
      </c>
      <c r="AG40" s="69">
        <v>69</v>
      </c>
      <c r="AH40" s="56">
        <f t="shared" si="2"/>
        <v>0</v>
      </c>
      <c r="AI40" s="57">
        <f t="shared" si="3"/>
        <v>0</v>
      </c>
      <c r="AK40" s="58"/>
    </row>
    <row r="41" spans="1:88" x14ac:dyDescent="0.25">
      <c r="A41" s="68" t="s">
        <v>48</v>
      </c>
      <c r="B41" s="52">
        <v>12.4</v>
      </c>
      <c r="C41" s="52">
        <v>12.4</v>
      </c>
      <c r="D41" s="52">
        <v>12.4</v>
      </c>
      <c r="E41" s="52">
        <v>12.4</v>
      </c>
      <c r="F41" s="63">
        <v>12.4</v>
      </c>
      <c r="G41" s="63">
        <v>24</v>
      </c>
      <c r="H41" s="63">
        <v>30</v>
      </c>
      <c r="I41" s="63">
        <v>50</v>
      </c>
      <c r="J41" s="63">
        <v>50</v>
      </c>
      <c r="K41" s="63">
        <v>40.299999999999997</v>
      </c>
      <c r="L41" s="52">
        <v>51.4</v>
      </c>
      <c r="M41" s="52">
        <v>40.299999999999997</v>
      </c>
      <c r="N41" s="52">
        <v>50.6</v>
      </c>
      <c r="O41" s="52">
        <v>29.7</v>
      </c>
      <c r="P41" s="52">
        <v>9.6</v>
      </c>
      <c r="Q41" s="52">
        <v>10.6</v>
      </c>
      <c r="R41" s="52">
        <v>9.8000000000000007</v>
      </c>
      <c r="S41" s="52">
        <v>20.9</v>
      </c>
      <c r="T41" s="52">
        <v>20.9</v>
      </c>
      <c r="U41" s="52">
        <v>30.7</v>
      </c>
      <c r="V41" s="52">
        <v>60.4</v>
      </c>
      <c r="W41" s="52">
        <v>60.4</v>
      </c>
      <c r="X41" s="52">
        <v>60.4</v>
      </c>
      <c r="Y41" s="52">
        <v>60.4</v>
      </c>
      <c r="Z41" s="52">
        <v>60.4</v>
      </c>
      <c r="AA41" s="52">
        <v>60.2</v>
      </c>
      <c r="AB41" s="52">
        <v>51</v>
      </c>
      <c r="AC41" s="52">
        <v>51.4</v>
      </c>
      <c r="AD41" s="52">
        <v>10.3</v>
      </c>
      <c r="AE41" s="63">
        <v>10.6</v>
      </c>
      <c r="AF41" s="63">
        <v>10.6</v>
      </c>
      <c r="AG41" s="69">
        <v>60</v>
      </c>
      <c r="AH41" s="56">
        <f t="shared" si="2"/>
        <v>60.4</v>
      </c>
      <c r="AI41" s="57">
        <f t="shared" si="3"/>
        <v>9.6</v>
      </c>
      <c r="AK41" s="58"/>
    </row>
    <row r="42" spans="1:88" x14ac:dyDescent="0.25">
      <c r="A42" s="68" t="s">
        <v>49</v>
      </c>
      <c r="B42" s="50">
        <v>25.4</v>
      </c>
      <c r="C42" s="50">
        <v>14</v>
      </c>
      <c r="D42" s="50">
        <v>14</v>
      </c>
      <c r="E42" s="50">
        <v>14</v>
      </c>
      <c r="F42" s="63">
        <v>14</v>
      </c>
      <c r="G42" s="63">
        <v>14</v>
      </c>
      <c r="H42" s="63">
        <v>14</v>
      </c>
      <c r="I42" s="63">
        <v>14.6</v>
      </c>
      <c r="J42" s="63">
        <v>14.6</v>
      </c>
      <c r="K42" s="63">
        <v>25.1</v>
      </c>
      <c r="L42" s="50">
        <v>24.8</v>
      </c>
      <c r="M42" s="50">
        <v>25.1</v>
      </c>
      <c r="N42" s="50">
        <v>24.6</v>
      </c>
      <c r="O42" s="50">
        <v>15</v>
      </c>
      <c r="P42" s="50">
        <v>14.9</v>
      </c>
      <c r="Q42" s="50">
        <v>14.9</v>
      </c>
      <c r="R42" s="50">
        <v>15</v>
      </c>
      <c r="S42" s="50">
        <v>14.9</v>
      </c>
      <c r="T42" s="50">
        <v>14.9</v>
      </c>
      <c r="U42" s="50">
        <v>15</v>
      </c>
      <c r="V42" s="50">
        <v>29.3</v>
      </c>
      <c r="W42" s="50">
        <v>29.3</v>
      </c>
      <c r="X42" s="50">
        <v>29.3</v>
      </c>
      <c r="Y42" s="50">
        <v>29.3</v>
      </c>
      <c r="Z42" s="50">
        <v>29.3</v>
      </c>
      <c r="AA42" s="52">
        <v>29.5</v>
      </c>
      <c r="AB42" s="52">
        <v>29.5</v>
      </c>
      <c r="AC42" s="52">
        <v>29.5</v>
      </c>
      <c r="AD42" s="52">
        <v>14.1</v>
      </c>
      <c r="AE42" s="63">
        <v>14</v>
      </c>
      <c r="AF42" s="63">
        <v>14</v>
      </c>
      <c r="AG42" s="69">
        <v>30</v>
      </c>
      <c r="AH42" s="56">
        <f t="shared" si="2"/>
        <v>29.5</v>
      </c>
      <c r="AI42" s="57">
        <f t="shared" si="3"/>
        <v>14</v>
      </c>
      <c r="AK42" s="58"/>
    </row>
    <row r="43" spans="1:88" x14ac:dyDescent="0.25">
      <c r="A43" s="68" t="s">
        <v>50</v>
      </c>
      <c r="B43" s="50">
        <v>0</v>
      </c>
      <c r="C43" s="50">
        <v>0</v>
      </c>
      <c r="D43" s="50">
        <v>0</v>
      </c>
      <c r="E43" s="50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50">
        <v>10</v>
      </c>
      <c r="C44" s="50">
        <v>10</v>
      </c>
      <c r="D44" s="50">
        <v>10</v>
      </c>
      <c r="E44" s="50">
        <v>10</v>
      </c>
      <c r="F44" s="75">
        <v>10</v>
      </c>
      <c r="G44" s="75">
        <v>10</v>
      </c>
      <c r="H44" s="75">
        <v>15</v>
      </c>
      <c r="I44" s="75">
        <v>15</v>
      </c>
      <c r="J44" s="75">
        <v>15</v>
      </c>
      <c r="K44" s="75">
        <v>15</v>
      </c>
      <c r="L44" s="50">
        <v>15</v>
      </c>
      <c r="M44" s="50">
        <v>15</v>
      </c>
      <c r="N44" s="50">
        <v>15</v>
      </c>
      <c r="O44" s="50">
        <v>15</v>
      </c>
      <c r="P44" s="50">
        <v>15</v>
      </c>
      <c r="Q44" s="50">
        <v>15</v>
      </c>
      <c r="R44" s="50">
        <v>15</v>
      </c>
      <c r="S44" s="50">
        <v>15</v>
      </c>
      <c r="T44" s="50">
        <v>15</v>
      </c>
      <c r="U44" s="50">
        <v>15</v>
      </c>
      <c r="V44" s="50">
        <v>15</v>
      </c>
      <c r="W44" s="50">
        <v>15</v>
      </c>
      <c r="X44" s="50">
        <v>15</v>
      </c>
      <c r="Y44" s="50">
        <v>15</v>
      </c>
      <c r="Z44" s="50">
        <v>15</v>
      </c>
      <c r="AA44" s="50">
        <v>15</v>
      </c>
      <c r="AB44" s="50">
        <v>15</v>
      </c>
      <c r="AC44" s="50">
        <v>15</v>
      </c>
      <c r="AD44" s="50">
        <v>15</v>
      </c>
      <c r="AE44" s="50">
        <v>15</v>
      </c>
      <c r="AF44" s="63">
        <v>10</v>
      </c>
      <c r="AG44" s="69">
        <v>24</v>
      </c>
      <c r="AH44" s="56">
        <f t="shared" si="2"/>
        <v>15</v>
      </c>
      <c r="AI44" s="57">
        <f t="shared" si="3"/>
        <v>10</v>
      </c>
      <c r="AK44" s="58"/>
    </row>
    <row r="45" spans="1:88" x14ac:dyDescent="0.25">
      <c r="A45" s="68" t="s">
        <v>52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50">
        <v>8</v>
      </c>
      <c r="C46" s="50">
        <v>8</v>
      </c>
      <c r="D46" s="50">
        <v>8</v>
      </c>
      <c r="E46" s="50">
        <v>8</v>
      </c>
      <c r="F46" s="50">
        <v>8</v>
      </c>
      <c r="G46" s="50">
        <v>8</v>
      </c>
      <c r="H46" s="50">
        <v>8</v>
      </c>
      <c r="I46" s="63">
        <v>8</v>
      </c>
      <c r="J46" s="63">
        <v>8</v>
      </c>
      <c r="K46" s="63">
        <v>8</v>
      </c>
      <c r="L46" s="50">
        <v>12</v>
      </c>
      <c r="M46" s="50">
        <v>12</v>
      </c>
      <c r="N46" s="50">
        <v>12</v>
      </c>
      <c r="O46" s="50">
        <v>12</v>
      </c>
      <c r="P46" s="50">
        <v>12</v>
      </c>
      <c r="Q46" s="50">
        <v>12</v>
      </c>
      <c r="R46" s="50">
        <v>12</v>
      </c>
      <c r="S46" s="50">
        <v>12</v>
      </c>
      <c r="T46" s="50">
        <v>12</v>
      </c>
      <c r="U46" s="50">
        <v>12</v>
      </c>
      <c r="V46" s="50">
        <v>12</v>
      </c>
      <c r="W46" s="50">
        <v>12</v>
      </c>
      <c r="X46" s="50">
        <v>12</v>
      </c>
      <c r="Y46" s="50">
        <v>12</v>
      </c>
      <c r="Z46" s="50">
        <v>12</v>
      </c>
      <c r="AA46" s="50">
        <v>12</v>
      </c>
      <c r="AB46" s="50">
        <v>12</v>
      </c>
      <c r="AC46" s="50">
        <v>12</v>
      </c>
      <c r="AD46" s="50">
        <v>12</v>
      </c>
      <c r="AE46" s="50">
        <v>12</v>
      </c>
      <c r="AF46" s="63">
        <v>8</v>
      </c>
      <c r="AG46" s="69">
        <v>14.1</v>
      </c>
      <c r="AH46" s="56">
        <f t="shared" si="2"/>
        <v>12</v>
      </c>
      <c r="AI46" s="57">
        <f t="shared" si="3"/>
        <v>8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50">
        <v>14</v>
      </c>
      <c r="C47" s="50">
        <v>14</v>
      </c>
      <c r="D47" s="50">
        <v>14</v>
      </c>
      <c r="E47" s="50">
        <v>14</v>
      </c>
      <c r="F47" s="50">
        <v>14</v>
      </c>
      <c r="G47" s="50">
        <v>14</v>
      </c>
      <c r="H47" s="50">
        <v>14</v>
      </c>
      <c r="I47" s="75">
        <v>14</v>
      </c>
      <c r="J47" s="75">
        <v>14</v>
      </c>
      <c r="K47" s="75">
        <v>14</v>
      </c>
      <c r="L47" s="50">
        <v>13</v>
      </c>
      <c r="M47" s="50">
        <v>13</v>
      </c>
      <c r="N47" s="50">
        <v>13</v>
      </c>
      <c r="O47" s="50">
        <v>13</v>
      </c>
      <c r="P47" s="50">
        <v>13</v>
      </c>
      <c r="Q47" s="50">
        <v>13</v>
      </c>
      <c r="R47" s="50">
        <v>13</v>
      </c>
      <c r="S47" s="50">
        <v>13</v>
      </c>
      <c r="T47" s="50">
        <v>13</v>
      </c>
      <c r="U47" s="50">
        <v>13</v>
      </c>
      <c r="V47" s="50">
        <v>13</v>
      </c>
      <c r="W47" s="50">
        <v>13</v>
      </c>
      <c r="X47" s="50">
        <v>13</v>
      </c>
      <c r="Y47" s="50">
        <v>13</v>
      </c>
      <c r="Z47" s="50">
        <v>13</v>
      </c>
      <c r="AA47" s="50">
        <v>7</v>
      </c>
      <c r="AB47" s="50">
        <v>7</v>
      </c>
      <c r="AC47" s="50">
        <v>7</v>
      </c>
      <c r="AD47" s="50">
        <v>7</v>
      </c>
      <c r="AE47" s="50">
        <v>4</v>
      </c>
      <c r="AF47" s="63">
        <v>4</v>
      </c>
      <c r="AG47" s="69">
        <v>14</v>
      </c>
      <c r="AH47" s="56">
        <f t="shared" si="2"/>
        <v>14</v>
      </c>
      <c r="AI47" s="57">
        <f t="shared" si="3"/>
        <v>4</v>
      </c>
      <c r="AK47" s="58"/>
    </row>
    <row r="48" spans="1:88" x14ac:dyDescent="0.25">
      <c r="A48" s="68" t="s">
        <v>55</v>
      </c>
      <c r="B48" s="50">
        <v>9.6</v>
      </c>
      <c r="C48" s="50">
        <v>9.6</v>
      </c>
      <c r="D48" s="50">
        <v>9.6</v>
      </c>
      <c r="E48" s="50">
        <v>9.6</v>
      </c>
      <c r="F48" s="50">
        <v>9.6</v>
      </c>
      <c r="G48" s="50">
        <v>9.6</v>
      </c>
      <c r="H48" s="50">
        <v>9.6</v>
      </c>
      <c r="I48" s="63">
        <v>9.6</v>
      </c>
      <c r="J48" s="63">
        <v>9.6</v>
      </c>
      <c r="K48" s="63">
        <v>9.6</v>
      </c>
      <c r="L48" s="50">
        <v>8.8000000000000007</v>
      </c>
      <c r="M48" s="50">
        <v>8.8000000000000007</v>
      </c>
      <c r="N48" s="50">
        <v>8.8000000000000007</v>
      </c>
      <c r="O48" s="50">
        <v>8.8000000000000007</v>
      </c>
      <c r="P48" s="50">
        <v>8.8000000000000007</v>
      </c>
      <c r="Q48" s="50">
        <v>8.8000000000000007</v>
      </c>
      <c r="R48" s="50">
        <v>8.8000000000000007</v>
      </c>
      <c r="S48" s="50">
        <v>8.8000000000000007</v>
      </c>
      <c r="T48" s="50">
        <v>8.8000000000000007</v>
      </c>
      <c r="U48" s="50">
        <v>8.8000000000000007</v>
      </c>
      <c r="V48" s="50">
        <v>8.8000000000000007</v>
      </c>
      <c r="W48" s="50">
        <v>8.8000000000000007</v>
      </c>
      <c r="X48" s="50">
        <v>8.8000000000000007</v>
      </c>
      <c r="Y48" s="50">
        <v>8.8000000000000007</v>
      </c>
      <c r="Z48" s="50">
        <v>8.8000000000000007</v>
      </c>
      <c r="AA48" s="50">
        <v>8.8000000000000007</v>
      </c>
      <c r="AB48" s="50">
        <v>8.8000000000000007</v>
      </c>
      <c r="AC48" s="50">
        <v>8.8000000000000007</v>
      </c>
      <c r="AD48" s="50">
        <v>8.8000000000000007</v>
      </c>
      <c r="AE48" s="50">
        <v>8.8000000000000007</v>
      </c>
      <c r="AF48" s="63">
        <v>8.8000000000000007</v>
      </c>
      <c r="AG48" s="69">
        <v>10.050000000000001</v>
      </c>
      <c r="AH48" s="56">
        <f t="shared" si="2"/>
        <v>9.6</v>
      </c>
      <c r="AI48" s="57">
        <f t="shared" si="3"/>
        <v>8.8000000000000007</v>
      </c>
      <c r="AK48" s="58"/>
    </row>
    <row r="49" spans="1:37" x14ac:dyDescent="0.25">
      <c r="A49" s="68" t="s">
        <v>56</v>
      </c>
      <c r="B49" s="50">
        <v>6.2</v>
      </c>
      <c r="C49" s="50">
        <v>6.2</v>
      </c>
      <c r="D49" s="50">
        <v>6.2</v>
      </c>
      <c r="E49" s="50">
        <v>6.2</v>
      </c>
      <c r="F49" s="50">
        <v>6.2</v>
      </c>
      <c r="G49" s="50">
        <v>6.2</v>
      </c>
      <c r="H49" s="50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6">T198</f>
        <v>3.54</v>
      </c>
      <c r="U50" s="78">
        <f t="shared" si="6"/>
        <v>3.54</v>
      </c>
      <c r="V50" s="78">
        <f t="shared" si="6"/>
        <v>3.54</v>
      </c>
      <c r="W50" s="78">
        <v>3.54</v>
      </c>
      <c r="X50" s="78">
        <v>3.54</v>
      </c>
      <c r="Y50" s="78">
        <v>3.54</v>
      </c>
      <c r="Z50" s="78">
        <f t="shared" si="6"/>
        <v>3.54</v>
      </c>
      <c r="AA50" s="78">
        <f t="shared" si="6"/>
        <v>3.54</v>
      </c>
      <c r="AB50" s="78">
        <f t="shared" si="6"/>
        <v>3.54</v>
      </c>
      <c r="AC50" s="78">
        <f t="shared" si="6"/>
        <v>3.54</v>
      </c>
      <c r="AD50" s="78">
        <f t="shared" si="6"/>
        <v>3.54</v>
      </c>
      <c r="AE50" s="78">
        <f t="shared" si="6"/>
        <v>3.54</v>
      </c>
      <c r="AF50" s="78">
        <f t="shared" si="6"/>
        <v>3.54</v>
      </c>
      <c r="AG50" s="78">
        <f t="shared" si="6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7">SUM(B38:B50)</f>
        <v>146.23999999999998</v>
      </c>
      <c r="C51" s="74">
        <f t="shared" si="7"/>
        <v>134.83999999999997</v>
      </c>
      <c r="D51" s="74">
        <f t="shared" si="7"/>
        <v>143.54</v>
      </c>
      <c r="E51" s="74">
        <f t="shared" si="7"/>
        <v>143.54</v>
      </c>
      <c r="F51" s="74">
        <f t="shared" si="7"/>
        <v>174.73999999999998</v>
      </c>
      <c r="G51" s="74">
        <f t="shared" si="7"/>
        <v>186.33999999999997</v>
      </c>
      <c r="H51" s="74">
        <f t="shared" si="7"/>
        <v>212.33999999999997</v>
      </c>
      <c r="I51" s="74">
        <f t="shared" si="7"/>
        <v>241.93999999999997</v>
      </c>
      <c r="J51" s="74">
        <f t="shared" si="7"/>
        <v>257.94</v>
      </c>
      <c r="K51" s="74">
        <f t="shared" si="7"/>
        <v>264.24</v>
      </c>
      <c r="L51" s="74">
        <f t="shared" si="7"/>
        <v>296.14000000000004</v>
      </c>
      <c r="M51" s="74">
        <f t="shared" si="7"/>
        <v>286.54000000000002</v>
      </c>
      <c r="N51" s="74">
        <f t="shared" si="7"/>
        <v>305.64000000000004</v>
      </c>
      <c r="O51" s="74">
        <f t="shared" si="7"/>
        <v>251.04</v>
      </c>
      <c r="P51" s="74">
        <f t="shared" si="7"/>
        <v>197.73999999999998</v>
      </c>
      <c r="Q51" s="74">
        <f t="shared" si="7"/>
        <v>192.14</v>
      </c>
      <c r="R51" s="74">
        <f t="shared" si="7"/>
        <v>178.34</v>
      </c>
      <c r="S51" s="74">
        <f t="shared" si="7"/>
        <v>193.74</v>
      </c>
      <c r="T51" s="74">
        <f t="shared" si="7"/>
        <v>198.04</v>
      </c>
      <c r="U51" s="74">
        <f t="shared" si="7"/>
        <v>232.14</v>
      </c>
      <c r="V51" s="74">
        <f t="shared" si="7"/>
        <v>296.54000000000002</v>
      </c>
      <c r="W51" s="74">
        <f t="shared" si="7"/>
        <v>364.14</v>
      </c>
      <c r="X51" s="74">
        <f t="shared" si="7"/>
        <v>364.14</v>
      </c>
      <c r="Y51" s="74">
        <f t="shared" si="7"/>
        <v>364.14</v>
      </c>
      <c r="Z51" s="74">
        <f t="shared" si="7"/>
        <v>363.54</v>
      </c>
      <c r="AA51" s="74">
        <f t="shared" si="7"/>
        <v>344.84000000000003</v>
      </c>
      <c r="AB51" s="74">
        <f t="shared" si="7"/>
        <v>294.04000000000002</v>
      </c>
      <c r="AC51" s="74">
        <f t="shared" si="7"/>
        <v>279.44</v>
      </c>
      <c r="AD51" s="74">
        <f t="shared" si="7"/>
        <v>145.23999999999998</v>
      </c>
      <c r="AE51" s="74">
        <f t="shared" si="7"/>
        <v>135.54</v>
      </c>
      <c r="AF51" s="74">
        <f t="shared" si="7"/>
        <v>127.24000000000001</v>
      </c>
      <c r="AG51" s="79">
        <f>SUM(AG38:AG50)</f>
        <v>489.91</v>
      </c>
      <c r="AH51" s="56">
        <f t="shared" si="2"/>
        <v>364.14</v>
      </c>
      <c r="AI51" s="57">
        <f t="shared" si="3"/>
        <v>127.24000000000001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0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2">
        <v>0</v>
      </c>
      <c r="Q53" s="52">
        <v>0</v>
      </c>
      <c r="R53" s="50">
        <v>0</v>
      </c>
      <c r="S53" s="50">
        <v>0</v>
      </c>
      <c r="T53" s="50">
        <v>0</v>
      </c>
      <c r="U53" s="50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0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2">
        <v>0</v>
      </c>
      <c r="Q54" s="82">
        <v>0</v>
      </c>
      <c r="R54" s="50">
        <v>0</v>
      </c>
      <c r="S54" s="50">
        <v>0</v>
      </c>
      <c r="T54" s="50">
        <v>0</v>
      </c>
      <c r="U54" s="50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5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5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8">SUM(C52:C54)</f>
        <v>0</v>
      </c>
      <c r="D55" s="74">
        <f t="shared" si="8"/>
        <v>0</v>
      </c>
      <c r="E55" s="74">
        <f t="shared" si="8"/>
        <v>0</v>
      </c>
      <c r="F55" s="74">
        <f t="shared" si="8"/>
        <v>0</v>
      </c>
      <c r="G55" s="74">
        <f t="shared" si="8"/>
        <v>0</v>
      </c>
      <c r="H55" s="74">
        <f t="shared" si="8"/>
        <v>0</v>
      </c>
      <c r="I55" s="74">
        <f t="shared" si="8"/>
        <v>0</v>
      </c>
      <c r="J55" s="74">
        <f t="shared" si="8"/>
        <v>0</v>
      </c>
      <c r="K55" s="74">
        <f t="shared" si="8"/>
        <v>0</v>
      </c>
      <c r="L55" s="74">
        <f t="shared" si="8"/>
        <v>0</v>
      </c>
      <c r="M55" s="74">
        <f t="shared" si="8"/>
        <v>0</v>
      </c>
      <c r="N55" s="74">
        <f t="shared" si="8"/>
        <v>0</v>
      </c>
      <c r="O55" s="74">
        <f t="shared" si="8"/>
        <v>0</v>
      </c>
      <c r="P55" s="74">
        <f t="shared" si="8"/>
        <v>0</v>
      </c>
      <c r="Q55" s="74">
        <f t="shared" si="8"/>
        <v>0</v>
      </c>
      <c r="R55" s="74">
        <f t="shared" si="8"/>
        <v>0</v>
      </c>
      <c r="S55" s="74">
        <f t="shared" si="8"/>
        <v>0</v>
      </c>
      <c r="T55" s="74">
        <f t="shared" si="8"/>
        <v>0</v>
      </c>
      <c r="U55" s="74">
        <f t="shared" si="8"/>
        <v>0</v>
      </c>
      <c r="V55" s="74">
        <f t="shared" si="8"/>
        <v>0</v>
      </c>
      <c r="W55" s="74">
        <f t="shared" si="8"/>
        <v>0</v>
      </c>
      <c r="X55" s="74">
        <f t="shared" si="8"/>
        <v>0</v>
      </c>
      <c r="Y55" s="74">
        <f t="shared" si="8"/>
        <v>0</v>
      </c>
      <c r="Z55" s="74">
        <f t="shared" si="8"/>
        <v>0</v>
      </c>
      <c r="AA55" s="74">
        <f t="shared" si="8"/>
        <v>0</v>
      </c>
      <c r="AB55" s="74">
        <f t="shared" si="8"/>
        <v>5</v>
      </c>
      <c r="AC55" s="74">
        <f t="shared" si="8"/>
        <v>0</v>
      </c>
      <c r="AD55" s="74">
        <f t="shared" si="8"/>
        <v>0</v>
      </c>
      <c r="AE55" s="74">
        <f t="shared" si="8"/>
        <v>0</v>
      </c>
      <c r="AF55" s="74">
        <f t="shared" si="8"/>
        <v>0</v>
      </c>
      <c r="AG55" s="79">
        <f>SUM(AG52:AG54)</f>
        <v>106</v>
      </c>
      <c r="AH55" s="56">
        <f t="shared" si="2"/>
        <v>5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-69</v>
      </c>
      <c r="C58" s="52">
        <v>-60</v>
      </c>
      <c r="D58" s="52">
        <v>-50</v>
      </c>
      <c r="E58" s="52">
        <v>-45</v>
      </c>
      <c r="F58" s="52">
        <v>-57</v>
      </c>
      <c r="G58" s="52">
        <v>-40</v>
      </c>
      <c r="H58" s="52">
        <v>-50</v>
      </c>
      <c r="I58" s="52">
        <v>-43</v>
      </c>
      <c r="J58" s="52">
        <v>-65</v>
      </c>
      <c r="K58" s="52">
        <v>-54.2</v>
      </c>
      <c r="L58" s="52">
        <v>-55</v>
      </c>
      <c r="M58" s="52">
        <v>-58</v>
      </c>
      <c r="N58" s="52">
        <v>-77</v>
      </c>
      <c r="O58" s="52">
        <v>-54</v>
      </c>
      <c r="P58" s="52">
        <v>-47</v>
      </c>
      <c r="Q58" s="52">
        <v>-41.6</v>
      </c>
      <c r="R58" s="52">
        <v>-50.2</v>
      </c>
      <c r="S58" s="52">
        <v>-46.7</v>
      </c>
      <c r="T58" s="52">
        <v>-43.7</v>
      </c>
      <c r="U58" s="52">
        <v>-42.5</v>
      </c>
      <c r="V58" s="52">
        <v>-41</v>
      </c>
      <c r="W58" s="85">
        <v>-39.4</v>
      </c>
      <c r="X58" s="85">
        <v>-58.1</v>
      </c>
      <c r="Y58" s="85">
        <v>-72</v>
      </c>
      <c r="Z58" s="85">
        <v>-53</v>
      </c>
      <c r="AA58" s="85">
        <v>-68.7</v>
      </c>
      <c r="AB58" s="85">
        <v>-90</v>
      </c>
      <c r="AC58" s="85">
        <v>-101</v>
      </c>
      <c r="AD58" s="52">
        <v>-66.8</v>
      </c>
      <c r="AE58" s="52">
        <v>-73.7</v>
      </c>
      <c r="AF58" s="52">
        <v>-82.3</v>
      </c>
      <c r="AG58" s="86"/>
      <c r="AH58" s="56">
        <f t="shared" si="2"/>
        <v>-39.4</v>
      </c>
      <c r="AI58" s="57">
        <f t="shared" si="3"/>
        <v>-101</v>
      </c>
      <c r="AK58" s="58"/>
    </row>
    <row r="59" spans="1:37" x14ac:dyDescent="0.25">
      <c r="A59" s="68" t="s">
        <v>66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5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50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52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50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-69</v>
      </c>
      <c r="C67" s="74">
        <f t="shared" ref="C67:AF67" si="9">SUM(C56:C66)</f>
        <v>-60</v>
      </c>
      <c r="D67" s="74">
        <f t="shared" si="9"/>
        <v>-50</v>
      </c>
      <c r="E67" s="74">
        <f t="shared" si="9"/>
        <v>-45</v>
      </c>
      <c r="F67" s="74">
        <f t="shared" si="9"/>
        <v>-57</v>
      </c>
      <c r="G67" s="74">
        <f t="shared" si="9"/>
        <v>-40</v>
      </c>
      <c r="H67" s="74">
        <f t="shared" si="9"/>
        <v>-50</v>
      </c>
      <c r="I67" s="74">
        <f t="shared" si="9"/>
        <v>-43</v>
      </c>
      <c r="J67" s="74">
        <f t="shared" si="9"/>
        <v>-65</v>
      </c>
      <c r="K67" s="74">
        <f t="shared" si="9"/>
        <v>-54.2</v>
      </c>
      <c r="L67" s="74">
        <f t="shared" si="9"/>
        <v>-55</v>
      </c>
      <c r="M67" s="74">
        <f t="shared" si="9"/>
        <v>-58</v>
      </c>
      <c r="N67" s="74">
        <f t="shared" si="9"/>
        <v>-77</v>
      </c>
      <c r="O67" s="74">
        <f t="shared" si="9"/>
        <v>-54</v>
      </c>
      <c r="P67" s="74">
        <f t="shared" si="9"/>
        <v>-47</v>
      </c>
      <c r="Q67" s="74">
        <f t="shared" si="9"/>
        <v>-41.6</v>
      </c>
      <c r="R67" s="74">
        <f t="shared" si="9"/>
        <v>-50.2</v>
      </c>
      <c r="S67" s="74">
        <f t="shared" si="9"/>
        <v>-46.7</v>
      </c>
      <c r="T67" s="74">
        <f t="shared" si="9"/>
        <v>-43.7</v>
      </c>
      <c r="U67" s="74">
        <f t="shared" si="9"/>
        <v>-42.5</v>
      </c>
      <c r="V67" s="74">
        <f t="shared" si="9"/>
        <v>-41</v>
      </c>
      <c r="W67" s="74">
        <f t="shared" si="9"/>
        <v>-39.4</v>
      </c>
      <c r="X67" s="74">
        <f t="shared" si="9"/>
        <v>-58.1</v>
      </c>
      <c r="Y67" s="74">
        <f t="shared" si="9"/>
        <v>-72</v>
      </c>
      <c r="Z67" s="74">
        <f t="shared" si="9"/>
        <v>-53</v>
      </c>
      <c r="AA67" s="74">
        <f t="shared" si="9"/>
        <v>-68.7</v>
      </c>
      <c r="AB67" s="74">
        <f t="shared" si="9"/>
        <v>-90</v>
      </c>
      <c r="AC67" s="74">
        <f t="shared" si="9"/>
        <v>-101</v>
      </c>
      <c r="AD67" s="74">
        <f t="shared" si="9"/>
        <v>-66.8</v>
      </c>
      <c r="AE67" s="74">
        <f t="shared" si="9"/>
        <v>-73.7</v>
      </c>
      <c r="AF67" s="74">
        <f t="shared" si="9"/>
        <v>-82.3</v>
      </c>
      <c r="AG67" s="79">
        <f>SUM(AG56:AG66)</f>
        <v>0</v>
      </c>
      <c r="AH67" s="56">
        <f t="shared" si="2"/>
        <v>-39.4</v>
      </c>
      <c r="AI67" s="57">
        <f t="shared" si="3"/>
        <v>-101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10">SUM(C68:C70)</f>
        <v>0</v>
      </c>
      <c r="D71" s="74">
        <f t="shared" si="10"/>
        <v>0</v>
      </c>
      <c r="E71" s="74">
        <f t="shared" si="10"/>
        <v>0</v>
      </c>
      <c r="F71" s="74">
        <f t="shared" si="10"/>
        <v>0</v>
      </c>
      <c r="G71" s="74">
        <f t="shared" si="10"/>
        <v>0</v>
      </c>
      <c r="H71" s="74">
        <f t="shared" si="10"/>
        <v>0</v>
      </c>
      <c r="I71" s="74">
        <f t="shared" si="10"/>
        <v>0</v>
      </c>
      <c r="J71" s="74">
        <f t="shared" si="10"/>
        <v>0</v>
      </c>
      <c r="K71" s="74">
        <f t="shared" si="10"/>
        <v>0</v>
      </c>
      <c r="L71" s="74">
        <f t="shared" si="10"/>
        <v>0</v>
      </c>
      <c r="M71" s="74">
        <f t="shared" si="10"/>
        <v>0</v>
      </c>
      <c r="N71" s="74">
        <f t="shared" si="10"/>
        <v>0</v>
      </c>
      <c r="O71" s="74">
        <f t="shared" si="10"/>
        <v>0</v>
      </c>
      <c r="P71" s="74">
        <f t="shared" si="10"/>
        <v>0</v>
      </c>
      <c r="Q71" s="74">
        <f t="shared" si="10"/>
        <v>0</v>
      </c>
      <c r="R71" s="74">
        <f t="shared" si="10"/>
        <v>0</v>
      </c>
      <c r="S71" s="74">
        <f t="shared" si="10"/>
        <v>0</v>
      </c>
      <c r="T71" s="74">
        <f t="shared" si="10"/>
        <v>0</v>
      </c>
      <c r="U71" s="74">
        <f t="shared" si="10"/>
        <v>0</v>
      </c>
      <c r="V71" s="74">
        <f t="shared" si="10"/>
        <v>0</v>
      </c>
      <c r="W71" s="74">
        <f t="shared" si="10"/>
        <v>0</v>
      </c>
      <c r="X71" s="74">
        <f t="shared" si="10"/>
        <v>0</v>
      </c>
      <c r="Y71" s="74">
        <f t="shared" si="10"/>
        <v>0</v>
      </c>
      <c r="Z71" s="74">
        <f t="shared" si="10"/>
        <v>0</v>
      </c>
      <c r="AA71" s="74">
        <f t="shared" si="10"/>
        <v>0</v>
      </c>
      <c r="AB71" s="74">
        <f t="shared" si="10"/>
        <v>0</v>
      </c>
      <c r="AC71" s="74">
        <f t="shared" si="10"/>
        <v>0</v>
      </c>
      <c r="AD71" s="74">
        <f t="shared" si="10"/>
        <v>0</v>
      </c>
      <c r="AE71" s="74">
        <f t="shared" si="10"/>
        <v>0</v>
      </c>
      <c r="AF71" s="74">
        <f t="shared" si="10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732.44</v>
      </c>
      <c r="C72" s="90">
        <f t="shared" ref="C72:AG72" si="11">C67+C55+C51+C37+C71</f>
        <v>730.04</v>
      </c>
      <c r="D72" s="90">
        <f t="shared" si="11"/>
        <v>748.74</v>
      </c>
      <c r="E72" s="90">
        <f t="shared" si="11"/>
        <v>743.74</v>
      </c>
      <c r="F72" s="90">
        <f t="shared" si="11"/>
        <v>762.94</v>
      </c>
      <c r="G72" s="90">
        <f t="shared" si="11"/>
        <v>821.54</v>
      </c>
      <c r="H72" s="90">
        <f t="shared" si="11"/>
        <v>867.54</v>
      </c>
      <c r="I72" s="90">
        <f t="shared" si="11"/>
        <v>924.14</v>
      </c>
      <c r="J72" s="90">
        <f t="shared" si="11"/>
        <v>964.1400000000001</v>
      </c>
      <c r="K72" s="90">
        <f t="shared" si="11"/>
        <v>981.04</v>
      </c>
      <c r="L72" s="90">
        <f t="shared" si="11"/>
        <v>1006.1400000000001</v>
      </c>
      <c r="M72" s="90">
        <f t="shared" si="11"/>
        <v>973.44</v>
      </c>
      <c r="N72" s="90">
        <f t="shared" si="11"/>
        <v>936.94</v>
      </c>
      <c r="O72" s="90">
        <f t="shared" si="11"/>
        <v>905.33999999999992</v>
      </c>
      <c r="P72" s="90">
        <f t="shared" si="11"/>
        <v>858.83999999999992</v>
      </c>
      <c r="Q72" s="90">
        <f t="shared" si="11"/>
        <v>859.13999999999987</v>
      </c>
      <c r="R72" s="90">
        <f t="shared" si="11"/>
        <v>837.7399999999999</v>
      </c>
      <c r="S72" s="90">
        <f t="shared" si="11"/>
        <v>856.63999999999987</v>
      </c>
      <c r="T72" s="90">
        <f t="shared" si="11"/>
        <v>863.93999999999983</v>
      </c>
      <c r="U72" s="90">
        <f t="shared" si="11"/>
        <v>919.2399999999999</v>
      </c>
      <c r="V72" s="90">
        <f t="shared" si="11"/>
        <v>1035.1400000000001</v>
      </c>
      <c r="W72" s="90">
        <f t="shared" si="11"/>
        <v>1196.04</v>
      </c>
      <c r="X72" s="90">
        <f t="shared" si="11"/>
        <v>1170.44</v>
      </c>
      <c r="Y72" s="90">
        <f t="shared" si="11"/>
        <v>1126.54</v>
      </c>
      <c r="Z72" s="90">
        <f t="shared" si="11"/>
        <v>1087.24</v>
      </c>
      <c r="AA72" s="90">
        <f t="shared" si="11"/>
        <v>1004.74</v>
      </c>
      <c r="AB72" s="90">
        <f t="shared" si="11"/>
        <v>937.6400000000001</v>
      </c>
      <c r="AC72" s="90">
        <f t="shared" si="11"/>
        <v>887.04</v>
      </c>
      <c r="AD72" s="90">
        <f t="shared" si="11"/>
        <v>747.7399999999999</v>
      </c>
      <c r="AE72" s="90">
        <f t="shared" si="11"/>
        <v>692.14</v>
      </c>
      <c r="AF72" s="90">
        <f t="shared" si="11"/>
        <v>675.33999999999992</v>
      </c>
      <c r="AG72" s="90">
        <f t="shared" si="11"/>
        <v>2133.14</v>
      </c>
      <c r="AH72" s="56">
        <f t="shared" si="2"/>
        <v>1196.04</v>
      </c>
      <c r="AI72" s="57">
        <f t="shared" si="3"/>
        <v>675.33999999999992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732.44</v>
      </c>
      <c r="C74" s="90">
        <f t="shared" ref="C74:AF74" si="12">C71+C67+C55+C51+C37+C73</f>
        <v>730.04</v>
      </c>
      <c r="D74" s="90">
        <f t="shared" si="12"/>
        <v>748.74</v>
      </c>
      <c r="E74" s="90">
        <f t="shared" si="12"/>
        <v>743.74</v>
      </c>
      <c r="F74" s="90">
        <f t="shared" si="12"/>
        <v>762.94</v>
      </c>
      <c r="G74" s="90">
        <f t="shared" si="12"/>
        <v>821.54</v>
      </c>
      <c r="H74" s="90">
        <f t="shared" si="12"/>
        <v>867.54</v>
      </c>
      <c r="I74" s="90">
        <f t="shared" si="12"/>
        <v>924.14</v>
      </c>
      <c r="J74" s="90">
        <f t="shared" si="12"/>
        <v>964.1400000000001</v>
      </c>
      <c r="K74" s="90">
        <f t="shared" si="12"/>
        <v>981.04</v>
      </c>
      <c r="L74" s="90">
        <f t="shared" si="12"/>
        <v>1006.1400000000001</v>
      </c>
      <c r="M74" s="90">
        <f t="shared" si="12"/>
        <v>973.44</v>
      </c>
      <c r="N74" s="90">
        <f t="shared" si="12"/>
        <v>936.94</v>
      </c>
      <c r="O74" s="90">
        <f t="shared" si="12"/>
        <v>905.33999999999992</v>
      </c>
      <c r="P74" s="90">
        <f t="shared" si="12"/>
        <v>858.83999999999992</v>
      </c>
      <c r="Q74" s="90">
        <f t="shared" si="12"/>
        <v>859.13999999999987</v>
      </c>
      <c r="R74" s="90">
        <f t="shared" si="12"/>
        <v>837.7399999999999</v>
      </c>
      <c r="S74" s="90">
        <f t="shared" si="12"/>
        <v>856.63999999999987</v>
      </c>
      <c r="T74" s="90">
        <f t="shared" si="12"/>
        <v>863.93999999999983</v>
      </c>
      <c r="U74" s="90">
        <f t="shared" si="12"/>
        <v>919.2399999999999</v>
      </c>
      <c r="V74" s="90">
        <f t="shared" si="12"/>
        <v>1035.1400000000001</v>
      </c>
      <c r="W74" s="90">
        <f t="shared" si="12"/>
        <v>1196.04</v>
      </c>
      <c r="X74" s="90">
        <f t="shared" si="12"/>
        <v>1170.44</v>
      </c>
      <c r="Y74" s="90">
        <f t="shared" si="12"/>
        <v>1126.54</v>
      </c>
      <c r="Z74" s="90">
        <f t="shared" si="12"/>
        <v>1087.24</v>
      </c>
      <c r="AA74" s="90">
        <f t="shared" si="12"/>
        <v>1004.74</v>
      </c>
      <c r="AB74" s="90">
        <f t="shared" si="12"/>
        <v>937.6400000000001</v>
      </c>
      <c r="AC74" s="90">
        <f t="shared" si="12"/>
        <v>887.04</v>
      </c>
      <c r="AD74" s="90">
        <f t="shared" si="12"/>
        <v>747.7399999999999</v>
      </c>
      <c r="AE74" s="90">
        <f t="shared" si="12"/>
        <v>692.14</v>
      </c>
      <c r="AF74" s="90">
        <f t="shared" si="12"/>
        <v>675.33999999999992</v>
      </c>
      <c r="AG74" s="79">
        <f>AG71+AG67+AG55+AG51+AG37+AG73</f>
        <v>2133.14</v>
      </c>
      <c r="AH74" s="56">
        <f t="shared" si="2"/>
        <v>1196.04</v>
      </c>
      <c r="AI74" s="57">
        <f t="shared" si="3"/>
        <v>675.33999999999992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3">IF(C59&lt;0,C59*-1,0)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4">IF(C57&lt;0,C57*-1,0)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5">IF(C60&lt;0,C60*-1,0)</f>
        <v>0</v>
      </c>
      <c r="D77" s="60">
        <f t="shared" si="15"/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69</v>
      </c>
      <c r="C78" s="60">
        <f t="shared" ref="C78:AF78" si="16">IF(C58&lt;0,C58*-1,0)</f>
        <v>60</v>
      </c>
      <c r="D78" s="60">
        <f t="shared" si="16"/>
        <v>50</v>
      </c>
      <c r="E78" s="60">
        <f t="shared" si="16"/>
        <v>45</v>
      </c>
      <c r="F78" s="60">
        <f t="shared" si="16"/>
        <v>57</v>
      </c>
      <c r="G78" s="60">
        <f t="shared" si="16"/>
        <v>40</v>
      </c>
      <c r="H78" s="60">
        <f t="shared" si="16"/>
        <v>50</v>
      </c>
      <c r="I78" s="60">
        <f t="shared" si="16"/>
        <v>43</v>
      </c>
      <c r="J78" s="60">
        <f t="shared" si="16"/>
        <v>65</v>
      </c>
      <c r="K78" s="60">
        <f t="shared" si="16"/>
        <v>54.2</v>
      </c>
      <c r="L78" s="60">
        <f t="shared" si="16"/>
        <v>55</v>
      </c>
      <c r="M78" s="60">
        <f t="shared" si="16"/>
        <v>58</v>
      </c>
      <c r="N78" s="60">
        <f t="shared" si="16"/>
        <v>77</v>
      </c>
      <c r="O78" s="60">
        <f t="shared" si="16"/>
        <v>54</v>
      </c>
      <c r="P78" s="60">
        <f t="shared" si="16"/>
        <v>47</v>
      </c>
      <c r="Q78" s="60">
        <f t="shared" si="16"/>
        <v>41.6</v>
      </c>
      <c r="R78" s="60">
        <f t="shared" si="16"/>
        <v>50.2</v>
      </c>
      <c r="S78" s="60">
        <f t="shared" si="16"/>
        <v>46.7</v>
      </c>
      <c r="T78" s="60">
        <f t="shared" si="16"/>
        <v>43.7</v>
      </c>
      <c r="U78" s="60">
        <f t="shared" si="16"/>
        <v>42.5</v>
      </c>
      <c r="V78" s="60">
        <f t="shared" si="16"/>
        <v>41</v>
      </c>
      <c r="W78" s="60">
        <f t="shared" si="16"/>
        <v>39.4</v>
      </c>
      <c r="X78" s="60">
        <f t="shared" si="16"/>
        <v>58.1</v>
      </c>
      <c r="Y78" s="60">
        <f t="shared" si="16"/>
        <v>72</v>
      </c>
      <c r="Z78" s="60">
        <f t="shared" si="16"/>
        <v>53</v>
      </c>
      <c r="AA78" s="60">
        <f t="shared" si="16"/>
        <v>68.7</v>
      </c>
      <c r="AB78" s="60">
        <f t="shared" si="16"/>
        <v>90</v>
      </c>
      <c r="AC78" s="60">
        <f t="shared" si="16"/>
        <v>101</v>
      </c>
      <c r="AD78" s="60">
        <f t="shared" si="16"/>
        <v>66.8</v>
      </c>
      <c r="AE78" s="60">
        <f t="shared" si="16"/>
        <v>73.7</v>
      </c>
      <c r="AF78" s="60">
        <f t="shared" si="16"/>
        <v>82.3</v>
      </c>
      <c r="AG78" s="93"/>
      <c r="AH78" s="56">
        <f t="shared" ref="AH78:AH90" si="17">MAX(B78:AF78)</f>
        <v>101</v>
      </c>
      <c r="AI78" s="57">
        <f t="shared" ref="AI78:AI90" si="18">MIN(B78:AF78)</f>
        <v>39.4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9">IF(C56&lt;0,C56*-1,0)</f>
        <v>0</v>
      </c>
      <c r="D79" s="60">
        <f t="shared" si="19"/>
        <v>0</v>
      </c>
      <c r="E79" s="60">
        <f t="shared" si="19"/>
        <v>0</v>
      </c>
      <c r="F79" s="60">
        <f t="shared" si="19"/>
        <v>0</v>
      </c>
      <c r="G79" s="60">
        <f t="shared" si="19"/>
        <v>0</v>
      </c>
      <c r="H79" s="60">
        <f t="shared" si="19"/>
        <v>0</v>
      </c>
      <c r="I79" s="60">
        <f t="shared" si="19"/>
        <v>0</v>
      </c>
      <c r="J79" s="60">
        <f t="shared" si="19"/>
        <v>0</v>
      </c>
      <c r="K79" s="60">
        <f t="shared" si="19"/>
        <v>0</v>
      </c>
      <c r="L79" s="60">
        <f t="shared" si="19"/>
        <v>0</v>
      </c>
      <c r="M79" s="60">
        <f t="shared" si="19"/>
        <v>0</v>
      </c>
      <c r="N79" s="60">
        <f t="shared" si="19"/>
        <v>0</v>
      </c>
      <c r="O79" s="60">
        <f t="shared" si="19"/>
        <v>0</v>
      </c>
      <c r="P79" s="60">
        <f t="shared" si="19"/>
        <v>0</v>
      </c>
      <c r="Q79" s="60">
        <f t="shared" si="19"/>
        <v>0</v>
      </c>
      <c r="R79" s="60">
        <f t="shared" si="19"/>
        <v>0</v>
      </c>
      <c r="S79" s="60">
        <f t="shared" si="19"/>
        <v>0</v>
      </c>
      <c r="T79" s="60">
        <f t="shared" si="19"/>
        <v>0</v>
      </c>
      <c r="U79" s="60">
        <f t="shared" si="19"/>
        <v>0</v>
      </c>
      <c r="V79" s="60">
        <f t="shared" si="19"/>
        <v>0</v>
      </c>
      <c r="W79" s="60">
        <f t="shared" si="19"/>
        <v>0</v>
      </c>
      <c r="X79" s="60">
        <f t="shared" si="19"/>
        <v>0</v>
      </c>
      <c r="Y79" s="60">
        <f t="shared" si="19"/>
        <v>0</v>
      </c>
      <c r="Z79" s="60">
        <f t="shared" si="19"/>
        <v>0</v>
      </c>
      <c r="AA79" s="60">
        <f t="shared" si="19"/>
        <v>0</v>
      </c>
      <c r="AB79" s="60">
        <f t="shared" si="19"/>
        <v>0</v>
      </c>
      <c r="AC79" s="60">
        <f t="shared" si="19"/>
        <v>0</v>
      </c>
      <c r="AD79" s="60">
        <f t="shared" si="19"/>
        <v>0</v>
      </c>
      <c r="AE79" s="60">
        <f t="shared" si="19"/>
        <v>0</v>
      </c>
      <c r="AF79" s="60">
        <f t="shared" si="19"/>
        <v>0</v>
      </c>
      <c r="AG79" s="93"/>
      <c r="AH79" s="56">
        <f t="shared" si="17"/>
        <v>0</v>
      </c>
      <c r="AI79" s="57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20">SUM(B75:B80)</f>
        <v>69</v>
      </c>
      <c r="C81" s="74">
        <f t="shared" si="20"/>
        <v>60</v>
      </c>
      <c r="D81" s="74">
        <f t="shared" si="20"/>
        <v>50</v>
      </c>
      <c r="E81" s="74">
        <f t="shared" si="20"/>
        <v>45</v>
      </c>
      <c r="F81" s="74">
        <f t="shared" si="20"/>
        <v>57</v>
      </c>
      <c r="G81" s="74">
        <f t="shared" si="20"/>
        <v>40</v>
      </c>
      <c r="H81" s="74">
        <f t="shared" si="20"/>
        <v>50</v>
      </c>
      <c r="I81" s="74">
        <f t="shared" si="20"/>
        <v>43</v>
      </c>
      <c r="J81" s="74">
        <f t="shared" si="20"/>
        <v>65</v>
      </c>
      <c r="K81" s="74">
        <f t="shared" si="20"/>
        <v>54.2</v>
      </c>
      <c r="L81" s="74">
        <f t="shared" si="20"/>
        <v>55</v>
      </c>
      <c r="M81" s="74">
        <f t="shared" si="20"/>
        <v>58</v>
      </c>
      <c r="N81" s="74">
        <f t="shared" si="20"/>
        <v>77</v>
      </c>
      <c r="O81" s="74">
        <f t="shared" si="20"/>
        <v>54</v>
      </c>
      <c r="P81" s="74">
        <f t="shared" si="20"/>
        <v>47</v>
      </c>
      <c r="Q81" s="74">
        <f t="shared" si="20"/>
        <v>41.6</v>
      </c>
      <c r="R81" s="74">
        <f t="shared" si="20"/>
        <v>50.2</v>
      </c>
      <c r="S81" s="74">
        <f t="shared" si="20"/>
        <v>46.7</v>
      </c>
      <c r="T81" s="74">
        <f t="shared" si="20"/>
        <v>43.7</v>
      </c>
      <c r="U81" s="74">
        <f t="shared" si="20"/>
        <v>42.5</v>
      </c>
      <c r="V81" s="74">
        <f t="shared" si="20"/>
        <v>41</v>
      </c>
      <c r="W81" s="74">
        <f t="shared" si="20"/>
        <v>39.4</v>
      </c>
      <c r="X81" s="74">
        <f t="shared" si="20"/>
        <v>58.1</v>
      </c>
      <c r="Y81" s="74">
        <f t="shared" si="20"/>
        <v>72</v>
      </c>
      <c r="Z81" s="74">
        <f t="shared" si="20"/>
        <v>53</v>
      </c>
      <c r="AA81" s="74">
        <f t="shared" si="20"/>
        <v>68.7</v>
      </c>
      <c r="AB81" s="74">
        <f t="shared" si="20"/>
        <v>90</v>
      </c>
      <c r="AC81" s="74">
        <f t="shared" si="20"/>
        <v>101</v>
      </c>
      <c r="AD81" s="74">
        <f t="shared" si="20"/>
        <v>66.8</v>
      </c>
      <c r="AE81" s="74">
        <f t="shared" si="20"/>
        <v>73.7</v>
      </c>
      <c r="AF81" s="74">
        <f t="shared" si="20"/>
        <v>82.3</v>
      </c>
      <c r="AG81" s="79">
        <f t="shared" si="20"/>
        <v>0</v>
      </c>
      <c r="AH81" s="56">
        <f t="shared" si="17"/>
        <v>101</v>
      </c>
      <c r="AI81" s="57">
        <f t="shared" si="18"/>
        <v>39.4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1">SUM(B69:B81)</f>
        <v>1602.88</v>
      </c>
      <c r="C82" s="74">
        <f t="shared" si="21"/>
        <v>1580.08</v>
      </c>
      <c r="D82" s="74">
        <f t="shared" si="21"/>
        <v>1597.48</v>
      </c>
      <c r="E82" s="74">
        <f t="shared" si="21"/>
        <v>1577.48</v>
      </c>
      <c r="F82" s="74">
        <f t="shared" si="21"/>
        <v>1639.88</v>
      </c>
      <c r="G82" s="74">
        <f t="shared" si="21"/>
        <v>1723.08</v>
      </c>
      <c r="H82" s="74">
        <f t="shared" si="21"/>
        <v>1835.08</v>
      </c>
      <c r="I82" s="74">
        <f t="shared" si="21"/>
        <v>1934.28</v>
      </c>
      <c r="J82" s="74">
        <f t="shared" si="21"/>
        <v>2058.2800000000002</v>
      </c>
      <c r="K82" s="74">
        <f t="shared" si="21"/>
        <v>2070.48</v>
      </c>
      <c r="L82" s="74">
        <f t="shared" si="21"/>
        <v>2122.2800000000002</v>
      </c>
      <c r="M82" s="74">
        <f t="shared" si="21"/>
        <v>2062.88</v>
      </c>
      <c r="N82" s="74">
        <f t="shared" si="21"/>
        <v>2027.88</v>
      </c>
      <c r="O82" s="74">
        <f t="shared" si="21"/>
        <v>1918.6799999999998</v>
      </c>
      <c r="P82" s="74">
        <f t="shared" si="21"/>
        <v>1811.6799999999998</v>
      </c>
      <c r="Q82" s="74">
        <f t="shared" si="21"/>
        <v>1801.4799999999996</v>
      </c>
      <c r="R82" s="74">
        <f t="shared" si="21"/>
        <v>1775.8799999999999</v>
      </c>
      <c r="S82" s="74">
        <f t="shared" si="21"/>
        <v>1806.6799999999998</v>
      </c>
      <c r="T82" s="74">
        <f t="shared" si="21"/>
        <v>1815.2799999999997</v>
      </c>
      <c r="U82" s="74">
        <f t="shared" si="21"/>
        <v>1923.4799999999998</v>
      </c>
      <c r="V82" s="74">
        <f t="shared" si="21"/>
        <v>2152.2800000000002</v>
      </c>
      <c r="W82" s="74">
        <f t="shared" si="21"/>
        <v>2470.88</v>
      </c>
      <c r="X82" s="74">
        <f t="shared" si="21"/>
        <v>2457.08</v>
      </c>
      <c r="Y82" s="74">
        <f t="shared" si="21"/>
        <v>2397.08</v>
      </c>
      <c r="Z82" s="74">
        <f t="shared" si="21"/>
        <v>2280.48</v>
      </c>
      <c r="AA82" s="74">
        <f t="shared" si="21"/>
        <v>2146.8799999999997</v>
      </c>
      <c r="AB82" s="74">
        <f t="shared" si="21"/>
        <v>2055.2800000000002</v>
      </c>
      <c r="AC82" s="74">
        <f t="shared" si="21"/>
        <v>1976.08</v>
      </c>
      <c r="AD82" s="74">
        <f t="shared" si="21"/>
        <v>1629.0799999999997</v>
      </c>
      <c r="AE82" s="74">
        <f t="shared" si="21"/>
        <v>1531.68</v>
      </c>
      <c r="AF82" s="74">
        <f t="shared" si="21"/>
        <v>1515.2799999999997</v>
      </c>
      <c r="AG82" s="79">
        <f t="shared" si="21"/>
        <v>4338.08</v>
      </c>
      <c r="AH82" s="56">
        <f t="shared" si="17"/>
        <v>2470.88</v>
      </c>
      <c r="AI82" s="57">
        <f t="shared" si="18"/>
        <v>1515.2799999999997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49.91</v>
      </c>
      <c r="C83" s="96">
        <v>49.91</v>
      </c>
      <c r="D83" s="96">
        <v>49.91</v>
      </c>
      <c r="E83" s="96">
        <v>49.91</v>
      </c>
      <c r="F83" s="96">
        <v>50.104999999999997</v>
      </c>
      <c r="G83" s="96">
        <v>50.104999999999997</v>
      </c>
      <c r="H83" s="96">
        <v>50.104999999999997</v>
      </c>
      <c r="I83" s="96">
        <v>50.073</v>
      </c>
      <c r="J83" s="96">
        <v>49.972999999999999</v>
      </c>
      <c r="K83" s="96">
        <v>50.04</v>
      </c>
      <c r="L83" s="96">
        <v>50.03</v>
      </c>
      <c r="M83" s="96">
        <v>50.01</v>
      </c>
      <c r="N83" s="96">
        <v>50.1</v>
      </c>
      <c r="O83" s="96">
        <v>49.96</v>
      </c>
      <c r="P83" s="96">
        <v>49.92</v>
      </c>
      <c r="Q83" s="96">
        <v>49.88</v>
      </c>
      <c r="R83" s="96">
        <v>49.844000000000001</v>
      </c>
      <c r="S83" s="96">
        <v>49.945</v>
      </c>
      <c r="T83" s="96">
        <v>49.965000000000003</v>
      </c>
      <c r="U83" s="96">
        <v>49.957000000000001</v>
      </c>
      <c r="V83" s="96">
        <v>49.942999999999998</v>
      </c>
      <c r="W83" s="96">
        <v>50.06</v>
      </c>
      <c r="X83" s="96">
        <v>50.036999999999999</v>
      </c>
      <c r="Y83" s="96">
        <v>50.103000000000002</v>
      </c>
      <c r="Z83" s="96">
        <v>49.996000000000002</v>
      </c>
      <c r="AA83" s="96">
        <v>49.954000000000001</v>
      </c>
      <c r="AB83" s="96">
        <v>49.954000000000001</v>
      </c>
      <c r="AC83" s="96">
        <v>50.01</v>
      </c>
      <c r="AD83" s="96">
        <v>50.027999999999999</v>
      </c>
      <c r="AE83" s="96">
        <v>50.006999999999998</v>
      </c>
      <c r="AF83" s="97">
        <v>49.895000000000003</v>
      </c>
      <c r="AG83" s="98"/>
      <c r="AH83" s="56">
        <f t="shared" si="17"/>
        <v>50.104999999999997</v>
      </c>
      <c r="AI83" s="57">
        <f t="shared" si="18"/>
        <v>49.844000000000001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100">
        <v>129.80000000000001</v>
      </c>
      <c r="C84" s="100">
        <v>129.80000000000001</v>
      </c>
      <c r="D84" s="100">
        <v>129.80000000000001</v>
      </c>
      <c r="E84" s="100">
        <v>129.80000000000001</v>
      </c>
      <c r="F84" s="52">
        <v>130</v>
      </c>
      <c r="G84" s="52">
        <v>130</v>
      </c>
      <c r="H84" s="52">
        <v>130</v>
      </c>
      <c r="I84" s="52">
        <v>128</v>
      </c>
      <c r="J84" s="52">
        <v>127</v>
      </c>
      <c r="K84" s="52">
        <v>127.4</v>
      </c>
      <c r="L84" s="52">
        <v>127.1</v>
      </c>
      <c r="M84" s="52">
        <v>126.4</v>
      </c>
      <c r="N84" s="52">
        <v>127.7</v>
      </c>
      <c r="O84" s="52">
        <v>127.3</v>
      </c>
      <c r="P84" s="52">
        <v>127.4</v>
      </c>
      <c r="Q84" s="52">
        <v>125.9</v>
      </c>
      <c r="R84" s="52">
        <v>125.4</v>
      </c>
      <c r="S84" s="52">
        <v>125.8</v>
      </c>
      <c r="T84" s="100">
        <v>127.5</v>
      </c>
      <c r="U84" s="100">
        <v>127.6</v>
      </c>
      <c r="V84" s="100">
        <v>127.6</v>
      </c>
      <c r="W84" s="100">
        <v>127.6</v>
      </c>
      <c r="X84" s="100">
        <v>127.2</v>
      </c>
      <c r="Y84" s="100">
        <v>127.6</v>
      </c>
      <c r="Z84" s="100">
        <v>128.30000000000001</v>
      </c>
      <c r="AA84" s="52">
        <v>128.69999999999999</v>
      </c>
      <c r="AB84" s="52">
        <v>128.69999999999999</v>
      </c>
      <c r="AC84" s="52">
        <v>129.4</v>
      </c>
      <c r="AD84" s="52">
        <v>130.1</v>
      </c>
      <c r="AE84" s="52">
        <v>130.6</v>
      </c>
      <c r="AF84" s="101">
        <v>129.9</v>
      </c>
      <c r="AG84" s="102"/>
      <c r="AH84" s="56">
        <f t="shared" si="17"/>
        <v>130.6</v>
      </c>
      <c r="AI84" s="57">
        <f t="shared" si="18"/>
        <v>125.4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0">
        <v>132.5</v>
      </c>
      <c r="C85" s="100">
        <v>132.5</v>
      </c>
      <c r="D85" s="100">
        <v>132.5</v>
      </c>
      <c r="E85" s="100">
        <v>132.5</v>
      </c>
      <c r="F85" s="52">
        <v>132.69999999999999</v>
      </c>
      <c r="G85" s="52">
        <v>132.69999999999999</v>
      </c>
      <c r="H85" s="52">
        <v>132.69999999999999</v>
      </c>
      <c r="I85" s="52">
        <v>130</v>
      </c>
      <c r="J85" s="52">
        <v>129</v>
      </c>
      <c r="K85" s="52">
        <v>128.9</v>
      </c>
      <c r="L85" s="52">
        <v>128.69999999999999</v>
      </c>
      <c r="M85" s="52">
        <v>128</v>
      </c>
      <c r="N85" s="52">
        <v>129.6</v>
      </c>
      <c r="O85" s="52">
        <v>129.19999999999999</v>
      </c>
      <c r="P85" s="52">
        <v>129.30000000000001</v>
      </c>
      <c r="Q85" s="52">
        <v>127.7</v>
      </c>
      <c r="R85" s="52">
        <v>127.3</v>
      </c>
      <c r="S85" s="52">
        <v>127.5</v>
      </c>
      <c r="T85" s="100">
        <v>129.5</v>
      </c>
      <c r="U85" s="100">
        <v>129.69999999999999</v>
      </c>
      <c r="V85" s="100">
        <v>130.1</v>
      </c>
      <c r="W85" s="100">
        <v>129.69999999999999</v>
      </c>
      <c r="X85" s="100">
        <v>129.30000000000001</v>
      </c>
      <c r="Y85" s="100">
        <v>129.69999999999999</v>
      </c>
      <c r="Z85" s="100">
        <v>130.6</v>
      </c>
      <c r="AA85" s="52">
        <v>131</v>
      </c>
      <c r="AB85" s="52">
        <v>131</v>
      </c>
      <c r="AC85" s="52">
        <v>131.80000000000001</v>
      </c>
      <c r="AD85" s="52">
        <v>132.5</v>
      </c>
      <c r="AE85" s="52">
        <v>133.1</v>
      </c>
      <c r="AF85" s="101">
        <v>132.30000000000001</v>
      </c>
      <c r="AG85" s="102"/>
      <c r="AH85" s="56">
        <f t="shared" si="17"/>
        <v>133.1</v>
      </c>
      <c r="AI85" s="57">
        <f t="shared" si="18"/>
        <v>127.3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0">
        <v>131.1</v>
      </c>
      <c r="C86" s="100">
        <v>131.1</v>
      </c>
      <c r="D86" s="100">
        <v>131.1</v>
      </c>
      <c r="E86" s="100">
        <v>131.1</v>
      </c>
      <c r="F86" s="52">
        <v>130</v>
      </c>
      <c r="G86" s="52">
        <v>130</v>
      </c>
      <c r="H86" s="52">
        <v>130</v>
      </c>
      <c r="I86" s="52">
        <v>129</v>
      </c>
      <c r="J86" s="52">
        <v>128</v>
      </c>
      <c r="K86" s="52">
        <v>127.9</v>
      </c>
      <c r="L86" s="52">
        <v>128</v>
      </c>
      <c r="M86" s="52">
        <v>128.19999999999999</v>
      </c>
      <c r="N86" s="52">
        <v>128.69999999999999</v>
      </c>
      <c r="O86" s="52">
        <v>128.69999999999999</v>
      </c>
      <c r="P86" s="52">
        <v>129.30000000000001</v>
      </c>
      <c r="Q86" s="52">
        <v>129.80000000000001</v>
      </c>
      <c r="R86" s="52">
        <v>130.1</v>
      </c>
      <c r="S86" s="52">
        <v>128.30000000000001</v>
      </c>
      <c r="T86" s="52">
        <v>129.4</v>
      </c>
      <c r="U86" s="52">
        <v>129.69999999999999</v>
      </c>
      <c r="V86" s="52">
        <v>128.9</v>
      </c>
      <c r="W86" s="52">
        <v>129.69999999999999</v>
      </c>
      <c r="X86" s="100">
        <v>129.69999999999999</v>
      </c>
      <c r="Y86" s="100">
        <v>129.30000000000001</v>
      </c>
      <c r="Z86" s="100">
        <v>129.4</v>
      </c>
      <c r="AA86" s="52">
        <v>130.4</v>
      </c>
      <c r="AB86" s="52">
        <v>130.4</v>
      </c>
      <c r="AC86" s="52">
        <v>131.5</v>
      </c>
      <c r="AD86" s="52">
        <v>131.5</v>
      </c>
      <c r="AE86" s="52">
        <v>130.19999999999999</v>
      </c>
      <c r="AF86" s="101">
        <v>130</v>
      </c>
      <c r="AG86" s="102"/>
      <c r="AH86" s="56">
        <f t="shared" si="17"/>
        <v>131.5</v>
      </c>
      <c r="AI86" s="57">
        <f t="shared" si="18"/>
        <v>127.9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100">
        <v>134.80000000000001</v>
      </c>
      <c r="C87" s="100">
        <v>134.80000000000001</v>
      </c>
      <c r="D87" s="100">
        <v>134.80000000000001</v>
      </c>
      <c r="E87" s="100">
        <v>134.80000000000001</v>
      </c>
      <c r="F87" s="52">
        <v>135</v>
      </c>
      <c r="G87" s="52">
        <v>135</v>
      </c>
      <c r="H87" s="52">
        <v>135</v>
      </c>
      <c r="I87" s="52">
        <v>133</v>
      </c>
      <c r="J87" s="52">
        <v>131</v>
      </c>
      <c r="K87" s="52">
        <v>130.69999999999999</v>
      </c>
      <c r="L87" s="52">
        <v>130.19999999999999</v>
      </c>
      <c r="M87" s="52">
        <v>130.30000000000001</v>
      </c>
      <c r="N87" s="52">
        <v>131.19999999999999</v>
      </c>
      <c r="O87" s="52">
        <v>130.9</v>
      </c>
      <c r="P87" s="52">
        <v>131.5</v>
      </c>
      <c r="Q87" s="52">
        <v>132.4</v>
      </c>
      <c r="R87" s="52">
        <v>132.4</v>
      </c>
      <c r="S87" s="52">
        <v>131.19999999999999</v>
      </c>
      <c r="T87" s="52">
        <v>132.1</v>
      </c>
      <c r="U87" s="52">
        <v>132.1</v>
      </c>
      <c r="V87" s="52">
        <v>131.19999999999999</v>
      </c>
      <c r="W87" s="52">
        <v>132.1</v>
      </c>
      <c r="X87" s="100">
        <v>134.1</v>
      </c>
      <c r="Y87" s="100">
        <v>132.1</v>
      </c>
      <c r="Z87" s="100">
        <v>132.6</v>
      </c>
      <c r="AA87" s="52">
        <v>133.69999999999999</v>
      </c>
      <c r="AB87" s="52">
        <v>133.69999999999999</v>
      </c>
      <c r="AC87" s="52">
        <v>135.4</v>
      </c>
      <c r="AD87" s="52">
        <v>134</v>
      </c>
      <c r="AE87" s="52">
        <v>132.9</v>
      </c>
      <c r="AF87" s="101">
        <v>132.9</v>
      </c>
      <c r="AG87" s="102"/>
      <c r="AH87" s="56">
        <f t="shared" si="17"/>
        <v>135.4</v>
      </c>
      <c r="AI87" s="57">
        <f t="shared" si="18"/>
        <v>130.19999999999999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0">
        <v>131.80000000000001</v>
      </c>
      <c r="C88" s="100">
        <v>131.80000000000001</v>
      </c>
      <c r="D88" s="100">
        <v>131.80000000000001</v>
      </c>
      <c r="E88" s="100">
        <v>131.80000000000001</v>
      </c>
      <c r="F88" s="104">
        <v>134</v>
      </c>
      <c r="G88" s="104">
        <v>134</v>
      </c>
      <c r="H88" s="104">
        <v>134</v>
      </c>
      <c r="I88" s="104">
        <v>130</v>
      </c>
      <c r="J88" s="104">
        <v>132</v>
      </c>
      <c r="K88" s="104">
        <v>132.30000000000001</v>
      </c>
      <c r="L88" s="104">
        <v>132</v>
      </c>
      <c r="M88" s="104">
        <v>131.19999999999999</v>
      </c>
      <c r="N88" s="104">
        <v>134.30000000000001</v>
      </c>
      <c r="O88" s="104">
        <v>133.4</v>
      </c>
      <c r="P88" s="104">
        <v>133.1</v>
      </c>
      <c r="Q88" s="104">
        <v>131.30000000000001</v>
      </c>
      <c r="R88" s="104">
        <v>132.80000000000001</v>
      </c>
      <c r="S88" s="104">
        <v>133.1</v>
      </c>
      <c r="T88" s="104">
        <v>133.5</v>
      </c>
      <c r="U88" s="104">
        <v>135</v>
      </c>
      <c r="V88" s="104">
        <v>133.69999999999999</v>
      </c>
      <c r="W88" s="104">
        <v>135</v>
      </c>
      <c r="X88" s="100">
        <v>135.4</v>
      </c>
      <c r="Y88" s="100">
        <v>133.4</v>
      </c>
      <c r="Z88" s="100">
        <v>135.5</v>
      </c>
      <c r="AA88" s="104">
        <v>136</v>
      </c>
      <c r="AB88" s="104">
        <v>136</v>
      </c>
      <c r="AC88" s="104">
        <v>135.30000000000001</v>
      </c>
      <c r="AD88" s="104">
        <v>136.19999999999999</v>
      </c>
      <c r="AE88" s="104">
        <v>132.19999999999999</v>
      </c>
      <c r="AF88" s="105">
        <v>130.80000000000001</v>
      </c>
      <c r="AG88" s="106"/>
      <c r="AH88" s="56">
        <f t="shared" si="17"/>
        <v>136.19999999999999</v>
      </c>
      <c r="AI88" s="57">
        <f t="shared" si="18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100">
        <v>133.6</v>
      </c>
      <c r="C89" s="100">
        <v>133.6</v>
      </c>
      <c r="D89" s="100">
        <v>133.6</v>
      </c>
      <c r="E89" s="100">
        <v>133.6</v>
      </c>
      <c r="F89" s="52">
        <v>135</v>
      </c>
      <c r="G89" s="52">
        <v>135</v>
      </c>
      <c r="H89" s="52">
        <v>135</v>
      </c>
      <c r="I89" s="52">
        <v>130</v>
      </c>
      <c r="J89" s="52">
        <v>130</v>
      </c>
      <c r="K89" s="52">
        <v>129</v>
      </c>
      <c r="L89" s="52">
        <v>128.80000000000001</v>
      </c>
      <c r="M89" s="52">
        <v>130.1</v>
      </c>
      <c r="N89" s="52">
        <v>132.30000000000001</v>
      </c>
      <c r="O89" s="52">
        <v>132.30000000000001</v>
      </c>
      <c r="P89" s="52">
        <v>134</v>
      </c>
      <c r="Q89" s="52">
        <v>129.6</v>
      </c>
      <c r="R89" s="52">
        <v>129.19999999999999</v>
      </c>
      <c r="S89" s="52">
        <v>130.9</v>
      </c>
      <c r="T89" s="52">
        <v>129.80000000000001</v>
      </c>
      <c r="U89" s="52">
        <v>131.69999999999999</v>
      </c>
      <c r="V89" s="52">
        <v>133</v>
      </c>
      <c r="W89" s="52">
        <v>131.69999999999999</v>
      </c>
      <c r="X89" s="100">
        <v>134.9</v>
      </c>
      <c r="Y89" s="100">
        <v>134.19999999999999</v>
      </c>
      <c r="Z89" s="100">
        <v>137.5</v>
      </c>
      <c r="AA89" s="52">
        <v>135.4</v>
      </c>
      <c r="AB89" s="52">
        <v>135.4</v>
      </c>
      <c r="AC89" s="52">
        <v>135</v>
      </c>
      <c r="AD89" s="52">
        <v>135.5</v>
      </c>
      <c r="AE89" s="52">
        <v>132.9</v>
      </c>
      <c r="AF89" s="101">
        <v>131.69999999999999</v>
      </c>
      <c r="AG89" s="102"/>
      <c r="AH89" s="56">
        <f t="shared" si="17"/>
        <v>137.5</v>
      </c>
      <c r="AI89" s="57">
        <f t="shared" si="18"/>
        <v>128.80000000000001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67.400000000000006</v>
      </c>
      <c r="C90" s="107">
        <v>67.400000000000006</v>
      </c>
      <c r="D90" s="107">
        <v>67.400000000000006</v>
      </c>
      <c r="E90" s="107">
        <v>67.400000000000006</v>
      </c>
      <c r="F90" s="107">
        <v>67.5</v>
      </c>
      <c r="G90" s="107">
        <v>67.5</v>
      </c>
      <c r="H90" s="107">
        <v>67.5</v>
      </c>
      <c r="I90" s="107">
        <v>66</v>
      </c>
      <c r="J90" s="107">
        <v>65.400000000000006</v>
      </c>
      <c r="K90" s="107">
        <v>65.400000000000006</v>
      </c>
      <c r="L90" s="107">
        <v>65.5</v>
      </c>
      <c r="M90" s="107">
        <v>65.3</v>
      </c>
      <c r="N90" s="107">
        <v>65.900000000000006</v>
      </c>
      <c r="O90" s="107">
        <v>65.8</v>
      </c>
      <c r="P90" s="107">
        <v>65.7</v>
      </c>
      <c r="Q90" s="107">
        <v>65</v>
      </c>
      <c r="R90" s="107">
        <v>64.7</v>
      </c>
      <c r="S90" s="107">
        <v>65</v>
      </c>
      <c r="T90" s="107">
        <v>65.900000000000006</v>
      </c>
      <c r="U90" s="107">
        <v>66</v>
      </c>
      <c r="V90" s="107">
        <v>66.099999999999994</v>
      </c>
      <c r="W90" s="107">
        <v>66</v>
      </c>
      <c r="X90" s="107">
        <v>65.900000000000006</v>
      </c>
      <c r="Y90" s="107">
        <v>66.099999999999994</v>
      </c>
      <c r="Z90" s="107">
        <v>66.599999999999994</v>
      </c>
      <c r="AA90" s="107">
        <v>66.900000000000006</v>
      </c>
      <c r="AB90" s="107">
        <v>66.900000000000006</v>
      </c>
      <c r="AC90" s="107">
        <v>67.2</v>
      </c>
      <c r="AD90" s="107">
        <v>67.3</v>
      </c>
      <c r="AE90" s="107">
        <v>67.7</v>
      </c>
      <c r="AF90" s="108">
        <v>67.400000000000006</v>
      </c>
      <c r="AG90" s="109"/>
      <c r="AH90" s="56">
        <f t="shared" si="17"/>
        <v>67.7</v>
      </c>
      <c r="AI90" s="57">
        <f t="shared" si="18"/>
        <v>64.7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124.03999999999998</v>
      </c>
      <c r="C92" s="114">
        <f t="shared" ref="C92:AF92" si="22">SUM(C15,C18,C21:C22,C41,C43:C44,C46,C48,C93:C96,C101,C107,C113,C122,C124,C136,C143,C146:C147,C154,C156,C158,C162:C164,C166:C168,C173,C179:C180,C182:C184,C192,C197)</f>
        <v>121.74</v>
      </c>
      <c r="D92" s="114">
        <f t="shared" si="22"/>
        <v>120.74</v>
      </c>
      <c r="E92" s="114">
        <f t="shared" si="22"/>
        <v>121.74</v>
      </c>
      <c r="F92" s="115">
        <f t="shared" si="22"/>
        <v>129.03999999999996</v>
      </c>
      <c r="G92" s="115">
        <f t="shared" si="22"/>
        <v>141.63999999999996</v>
      </c>
      <c r="H92" s="115">
        <f t="shared" si="22"/>
        <v>188.43999999999997</v>
      </c>
      <c r="I92" s="115">
        <f t="shared" si="22"/>
        <v>219.33999999999997</v>
      </c>
      <c r="J92" s="115">
        <f t="shared" si="22"/>
        <v>246.33999999999997</v>
      </c>
      <c r="K92" s="115">
        <f t="shared" si="22"/>
        <v>270.94</v>
      </c>
      <c r="L92" s="115">
        <f t="shared" si="22"/>
        <v>282.14</v>
      </c>
      <c r="M92" s="115">
        <f t="shared" si="22"/>
        <v>270.54000000000002</v>
      </c>
      <c r="N92" s="115">
        <f t="shared" si="22"/>
        <v>258.6400000000001</v>
      </c>
      <c r="O92" s="115">
        <f t="shared" si="22"/>
        <v>259.94000000000005</v>
      </c>
      <c r="P92" s="115">
        <f t="shared" si="22"/>
        <v>237.13999999999993</v>
      </c>
      <c r="Q92" s="115">
        <f t="shared" si="22"/>
        <v>214.73999999999998</v>
      </c>
      <c r="R92" s="115">
        <f t="shared" si="22"/>
        <v>219.33999999999997</v>
      </c>
      <c r="S92" s="115">
        <f t="shared" si="22"/>
        <v>223.14000000000001</v>
      </c>
      <c r="T92" s="115">
        <f t="shared" si="22"/>
        <v>238.64</v>
      </c>
      <c r="U92" s="115">
        <f t="shared" si="22"/>
        <v>254.74</v>
      </c>
      <c r="V92" s="115">
        <f t="shared" si="22"/>
        <v>285.74000000000007</v>
      </c>
      <c r="W92" s="115">
        <f t="shared" si="22"/>
        <v>333.34000000000003</v>
      </c>
      <c r="X92" s="115">
        <f t="shared" si="22"/>
        <v>330.14000000000004</v>
      </c>
      <c r="Y92" s="115">
        <f t="shared" si="22"/>
        <v>311.04000000000008</v>
      </c>
      <c r="Z92" s="115">
        <f t="shared" si="22"/>
        <v>294.34000000000003</v>
      </c>
      <c r="AA92" s="115">
        <f t="shared" si="22"/>
        <v>273.54000000000008</v>
      </c>
      <c r="AB92" s="115">
        <f t="shared" si="22"/>
        <v>264.34000000000003</v>
      </c>
      <c r="AC92" s="115">
        <f t="shared" si="22"/>
        <v>226.54</v>
      </c>
      <c r="AD92" s="115">
        <f t="shared" si="22"/>
        <v>175.04</v>
      </c>
      <c r="AE92" s="115">
        <f t="shared" si="22"/>
        <v>144.83999999999997</v>
      </c>
      <c r="AF92" s="115">
        <f t="shared" si="22"/>
        <v>122.53999999999998</v>
      </c>
      <c r="AG92" s="116"/>
      <c r="AH92" s="56">
        <f>MAX(B92:AF92)</f>
        <v>333.34000000000003</v>
      </c>
      <c r="AI92" s="57">
        <f>MIN(B92:AF92)</f>
        <v>120.74</v>
      </c>
    </row>
    <row r="93" spans="1:88" x14ac:dyDescent="0.25">
      <c r="A93" s="117" t="s">
        <v>96</v>
      </c>
      <c r="B93" s="118">
        <v>18.2</v>
      </c>
      <c r="C93" s="60">
        <v>14</v>
      </c>
      <c r="D93" s="60">
        <v>14</v>
      </c>
      <c r="E93" s="60">
        <v>14</v>
      </c>
      <c r="F93" s="118">
        <v>24</v>
      </c>
      <c r="G93" s="118">
        <v>25</v>
      </c>
      <c r="H93" s="118">
        <v>19</v>
      </c>
      <c r="I93" s="118">
        <v>2.5</v>
      </c>
      <c r="J93" s="118">
        <v>3.9</v>
      </c>
      <c r="K93" s="118">
        <v>9.6999999999999993</v>
      </c>
      <c r="L93" s="54">
        <v>13.9</v>
      </c>
      <c r="M93" s="118">
        <v>20.9</v>
      </c>
      <c r="N93" s="118">
        <v>29.9</v>
      </c>
      <c r="O93" s="118">
        <v>29</v>
      </c>
      <c r="P93" s="118">
        <v>20.2</v>
      </c>
      <c r="Q93" s="118">
        <v>21.6</v>
      </c>
      <c r="R93" s="118">
        <v>15.7</v>
      </c>
      <c r="S93" s="118">
        <v>11.3</v>
      </c>
      <c r="T93" s="54">
        <v>3.2</v>
      </c>
      <c r="U93" s="54">
        <v>7.6</v>
      </c>
      <c r="V93" s="54">
        <v>13.5</v>
      </c>
      <c r="W93" s="118">
        <v>19.399999999999999</v>
      </c>
      <c r="X93" s="118">
        <v>24.7</v>
      </c>
      <c r="Y93" s="118">
        <v>33.299999999999997</v>
      </c>
      <c r="Z93" s="118">
        <v>36.200000000000003</v>
      </c>
      <c r="AA93" s="54">
        <v>43.5</v>
      </c>
      <c r="AB93" s="54">
        <v>43.5</v>
      </c>
      <c r="AC93" s="54">
        <v>36.1</v>
      </c>
      <c r="AD93" s="54">
        <v>21</v>
      </c>
      <c r="AE93" s="54">
        <v>16.2</v>
      </c>
      <c r="AF93" s="119">
        <v>14.3</v>
      </c>
      <c r="AG93" s="120">
        <v>75</v>
      </c>
      <c r="AH93" s="56">
        <f t="shared" ref="AH93:AH98" si="23">IF(ABS(MAX(B93:AF93))&gt;ABS(MIN(B93:AF93)),MAX(B93:AF93),MIN(B93:AF93))</f>
        <v>43.5</v>
      </c>
      <c r="AI93" s="121">
        <f t="shared" ref="AI93:AI98" si="24">INDEX($B$9:$AF$9,1,MATCH(AH93,B93:AF93,0))</f>
        <v>0.83333333333333337</v>
      </c>
    </row>
    <row r="94" spans="1:88" x14ac:dyDescent="0.25">
      <c r="A94" s="122" t="s">
        <v>97</v>
      </c>
      <c r="B94" s="62">
        <f>-25.2-30.2</f>
        <v>-55.4</v>
      </c>
      <c r="C94" s="62">
        <v>-54</v>
      </c>
      <c r="D94" s="62">
        <v>-55</v>
      </c>
      <c r="E94" s="62">
        <v>-54</v>
      </c>
      <c r="F94" s="62">
        <f>-24.8-29.1</f>
        <v>-53.900000000000006</v>
      </c>
      <c r="G94" s="62">
        <f>-24.8-29.1</f>
        <v>-53.900000000000006</v>
      </c>
      <c r="H94" s="62">
        <v>-38</v>
      </c>
      <c r="I94" s="62">
        <v>-32</v>
      </c>
      <c r="J94" s="62">
        <v>-25</v>
      </c>
      <c r="K94" s="62">
        <f>-4-5.4</f>
        <v>-9.4</v>
      </c>
      <c r="L94" s="62">
        <f>-6.4-8.4</f>
        <v>-14.8</v>
      </c>
      <c r="M94" s="62">
        <f>9.8+12.2</f>
        <v>22</v>
      </c>
      <c r="N94" s="62">
        <v>-21</v>
      </c>
      <c r="O94" s="62">
        <f>-4.8-6.6</f>
        <v>-11.399999999999999</v>
      </c>
      <c r="P94" s="62">
        <f>-3.1-3.4</f>
        <v>-6.5</v>
      </c>
      <c r="Q94" s="62">
        <f>1.9+2.6</f>
        <v>4.5</v>
      </c>
      <c r="R94" s="62">
        <v>17</v>
      </c>
      <c r="S94" s="62">
        <v>13</v>
      </c>
      <c r="T94" s="62">
        <v>-7</v>
      </c>
      <c r="U94" s="62">
        <v>-11.5</v>
      </c>
      <c r="V94" s="62">
        <v>-18.2</v>
      </c>
      <c r="W94" s="62">
        <v>-9.4</v>
      </c>
      <c r="X94" s="62">
        <v>-12</v>
      </c>
      <c r="Y94" s="62">
        <v>-21.6</v>
      </c>
      <c r="Z94" s="62">
        <v>-27</v>
      </c>
      <c r="AA94" s="52">
        <v>-34</v>
      </c>
      <c r="AB94" s="52">
        <v>-34</v>
      </c>
      <c r="AC94" s="52">
        <v>-45</v>
      </c>
      <c r="AD94" s="52">
        <v>-40</v>
      </c>
      <c r="AE94" s="52">
        <v>-45</v>
      </c>
      <c r="AF94" s="123">
        <v>-52</v>
      </c>
      <c r="AG94" s="120">
        <v>240</v>
      </c>
      <c r="AH94" s="56">
        <f t="shared" si="23"/>
        <v>-55.4</v>
      </c>
      <c r="AI94" s="121">
        <f t="shared" si="24"/>
        <v>4.1666666666666664E-2</v>
      </c>
    </row>
    <row r="95" spans="1:88" x14ac:dyDescent="0.25">
      <c r="A95" s="122" t="s">
        <v>98</v>
      </c>
      <c r="B95" s="62">
        <v>0.4</v>
      </c>
      <c r="C95" s="62">
        <v>-0.8</v>
      </c>
      <c r="D95" s="62">
        <v>-0.8</v>
      </c>
      <c r="E95" s="62">
        <v>-0.8</v>
      </c>
      <c r="F95" s="62">
        <v>2</v>
      </c>
      <c r="G95" s="62">
        <v>2</v>
      </c>
      <c r="H95" s="62">
        <v>6</v>
      </c>
      <c r="I95" s="62">
        <v>6.4</v>
      </c>
      <c r="J95" s="62">
        <v>9</v>
      </c>
      <c r="K95" s="62">
        <v>17.7</v>
      </c>
      <c r="L95" s="62">
        <v>21.6</v>
      </c>
      <c r="M95" s="62">
        <v>26.8</v>
      </c>
      <c r="N95" s="62">
        <v>15.9</v>
      </c>
      <c r="O95" s="62">
        <v>16.899999999999999</v>
      </c>
      <c r="P95" s="62">
        <v>17.100000000000001</v>
      </c>
      <c r="Q95" s="62">
        <v>17.5</v>
      </c>
      <c r="R95" s="62">
        <v>16.3</v>
      </c>
      <c r="S95" s="62">
        <v>17.399999999999999</v>
      </c>
      <c r="T95" s="62">
        <v>14</v>
      </c>
      <c r="U95" s="62">
        <v>14</v>
      </c>
      <c r="V95" s="62">
        <v>14.6</v>
      </c>
      <c r="W95" s="62">
        <v>19.100000000000001</v>
      </c>
      <c r="X95" s="62">
        <v>18.5</v>
      </c>
      <c r="Y95" s="62">
        <v>16.7</v>
      </c>
      <c r="Z95" s="62">
        <v>14</v>
      </c>
      <c r="AA95" s="52">
        <v>14.3</v>
      </c>
      <c r="AB95" s="52">
        <v>14.3</v>
      </c>
      <c r="AC95" s="52">
        <v>7.9</v>
      </c>
      <c r="AD95" s="52">
        <v>5.3</v>
      </c>
      <c r="AE95" s="52">
        <v>4.9000000000000004</v>
      </c>
      <c r="AF95" s="123">
        <v>-0.5</v>
      </c>
      <c r="AG95" s="120">
        <v>60</v>
      </c>
      <c r="AH95" s="56">
        <f t="shared" si="23"/>
        <v>26.8</v>
      </c>
      <c r="AI95" s="121">
        <f t="shared" si="24"/>
        <v>0.375</v>
      </c>
    </row>
    <row r="96" spans="1:88" x14ac:dyDescent="0.25">
      <c r="A96" s="124" t="s">
        <v>99</v>
      </c>
      <c r="B96" s="65">
        <v>-4</v>
      </c>
      <c r="C96" s="65">
        <v>-2.2999999999999998</v>
      </c>
      <c r="D96" s="65">
        <v>-2.2999999999999998</v>
      </c>
      <c r="E96" s="65">
        <v>-2.2999999999999998</v>
      </c>
      <c r="F96" s="65">
        <v>-7.9</v>
      </c>
      <c r="G96" s="65">
        <v>-7.9</v>
      </c>
      <c r="H96" s="65">
        <v>14</v>
      </c>
      <c r="I96" s="65">
        <v>35</v>
      </c>
      <c r="J96" s="65">
        <v>51</v>
      </c>
      <c r="K96" s="65">
        <v>55.4</v>
      </c>
      <c r="L96" s="65">
        <v>49.6</v>
      </c>
      <c r="M96" s="65">
        <v>0</v>
      </c>
      <c r="N96" s="65">
        <v>22.8</v>
      </c>
      <c r="O96" s="65">
        <v>35.299999999999997</v>
      </c>
      <c r="P96" s="65">
        <v>36.299999999999997</v>
      </c>
      <c r="Q96" s="65">
        <v>0</v>
      </c>
      <c r="R96" s="65">
        <v>0</v>
      </c>
      <c r="S96" s="65">
        <v>0</v>
      </c>
      <c r="T96" s="65">
        <v>47</v>
      </c>
      <c r="U96" s="65">
        <v>53.4</v>
      </c>
      <c r="V96" s="65">
        <v>54.9</v>
      </c>
      <c r="W96" s="65">
        <v>78.400000000000006</v>
      </c>
      <c r="X96" s="65">
        <v>70</v>
      </c>
      <c r="Y96" s="65">
        <v>53.7</v>
      </c>
      <c r="Z96" s="65">
        <v>43.9</v>
      </c>
      <c r="AA96" s="125">
        <v>22.3</v>
      </c>
      <c r="AB96" s="125">
        <v>22.3</v>
      </c>
      <c r="AC96" s="125">
        <v>8.9</v>
      </c>
      <c r="AD96" s="125">
        <v>10.5</v>
      </c>
      <c r="AE96" s="125">
        <v>-2.6</v>
      </c>
      <c r="AF96" s="126">
        <v>-1.6</v>
      </c>
      <c r="AG96" s="127">
        <v>120</v>
      </c>
      <c r="AH96" s="56">
        <f t="shared" si="23"/>
        <v>78.400000000000006</v>
      </c>
      <c r="AI96" s="121">
        <f t="shared" si="24"/>
        <v>0.75</v>
      </c>
    </row>
    <row r="97" spans="1:37" x14ac:dyDescent="0.25">
      <c r="A97" s="124" t="s">
        <v>100</v>
      </c>
      <c r="B97" s="65">
        <v>14.4</v>
      </c>
      <c r="C97" s="65">
        <v>16.399999999999999</v>
      </c>
      <c r="D97" s="65">
        <v>16.399999999999999</v>
      </c>
      <c r="E97" s="65">
        <v>16.399999999999999</v>
      </c>
      <c r="F97" s="65">
        <v>14</v>
      </c>
      <c r="G97" s="65">
        <v>14</v>
      </c>
      <c r="H97" s="65">
        <v>23</v>
      </c>
      <c r="I97" s="65">
        <v>38</v>
      </c>
      <c r="J97" s="65">
        <v>45</v>
      </c>
      <c r="K97" s="65">
        <v>45.3</v>
      </c>
      <c r="L97" s="65">
        <v>44.1</v>
      </c>
      <c r="M97" s="65">
        <v>65.099999999999994</v>
      </c>
      <c r="N97" s="65">
        <v>23.9</v>
      </c>
      <c r="O97" s="65">
        <v>30.8</v>
      </c>
      <c r="P97" s="65">
        <v>36.5</v>
      </c>
      <c r="Q97" s="65">
        <v>45.7</v>
      </c>
      <c r="R97" s="65">
        <v>62.5</v>
      </c>
      <c r="S97" s="65">
        <v>63.6</v>
      </c>
      <c r="T97" s="65">
        <v>46.9</v>
      </c>
      <c r="U97" s="65">
        <v>49.2</v>
      </c>
      <c r="V97" s="65">
        <v>47.4</v>
      </c>
      <c r="W97" s="65">
        <v>60.9</v>
      </c>
      <c r="X97" s="65">
        <v>53.7</v>
      </c>
      <c r="Y97" s="65">
        <v>41.3</v>
      </c>
      <c r="Z97" s="65">
        <v>33.799999999999997</v>
      </c>
      <c r="AA97" s="125">
        <v>22.6</v>
      </c>
      <c r="AB97" s="125">
        <v>22.6</v>
      </c>
      <c r="AC97" s="125">
        <v>17.600000000000001</v>
      </c>
      <c r="AD97" s="125">
        <v>21.8</v>
      </c>
      <c r="AE97" s="125">
        <v>15.3</v>
      </c>
      <c r="AF97" s="126">
        <v>16.8</v>
      </c>
      <c r="AG97" s="127"/>
      <c r="AH97" s="56">
        <f t="shared" si="23"/>
        <v>65.099999999999994</v>
      </c>
      <c r="AI97" s="121">
        <f t="shared" si="24"/>
        <v>0.375</v>
      </c>
    </row>
    <row r="98" spans="1:37" ht="15.75" thickBot="1" x14ac:dyDescent="0.3">
      <c r="A98" s="124" t="s">
        <v>101</v>
      </c>
      <c r="B98" s="65">
        <v>38.799999999999997</v>
      </c>
      <c r="C98" s="65">
        <v>42</v>
      </c>
      <c r="D98" s="65">
        <v>42</v>
      </c>
      <c r="E98" s="65">
        <v>42</v>
      </c>
      <c r="F98" s="65">
        <v>33</v>
      </c>
      <c r="G98" s="65">
        <v>49</v>
      </c>
      <c r="H98" s="65">
        <v>45</v>
      </c>
      <c r="I98" s="65">
        <v>53</v>
      </c>
      <c r="J98" s="65">
        <v>54</v>
      </c>
      <c r="K98" s="65">
        <v>45.7</v>
      </c>
      <c r="L98" s="65">
        <v>46.2</v>
      </c>
      <c r="M98" s="65">
        <v>43.6</v>
      </c>
      <c r="N98" s="65">
        <v>27.7</v>
      </c>
      <c r="O98" s="65">
        <v>38</v>
      </c>
      <c r="P98" s="65">
        <v>39.6</v>
      </c>
      <c r="Q98" s="65">
        <v>40.6</v>
      </c>
      <c r="R98" s="65">
        <v>45.2</v>
      </c>
      <c r="S98" s="65">
        <v>49</v>
      </c>
      <c r="T98" s="65">
        <v>49.6</v>
      </c>
      <c r="U98" s="65">
        <v>48.3</v>
      </c>
      <c r="V98" s="65">
        <v>41</v>
      </c>
      <c r="W98" s="65">
        <v>47.3</v>
      </c>
      <c r="X98" s="65">
        <v>44.3</v>
      </c>
      <c r="Y98" s="65">
        <v>38.4</v>
      </c>
      <c r="Z98" s="65">
        <v>32.200000000000003</v>
      </c>
      <c r="AA98" s="125">
        <v>23.5</v>
      </c>
      <c r="AB98" s="125">
        <v>23.5</v>
      </c>
      <c r="AC98" s="125">
        <v>25</v>
      </c>
      <c r="AD98" s="125">
        <v>31.6</v>
      </c>
      <c r="AE98" s="125">
        <v>35.799999999999997</v>
      </c>
      <c r="AF98" s="126">
        <v>39.1</v>
      </c>
      <c r="AG98" s="128"/>
      <c r="AH98" s="56">
        <f t="shared" si="23"/>
        <v>54</v>
      </c>
      <c r="AI98" s="121">
        <f t="shared" si="24"/>
        <v>0.29166666666666669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5">B100</f>
        <v>9.9</v>
      </c>
      <c r="D100" s="134">
        <f t="shared" si="25"/>
        <v>9.9</v>
      </c>
      <c r="E100" s="134">
        <f t="shared" si="25"/>
        <v>9.9</v>
      </c>
      <c r="F100" s="134">
        <f t="shared" si="25"/>
        <v>9.9</v>
      </c>
      <c r="G100" s="134">
        <f t="shared" si="25"/>
        <v>9.9</v>
      </c>
      <c r="H100" s="134">
        <f t="shared" si="25"/>
        <v>9.9</v>
      </c>
      <c r="I100" s="134">
        <f t="shared" si="25"/>
        <v>9.9</v>
      </c>
      <c r="J100" s="134">
        <f t="shared" si="25"/>
        <v>9.9</v>
      </c>
      <c r="K100" s="134">
        <f t="shared" si="25"/>
        <v>9.9</v>
      </c>
      <c r="L100" s="134">
        <f t="shared" si="25"/>
        <v>9.9</v>
      </c>
      <c r="M100" s="134">
        <f t="shared" si="25"/>
        <v>9.9</v>
      </c>
      <c r="N100" s="134">
        <f t="shared" si="25"/>
        <v>9.9</v>
      </c>
      <c r="O100" s="134">
        <f t="shared" si="25"/>
        <v>9.9</v>
      </c>
      <c r="P100" s="134">
        <f t="shared" si="25"/>
        <v>9.9</v>
      </c>
      <c r="Q100" s="134">
        <f t="shared" si="25"/>
        <v>9.9</v>
      </c>
      <c r="R100" s="134">
        <f t="shared" si="25"/>
        <v>9.9</v>
      </c>
      <c r="S100" s="134">
        <f t="shared" ref="S100:AF105" si="26">R100</f>
        <v>9.9</v>
      </c>
      <c r="T100" s="134">
        <f t="shared" si="26"/>
        <v>9.9</v>
      </c>
      <c r="U100" s="134">
        <f t="shared" si="26"/>
        <v>9.9</v>
      </c>
      <c r="V100" s="134">
        <f t="shared" si="26"/>
        <v>9.9</v>
      </c>
      <c r="W100" s="134">
        <f t="shared" si="26"/>
        <v>9.9</v>
      </c>
      <c r="X100" s="134">
        <f t="shared" si="26"/>
        <v>9.9</v>
      </c>
      <c r="Y100" s="134">
        <f t="shared" si="26"/>
        <v>9.9</v>
      </c>
      <c r="Z100" s="134">
        <f t="shared" si="26"/>
        <v>9.9</v>
      </c>
      <c r="AA100" s="134">
        <f t="shared" si="26"/>
        <v>9.9</v>
      </c>
      <c r="AB100" s="134">
        <f t="shared" si="26"/>
        <v>9.9</v>
      </c>
      <c r="AC100" s="134">
        <f t="shared" si="26"/>
        <v>9.9</v>
      </c>
      <c r="AD100" s="134">
        <f t="shared" si="26"/>
        <v>9.9</v>
      </c>
      <c r="AE100" s="134">
        <f t="shared" si="26"/>
        <v>9.9</v>
      </c>
      <c r="AF100" s="134">
        <f t="shared" si="26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5"/>
        <v>9.6</v>
      </c>
      <c r="D101" s="137">
        <f t="shared" si="25"/>
        <v>9.6</v>
      </c>
      <c r="E101" s="137">
        <f t="shared" si="25"/>
        <v>9.6</v>
      </c>
      <c r="F101" s="137">
        <f t="shared" si="25"/>
        <v>9.6</v>
      </c>
      <c r="G101" s="137">
        <f t="shared" si="25"/>
        <v>9.6</v>
      </c>
      <c r="H101" s="137">
        <f t="shared" si="25"/>
        <v>9.6</v>
      </c>
      <c r="I101" s="137">
        <f t="shared" si="25"/>
        <v>9.6</v>
      </c>
      <c r="J101" s="137">
        <f t="shared" si="25"/>
        <v>9.6</v>
      </c>
      <c r="K101" s="137">
        <f t="shared" si="25"/>
        <v>9.6</v>
      </c>
      <c r="L101" s="137">
        <f t="shared" si="25"/>
        <v>9.6</v>
      </c>
      <c r="M101" s="137">
        <f t="shared" si="25"/>
        <v>9.6</v>
      </c>
      <c r="N101" s="137">
        <f t="shared" si="25"/>
        <v>9.6</v>
      </c>
      <c r="O101" s="137">
        <f t="shared" si="25"/>
        <v>9.6</v>
      </c>
      <c r="P101" s="137">
        <f t="shared" si="25"/>
        <v>9.6</v>
      </c>
      <c r="Q101" s="137">
        <f t="shared" si="25"/>
        <v>9.6</v>
      </c>
      <c r="R101" s="137">
        <f t="shared" si="25"/>
        <v>9.6</v>
      </c>
      <c r="S101" s="137">
        <f t="shared" si="26"/>
        <v>9.6</v>
      </c>
      <c r="T101" s="137">
        <f t="shared" si="26"/>
        <v>9.6</v>
      </c>
      <c r="U101" s="137">
        <f t="shared" si="26"/>
        <v>9.6</v>
      </c>
      <c r="V101" s="137">
        <f t="shared" si="26"/>
        <v>9.6</v>
      </c>
      <c r="W101" s="137">
        <f t="shared" si="26"/>
        <v>9.6</v>
      </c>
      <c r="X101" s="137">
        <f t="shared" si="26"/>
        <v>9.6</v>
      </c>
      <c r="Y101" s="137">
        <f t="shared" si="26"/>
        <v>9.6</v>
      </c>
      <c r="Z101" s="137">
        <f t="shared" si="26"/>
        <v>9.6</v>
      </c>
      <c r="AA101" s="137">
        <f t="shared" si="26"/>
        <v>9.6</v>
      </c>
      <c r="AB101" s="137">
        <f t="shared" si="26"/>
        <v>9.6</v>
      </c>
      <c r="AC101" s="137">
        <f t="shared" si="26"/>
        <v>9.6</v>
      </c>
      <c r="AD101" s="137">
        <f t="shared" si="26"/>
        <v>9.6</v>
      </c>
      <c r="AE101" s="137">
        <f t="shared" si="26"/>
        <v>9.6</v>
      </c>
      <c r="AF101" s="137">
        <f t="shared" si="26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5"/>
        <v>9.98</v>
      </c>
      <c r="D102" s="137">
        <f t="shared" si="25"/>
        <v>9.98</v>
      </c>
      <c r="E102" s="137">
        <f t="shared" si="25"/>
        <v>9.98</v>
      </c>
      <c r="F102" s="137">
        <f t="shared" si="25"/>
        <v>9.98</v>
      </c>
      <c r="G102" s="137">
        <f t="shared" si="25"/>
        <v>9.98</v>
      </c>
      <c r="H102" s="137">
        <f t="shared" si="25"/>
        <v>9.98</v>
      </c>
      <c r="I102" s="137">
        <f t="shared" si="25"/>
        <v>9.98</v>
      </c>
      <c r="J102" s="137">
        <f t="shared" si="25"/>
        <v>9.98</v>
      </c>
      <c r="K102" s="137">
        <f t="shared" si="25"/>
        <v>9.98</v>
      </c>
      <c r="L102" s="137">
        <f t="shared" si="25"/>
        <v>9.98</v>
      </c>
      <c r="M102" s="137">
        <f t="shared" si="25"/>
        <v>9.98</v>
      </c>
      <c r="N102" s="137">
        <f t="shared" si="25"/>
        <v>9.98</v>
      </c>
      <c r="O102" s="137">
        <f t="shared" si="25"/>
        <v>9.98</v>
      </c>
      <c r="P102" s="137">
        <f t="shared" si="25"/>
        <v>9.98</v>
      </c>
      <c r="Q102" s="137">
        <f t="shared" si="25"/>
        <v>9.98</v>
      </c>
      <c r="R102" s="137">
        <f t="shared" si="25"/>
        <v>9.98</v>
      </c>
      <c r="S102" s="137">
        <f t="shared" si="26"/>
        <v>9.98</v>
      </c>
      <c r="T102" s="137">
        <f t="shared" si="26"/>
        <v>9.98</v>
      </c>
      <c r="U102" s="137">
        <f t="shared" si="26"/>
        <v>9.98</v>
      </c>
      <c r="V102" s="137">
        <f t="shared" si="26"/>
        <v>9.98</v>
      </c>
      <c r="W102" s="137">
        <f t="shared" si="26"/>
        <v>9.98</v>
      </c>
      <c r="X102" s="137">
        <f t="shared" si="26"/>
        <v>9.98</v>
      </c>
      <c r="Y102" s="137">
        <f t="shared" si="26"/>
        <v>9.98</v>
      </c>
      <c r="Z102" s="137">
        <f t="shared" si="26"/>
        <v>9.98</v>
      </c>
      <c r="AA102" s="137">
        <f t="shared" si="26"/>
        <v>9.98</v>
      </c>
      <c r="AB102" s="137">
        <f t="shared" si="26"/>
        <v>9.98</v>
      </c>
      <c r="AC102" s="137">
        <f t="shared" si="26"/>
        <v>9.98</v>
      </c>
      <c r="AD102" s="137">
        <f t="shared" si="26"/>
        <v>9.98</v>
      </c>
      <c r="AE102" s="137">
        <f t="shared" si="26"/>
        <v>9.98</v>
      </c>
      <c r="AF102" s="137">
        <f t="shared" si="26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5"/>
        <v>9.1</v>
      </c>
      <c r="D103" s="137">
        <f t="shared" si="25"/>
        <v>9.1</v>
      </c>
      <c r="E103" s="137">
        <f t="shared" si="25"/>
        <v>9.1</v>
      </c>
      <c r="F103" s="137">
        <f t="shared" si="25"/>
        <v>9.1</v>
      </c>
      <c r="G103" s="137">
        <f t="shared" si="25"/>
        <v>9.1</v>
      </c>
      <c r="H103" s="137">
        <f t="shared" si="25"/>
        <v>9.1</v>
      </c>
      <c r="I103" s="137">
        <f t="shared" si="25"/>
        <v>9.1</v>
      </c>
      <c r="J103" s="137">
        <f t="shared" si="25"/>
        <v>9.1</v>
      </c>
      <c r="K103" s="137">
        <f t="shared" si="25"/>
        <v>9.1</v>
      </c>
      <c r="L103" s="137">
        <f t="shared" si="25"/>
        <v>9.1</v>
      </c>
      <c r="M103" s="137">
        <f t="shared" si="25"/>
        <v>9.1</v>
      </c>
      <c r="N103" s="137">
        <f t="shared" si="25"/>
        <v>9.1</v>
      </c>
      <c r="O103" s="137">
        <f t="shared" si="25"/>
        <v>9.1</v>
      </c>
      <c r="P103" s="137">
        <f t="shared" si="25"/>
        <v>9.1</v>
      </c>
      <c r="Q103" s="137">
        <f t="shared" si="25"/>
        <v>9.1</v>
      </c>
      <c r="R103" s="137">
        <f t="shared" si="25"/>
        <v>9.1</v>
      </c>
      <c r="S103" s="137">
        <f t="shared" si="26"/>
        <v>9.1</v>
      </c>
      <c r="T103" s="137">
        <f t="shared" si="26"/>
        <v>9.1</v>
      </c>
      <c r="U103" s="137">
        <f t="shared" si="26"/>
        <v>9.1</v>
      </c>
      <c r="V103" s="137">
        <f t="shared" si="26"/>
        <v>9.1</v>
      </c>
      <c r="W103" s="137">
        <f t="shared" si="26"/>
        <v>9.1</v>
      </c>
      <c r="X103" s="137">
        <f t="shared" si="26"/>
        <v>9.1</v>
      </c>
      <c r="Y103" s="137">
        <f t="shared" si="26"/>
        <v>9.1</v>
      </c>
      <c r="Z103" s="137">
        <f t="shared" si="26"/>
        <v>9.1</v>
      </c>
      <c r="AA103" s="137">
        <f t="shared" si="26"/>
        <v>9.1</v>
      </c>
      <c r="AB103" s="137">
        <f t="shared" si="26"/>
        <v>9.1</v>
      </c>
      <c r="AC103" s="137">
        <f t="shared" si="26"/>
        <v>9.1</v>
      </c>
      <c r="AD103" s="137">
        <f t="shared" si="26"/>
        <v>9.1</v>
      </c>
      <c r="AE103" s="137">
        <f t="shared" si="26"/>
        <v>9.1</v>
      </c>
      <c r="AF103" s="137">
        <f t="shared" si="26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5"/>
        <v>9.18</v>
      </c>
      <c r="D104" s="137">
        <f t="shared" si="25"/>
        <v>9.18</v>
      </c>
      <c r="E104" s="137">
        <f t="shared" si="25"/>
        <v>9.18</v>
      </c>
      <c r="F104" s="137">
        <f t="shared" si="25"/>
        <v>9.18</v>
      </c>
      <c r="G104" s="137">
        <f t="shared" si="25"/>
        <v>9.18</v>
      </c>
      <c r="H104" s="137">
        <f t="shared" si="25"/>
        <v>9.18</v>
      </c>
      <c r="I104" s="137">
        <f t="shared" si="25"/>
        <v>9.18</v>
      </c>
      <c r="J104" s="137">
        <f t="shared" si="25"/>
        <v>9.18</v>
      </c>
      <c r="K104" s="137">
        <f t="shared" si="25"/>
        <v>9.18</v>
      </c>
      <c r="L104" s="137">
        <f t="shared" si="25"/>
        <v>9.18</v>
      </c>
      <c r="M104" s="137">
        <f t="shared" si="25"/>
        <v>9.18</v>
      </c>
      <c r="N104" s="137">
        <f t="shared" si="25"/>
        <v>9.18</v>
      </c>
      <c r="O104" s="137">
        <f t="shared" si="25"/>
        <v>9.18</v>
      </c>
      <c r="P104" s="137">
        <f t="shared" si="25"/>
        <v>9.18</v>
      </c>
      <c r="Q104" s="137">
        <f t="shared" si="25"/>
        <v>9.18</v>
      </c>
      <c r="R104" s="137">
        <f t="shared" si="25"/>
        <v>9.18</v>
      </c>
      <c r="S104" s="137">
        <f t="shared" si="26"/>
        <v>9.18</v>
      </c>
      <c r="T104" s="137">
        <f t="shared" si="26"/>
        <v>9.18</v>
      </c>
      <c r="U104" s="137">
        <f t="shared" si="26"/>
        <v>9.18</v>
      </c>
      <c r="V104" s="137">
        <f t="shared" si="26"/>
        <v>9.18</v>
      </c>
      <c r="W104" s="137">
        <f t="shared" si="26"/>
        <v>9.18</v>
      </c>
      <c r="X104" s="137">
        <f t="shared" si="26"/>
        <v>9.18</v>
      </c>
      <c r="Y104" s="137">
        <f t="shared" si="26"/>
        <v>9.18</v>
      </c>
      <c r="Z104" s="137">
        <f t="shared" si="26"/>
        <v>9.18</v>
      </c>
      <c r="AA104" s="137">
        <f t="shared" si="26"/>
        <v>9.18</v>
      </c>
      <c r="AB104" s="137">
        <f t="shared" si="26"/>
        <v>9.18</v>
      </c>
      <c r="AC104" s="137">
        <f t="shared" si="26"/>
        <v>9.18</v>
      </c>
      <c r="AD104" s="137">
        <f t="shared" si="26"/>
        <v>9.18</v>
      </c>
      <c r="AE104" s="137">
        <f t="shared" si="26"/>
        <v>9.18</v>
      </c>
      <c r="AF104" s="137">
        <f t="shared" si="26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5"/>
        <v>7</v>
      </c>
      <c r="D105" s="137">
        <f t="shared" si="25"/>
        <v>7</v>
      </c>
      <c r="E105" s="137">
        <f t="shared" si="25"/>
        <v>7</v>
      </c>
      <c r="F105" s="137">
        <f t="shared" si="25"/>
        <v>7</v>
      </c>
      <c r="G105" s="137">
        <f t="shared" si="25"/>
        <v>7</v>
      </c>
      <c r="H105" s="137">
        <f t="shared" si="25"/>
        <v>7</v>
      </c>
      <c r="I105" s="137">
        <f t="shared" si="25"/>
        <v>7</v>
      </c>
      <c r="J105" s="137">
        <f t="shared" si="25"/>
        <v>7</v>
      </c>
      <c r="K105" s="137">
        <f t="shared" si="25"/>
        <v>7</v>
      </c>
      <c r="L105" s="137">
        <f t="shared" si="25"/>
        <v>7</v>
      </c>
      <c r="M105" s="137">
        <f t="shared" si="25"/>
        <v>7</v>
      </c>
      <c r="N105" s="137">
        <f t="shared" si="25"/>
        <v>7</v>
      </c>
      <c r="O105" s="137">
        <f t="shared" si="25"/>
        <v>7</v>
      </c>
      <c r="P105" s="137">
        <f t="shared" si="25"/>
        <v>7</v>
      </c>
      <c r="Q105" s="137">
        <f t="shared" si="25"/>
        <v>7</v>
      </c>
      <c r="R105" s="137">
        <f t="shared" si="25"/>
        <v>7</v>
      </c>
      <c r="S105" s="137">
        <f t="shared" si="26"/>
        <v>7</v>
      </c>
      <c r="T105" s="137">
        <f t="shared" si="26"/>
        <v>7</v>
      </c>
      <c r="U105" s="137">
        <f t="shared" si="26"/>
        <v>7</v>
      </c>
      <c r="V105" s="137">
        <f t="shared" si="26"/>
        <v>7</v>
      </c>
      <c r="W105" s="137">
        <f t="shared" si="26"/>
        <v>7</v>
      </c>
      <c r="X105" s="137">
        <f t="shared" si="26"/>
        <v>7</v>
      </c>
      <c r="Y105" s="137">
        <f t="shared" si="26"/>
        <v>7</v>
      </c>
      <c r="Z105" s="137">
        <f t="shared" si="26"/>
        <v>7</v>
      </c>
      <c r="AA105" s="137">
        <f t="shared" si="26"/>
        <v>7</v>
      </c>
      <c r="AB105" s="137">
        <f t="shared" si="26"/>
        <v>7</v>
      </c>
      <c r="AC105" s="137">
        <f t="shared" si="26"/>
        <v>7</v>
      </c>
      <c r="AD105" s="137">
        <f t="shared" si="26"/>
        <v>7</v>
      </c>
      <c r="AE105" s="137">
        <f t="shared" si="26"/>
        <v>7</v>
      </c>
      <c r="AF105" s="137">
        <f t="shared" si="26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7">B107</f>
        <v>2.25</v>
      </c>
      <c r="D107" s="137">
        <f t="shared" si="27"/>
        <v>2.25</v>
      </c>
      <c r="E107" s="137">
        <f t="shared" si="27"/>
        <v>2.25</v>
      </c>
      <c r="F107" s="137">
        <f t="shared" si="27"/>
        <v>2.25</v>
      </c>
      <c r="G107" s="137">
        <f t="shared" si="27"/>
        <v>2.25</v>
      </c>
      <c r="H107" s="137">
        <f t="shared" si="27"/>
        <v>2.25</v>
      </c>
      <c r="I107" s="137">
        <f t="shared" si="27"/>
        <v>2.25</v>
      </c>
      <c r="J107" s="137">
        <f t="shared" si="27"/>
        <v>2.25</v>
      </c>
      <c r="K107" s="137">
        <f t="shared" si="27"/>
        <v>2.25</v>
      </c>
      <c r="L107" s="137">
        <f t="shared" si="27"/>
        <v>2.25</v>
      </c>
      <c r="M107" s="137">
        <f t="shared" si="27"/>
        <v>2.25</v>
      </c>
      <c r="N107" s="137">
        <f t="shared" si="27"/>
        <v>2.25</v>
      </c>
      <c r="O107" s="137">
        <f t="shared" si="27"/>
        <v>2.25</v>
      </c>
      <c r="P107" s="137">
        <f t="shared" si="27"/>
        <v>2.25</v>
      </c>
      <c r="Q107" s="137">
        <f t="shared" si="27"/>
        <v>2.25</v>
      </c>
      <c r="R107" s="137">
        <f t="shared" si="27"/>
        <v>2.25</v>
      </c>
      <c r="S107" s="137">
        <f t="shared" ref="S107:AF108" si="28">R107</f>
        <v>2.25</v>
      </c>
      <c r="T107" s="137">
        <f t="shared" si="28"/>
        <v>2.25</v>
      </c>
      <c r="U107" s="137">
        <f t="shared" si="28"/>
        <v>2.25</v>
      </c>
      <c r="V107" s="137">
        <f t="shared" si="28"/>
        <v>2.25</v>
      </c>
      <c r="W107" s="137">
        <f t="shared" si="28"/>
        <v>2.25</v>
      </c>
      <c r="X107" s="137">
        <f t="shared" si="28"/>
        <v>2.25</v>
      </c>
      <c r="Y107" s="137">
        <f t="shared" si="28"/>
        <v>2.25</v>
      </c>
      <c r="Z107" s="137">
        <f t="shared" si="28"/>
        <v>2.25</v>
      </c>
      <c r="AA107" s="137">
        <f t="shared" si="28"/>
        <v>2.25</v>
      </c>
      <c r="AB107" s="137">
        <f t="shared" si="28"/>
        <v>2.25</v>
      </c>
      <c r="AC107" s="137">
        <f t="shared" si="28"/>
        <v>2.25</v>
      </c>
      <c r="AD107" s="137">
        <f t="shared" si="28"/>
        <v>2.25</v>
      </c>
      <c r="AE107" s="137">
        <f t="shared" si="28"/>
        <v>2.25</v>
      </c>
      <c r="AF107" s="137">
        <f t="shared" si="28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7"/>
        <v>1.64</v>
      </c>
      <c r="D108" s="137">
        <f t="shared" si="27"/>
        <v>1.64</v>
      </c>
      <c r="E108" s="137">
        <f t="shared" si="27"/>
        <v>1.64</v>
      </c>
      <c r="F108" s="137">
        <f t="shared" si="27"/>
        <v>1.64</v>
      </c>
      <c r="G108" s="137">
        <f t="shared" si="27"/>
        <v>1.64</v>
      </c>
      <c r="H108" s="137">
        <f t="shared" si="27"/>
        <v>1.64</v>
      </c>
      <c r="I108" s="137">
        <f t="shared" si="27"/>
        <v>1.64</v>
      </c>
      <c r="J108" s="137">
        <f t="shared" si="27"/>
        <v>1.64</v>
      </c>
      <c r="K108" s="137">
        <f t="shared" si="27"/>
        <v>1.64</v>
      </c>
      <c r="L108" s="137">
        <f t="shared" si="27"/>
        <v>1.64</v>
      </c>
      <c r="M108" s="137">
        <f t="shared" si="27"/>
        <v>1.64</v>
      </c>
      <c r="N108" s="137">
        <f t="shared" si="27"/>
        <v>1.64</v>
      </c>
      <c r="O108" s="137">
        <f t="shared" si="27"/>
        <v>1.64</v>
      </c>
      <c r="P108" s="137">
        <f t="shared" si="27"/>
        <v>1.64</v>
      </c>
      <c r="Q108" s="137">
        <f t="shared" si="27"/>
        <v>1.64</v>
      </c>
      <c r="R108" s="137">
        <f t="shared" si="27"/>
        <v>1.64</v>
      </c>
      <c r="S108" s="137">
        <f t="shared" si="28"/>
        <v>1.64</v>
      </c>
      <c r="T108" s="137">
        <f t="shared" si="28"/>
        <v>1.64</v>
      </c>
      <c r="U108" s="137">
        <f t="shared" si="28"/>
        <v>1.64</v>
      </c>
      <c r="V108" s="137">
        <f t="shared" si="28"/>
        <v>1.64</v>
      </c>
      <c r="W108" s="137">
        <f t="shared" si="28"/>
        <v>1.64</v>
      </c>
      <c r="X108" s="137">
        <f t="shared" si="28"/>
        <v>1.64</v>
      </c>
      <c r="Y108" s="137">
        <f t="shared" si="28"/>
        <v>1.64</v>
      </c>
      <c r="Z108" s="137">
        <f t="shared" si="28"/>
        <v>1.64</v>
      </c>
      <c r="AA108" s="137">
        <f t="shared" si="28"/>
        <v>1.64</v>
      </c>
      <c r="AB108" s="137">
        <f t="shared" si="28"/>
        <v>1.64</v>
      </c>
      <c r="AC108" s="137">
        <f t="shared" si="28"/>
        <v>1.64</v>
      </c>
      <c r="AD108" s="137">
        <f t="shared" si="28"/>
        <v>1.64</v>
      </c>
      <c r="AE108" s="137">
        <f t="shared" si="28"/>
        <v>1.64</v>
      </c>
      <c r="AF108" s="137">
        <f t="shared" si="28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9">B110</f>
        <v>1.62</v>
      </c>
      <c r="D110" s="137">
        <f t="shared" si="29"/>
        <v>1.62</v>
      </c>
      <c r="E110" s="137">
        <f t="shared" si="29"/>
        <v>1.62</v>
      </c>
      <c r="F110" s="137">
        <f t="shared" si="29"/>
        <v>1.62</v>
      </c>
      <c r="G110" s="137">
        <f t="shared" si="29"/>
        <v>1.62</v>
      </c>
      <c r="H110" s="137">
        <f t="shared" si="29"/>
        <v>1.62</v>
      </c>
      <c r="I110" s="137">
        <f t="shared" si="29"/>
        <v>1.62</v>
      </c>
      <c r="J110" s="137">
        <f t="shared" si="29"/>
        <v>1.62</v>
      </c>
      <c r="K110" s="137">
        <f t="shared" si="29"/>
        <v>1.62</v>
      </c>
      <c r="L110" s="137">
        <f t="shared" si="29"/>
        <v>1.62</v>
      </c>
      <c r="M110" s="137">
        <f t="shared" si="29"/>
        <v>1.62</v>
      </c>
      <c r="N110" s="137">
        <f t="shared" si="29"/>
        <v>1.62</v>
      </c>
      <c r="O110" s="137">
        <f t="shared" si="29"/>
        <v>1.62</v>
      </c>
      <c r="P110" s="137">
        <f t="shared" si="29"/>
        <v>1.62</v>
      </c>
      <c r="Q110" s="137">
        <f t="shared" si="29"/>
        <v>1.62</v>
      </c>
      <c r="R110" s="137">
        <f t="shared" si="29"/>
        <v>1.62</v>
      </c>
      <c r="S110" s="137">
        <f t="shared" ref="S110:AF125" si="30">R110</f>
        <v>1.62</v>
      </c>
      <c r="T110" s="137">
        <f t="shared" si="30"/>
        <v>1.62</v>
      </c>
      <c r="U110" s="137">
        <f t="shared" si="30"/>
        <v>1.62</v>
      </c>
      <c r="V110" s="137">
        <f t="shared" si="30"/>
        <v>1.62</v>
      </c>
      <c r="W110" s="137">
        <f t="shared" si="30"/>
        <v>1.62</v>
      </c>
      <c r="X110" s="137">
        <f t="shared" si="30"/>
        <v>1.62</v>
      </c>
      <c r="Y110" s="137">
        <f t="shared" si="30"/>
        <v>1.62</v>
      </c>
      <c r="Z110" s="137">
        <f t="shared" si="30"/>
        <v>1.62</v>
      </c>
      <c r="AA110" s="137">
        <f t="shared" si="30"/>
        <v>1.62</v>
      </c>
      <c r="AB110" s="137">
        <f t="shared" si="30"/>
        <v>1.62</v>
      </c>
      <c r="AC110" s="137">
        <f t="shared" si="30"/>
        <v>1.62</v>
      </c>
      <c r="AD110" s="137">
        <f t="shared" si="30"/>
        <v>1.62</v>
      </c>
      <c r="AE110" s="137">
        <f t="shared" si="30"/>
        <v>1.62</v>
      </c>
      <c r="AF110" s="137">
        <f t="shared" si="30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9"/>
        <v>8.36</v>
      </c>
      <c r="D111" s="137">
        <f t="shared" si="29"/>
        <v>8.36</v>
      </c>
      <c r="E111" s="137">
        <f t="shared" si="29"/>
        <v>8.36</v>
      </c>
      <c r="F111" s="137">
        <f t="shared" si="29"/>
        <v>8.36</v>
      </c>
      <c r="G111" s="137">
        <f t="shared" si="29"/>
        <v>8.36</v>
      </c>
      <c r="H111" s="137">
        <f t="shared" si="29"/>
        <v>8.36</v>
      </c>
      <c r="I111" s="137">
        <f t="shared" si="29"/>
        <v>8.36</v>
      </c>
      <c r="J111" s="137">
        <f t="shared" si="29"/>
        <v>8.36</v>
      </c>
      <c r="K111" s="137">
        <f t="shared" si="29"/>
        <v>8.36</v>
      </c>
      <c r="L111" s="137">
        <f t="shared" si="29"/>
        <v>8.36</v>
      </c>
      <c r="M111" s="137">
        <f t="shared" si="29"/>
        <v>8.36</v>
      </c>
      <c r="N111" s="137">
        <f t="shared" si="29"/>
        <v>8.36</v>
      </c>
      <c r="O111" s="137">
        <f t="shared" si="29"/>
        <v>8.36</v>
      </c>
      <c r="P111" s="137">
        <f t="shared" si="29"/>
        <v>8.36</v>
      </c>
      <c r="Q111" s="137">
        <f t="shared" si="29"/>
        <v>8.36</v>
      </c>
      <c r="R111" s="137">
        <f t="shared" si="29"/>
        <v>8.36</v>
      </c>
      <c r="S111" s="137">
        <f t="shared" si="30"/>
        <v>8.36</v>
      </c>
      <c r="T111" s="137">
        <f t="shared" si="30"/>
        <v>8.36</v>
      </c>
      <c r="U111" s="137">
        <f t="shared" si="30"/>
        <v>8.36</v>
      </c>
      <c r="V111" s="137">
        <f t="shared" si="30"/>
        <v>8.36</v>
      </c>
      <c r="W111" s="137">
        <f t="shared" si="30"/>
        <v>8.36</v>
      </c>
      <c r="X111" s="137">
        <f t="shared" si="30"/>
        <v>8.36</v>
      </c>
      <c r="Y111" s="137">
        <f t="shared" si="30"/>
        <v>8.36</v>
      </c>
      <c r="Z111" s="137">
        <f t="shared" si="30"/>
        <v>8.36</v>
      </c>
      <c r="AA111" s="137">
        <f t="shared" si="30"/>
        <v>8.36</v>
      </c>
      <c r="AB111" s="137">
        <f t="shared" si="30"/>
        <v>8.36</v>
      </c>
      <c r="AC111" s="137">
        <f t="shared" si="30"/>
        <v>8.36</v>
      </c>
      <c r="AD111" s="137">
        <f t="shared" si="30"/>
        <v>8.36</v>
      </c>
      <c r="AE111" s="137">
        <f t="shared" si="30"/>
        <v>8.36</v>
      </c>
      <c r="AF111" s="137">
        <f t="shared" si="30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9"/>
        <v>8</v>
      </c>
      <c r="D112" s="137">
        <f t="shared" si="29"/>
        <v>8</v>
      </c>
      <c r="E112" s="137">
        <f t="shared" si="29"/>
        <v>8</v>
      </c>
      <c r="F112" s="137">
        <f t="shared" si="29"/>
        <v>8</v>
      </c>
      <c r="G112" s="137">
        <f t="shared" si="29"/>
        <v>8</v>
      </c>
      <c r="H112" s="137">
        <f t="shared" si="29"/>
        <v>8</v>
      </c>
      <c r="I112" s="137">
        <v>5.4</v>
      </c>
      <c r="J112" s="137">
        <f t="shared" si="29"/>
        <v>5.4</v>
      </c>
      <c r="K112" s="137">
        <f t="shared" si="29"/>
        <v>5.4</v>
      </c>
      <c r="L112" s="137">
        <f t="shared" si="29"/>
        <v>5.4</v>
      </c>
      <c r="M112" s="137">
        <f t="shared" si="29"/>
        <v>5.4</v>
      </c>
      <c r="N112" s="137">
        <f t="shared" si="29"/>
        <v>5.4</v>
      </c>
      <c r="O112" s="137">
        <f t="shared" si="29"/>
        <v>5.4</v>
      </c>
      <c r="P112" s="137">
        <f t="shared" si="29"/>
        <v>5.4</v>
      </c>
      <c r="Q112" s="137">
        <f t="shared" si="29"/>
        <v>5.4</v>
      </c>
      <c r="R112" s="137">
        <f t="shared" si="29"/>
        <v>5.4</v>
      </c>
      <c r="S112" s="137">
        <f t="shared" si="30"/>
        <v>5.4</v>
      </c>
      <c r="T112" s="137">
        <f t="shared" si="30"/>
        <v>5.4</v>
      </c>
      <c r="U112" s="137">
        <f t="shared" si="30"/>
        <v>5.4</v>
      </c>
      <c r="V112" s="137">
        <f t="shared" si="30"/>
        <v>5.4</v>
      </c>
      <c r="W112" s="137">
        <f t="shared" si="30"/>
        <v>5.4</v>
      </c>
      <c r="X112" s="137">
        <f t="shared" si="30"/>
        <v>5.4</v>
      </c>
      <c r="Y112" s="137">
        <f t="shared" si="30"/>
        <v>5.4</v>
      </c>
      <c r="Z112" s="137">
        <f t="shared" si="30"/>
        <v>5.4</v>
      </c>
      <c r="AA112" s="137">
        <f t="shared" si="30"/>
        <v>5.4</v>
      </c>
      <c r="AB112" s="137">
        <f t="shared" si="30"/>
        <v>5.4</v>
      </c>
      <c r="AC112" s="137">
        <f t="shared" si="30"/>
        <v>5.4</v>
      </c>
      <c r="AD112" s="137">
        <f t="shared" si="30"/>
        <v>5.4</v>
      </c>
      <c r="AE112" s="137">
        <f t="shared" si="30"/>
        <v>5.4</v>
      </c>
      <c r="AF112" s="137">
        <f t="shared" si="30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9"/>
        <v>6.57</v>
      </c>
      <c r="D113" s="137">
        <f t="shared" si="29"/>
        <v>6.57</v>
      </c>
      <c r="E113" s="137">
        <f t="shared" si="29"/>
        <v>6.57</v>
      </c>
      <c r="F113" s="137">
        <f t="shared" si="29"/>
        <v>6.57</v>
      </c>
      <c r="G113" s="137">
        <f t="shared" si="29"/>
        <v>6.57</v>
      </c>
      <c r="H113" s="137">
        <f t="shared" si="29"/>
        <v>6.57</v>
      </c>
      <c r="I113" s="137">
        <f t="shared" si="29"/>
        <v>6.57</v>
      </c>
      <c r="J113" s="137">
        <f t="shared" si="29"/>
        <v>6.57</v>
      </c>
      <c r="K113" s="137">
        <f t="shared" si="29"/>
        <v>6.57</v>
      </c>
      <c r="L113" s="137">
        <f t="shared" si="29"/>
        <v>6.57</v>
      </c>
      <c r="M113" s="137">
        <f t="shared" si="29"/>
        <v>6.57</v>
      </c>
      <c r="N113" s="137">
        <f t="shared" si="29"/>
        <v>6.57</v>
      </c>
      <c r="O113" s="137">
        <f t="shared" si="29"/>
        <v>6.57</v>
      </c>
      <c r="P113" s="137">
        <f t="shared" si="29"/>
        <v>6.57</v>
      </c>
      <c r="Q113" s="137">
        <f t="shared" si="29"/>
        <v>6.57</v>
      </c>
      <c r="R113" s="137">
        <f t="shared" si="29"/>
        <v>6.57</v>
      </c>
      <c r="S113" s="137">
        <f t="shared" si="30"/>
        <v>6.57</v>
      </c>
      <c r="T113" s="137">
        <f t="shared" si="30"/>
        <v>6.57</v>
      </c>
      <c r="U113" s="137">
        <f t="shared" si="30"/>
        <v>6.57</v>
      </c>
      <c r="V113" s="137">
        <f t="shared" si="30"/>
        <v>6.57</v>
      </c>
      <c r="W113" s="137">
        <f t="shared" si="30"/>
        <v>6.57</v>
      </c>
      <c r="X113" s="137">
        <f t="shared" si="30"/>
        <v>6.57</v>
      </c>
      <c r="Y113" s="137">
        <f t="shared" si="30"/>
        <v>6.57</v>
      </c>
      <c r="Z113" s="137">
        <f t="shared" si="30"/>
        <v>6.57</v>
      </c>
      <c r="AA113" s="137">
        <f t="shared" si="30"/>
        <v>6.57</v>
      </c>
      <c r="AB113" s="137">
        <f t="shared" si="30"/>
        <v>6.57</v>
      </c>
      <c r="AC113" s="137">
        <f t="shared" si="30"/>
        <v>6.57</v>
      </c>
      <c r="AD113" s="137">
        <f t="shared" si="30"/>
        <v>6.57</v>
      </c>
      <c r="AE113" s="137">
        <f t="shared" si="30"/>
        <v>6.57</v>
      </c>
      <c r="AF113" s="137">
        <f t="shared" si="30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9"/>
        <v>3.43</v>
      </c>
      <c r="D114" s="137">
        <f t="shared" si="29"/>
        <v>3.43</v>
      </c>
      <c r="E114" s="137">
        <f t="shared" si="29"/>
        <v>3.43</v>
      </c>
      <c r="F114" s="137">
        <f t="shared" si="29"/>
        <v>3.43</v>
      </c>
      <c r="G114" s="137">
        <f t="shared" si="29"/>
        <v>3.43</v>
      </c>
      <c r="H114" s="137">
        <f t="shared" si="29"/>
        <v>3.43</v>
      </c>
      <c r="I114" s="137">
        <f t="shared" si="29"/>
        <v>3.43</v>
      </c>
      <c r="J114" s="137">
        <f t="shared" si="29"/>
        <v>3.43</v>
      </c>
      <c r="K114" s="137">
        <f t="shared" si="29"/>
        <v>3.43</v>
      </c>
      <c r="L114" s="137">
        <f t="shared" si="29"/>
        <v>3.43</v>
      </c>
      <c r="M114" s="137">
        <f t="shared" si="29"/>
        <v>3.43</v>
      </c>
      <c r="N114" s="137">
        <f t="shared" si="29"/>
        <v>3.43</v>
      </c>
      <c r="O114" s="137">
        <f t="shared" si="29"/>
        <v>3.43</v>
      </c>
      <c r="P114" s="137">
        <f t="shared" si="29"/>
        <v>3.43</v>
      </c>
      <c r="Q114" s="137">
        <f t="shared" si="29"/>
        <v>3.43</v>
      </c>
      <c r="R114" s="137">
        <f t="shared" si="29"/>
        <v>3.43</v>
      </c>
      <c r="S114" s="137">
        <f t="shared" si="30"/>
        <v>3.43</v>
      </c>
      <c r="T114" s="137">
        <f t="shared" si="30"/>
        <v>3.43</v>
      </c>
      <c r="U114" s="137">
        <f t="shared" si="30"/>
        <v>3.43</v>
      </c>
      <c r="V114" s="137">
        <f t="shared" si="30"/>
        <v>3.43</v>
      </c>
      <c r="W114" s="137">
        <f t="shared" si="30"/>
        <v>3.43</v>
      </c>
      <c r="X114" s="137">
        <f t="shared" si="30"/>
        <v>3.43</v>
      </c>
      <c r="Y114" s="137">
        <f t="shared" si="30"/>
        <v>3.43</v>
      </c>
      <c r="Z114" s="137">
        <f t="shared" si="30"/>
        <v>3.43</v>
      </c>
      <c r="AA114" s="137">
        <f t="shared" si="30"/>
        <v>3.43</v>
      </c>
      <c r="AB114" s="137">
        <f t="shared" si="30"/>
        <v>3.43</v>
      </c>
      <c r="AC114" s="137">
        <f t="shared" si="30"/>
        <v>3.43</v>
      </c>
      <c r="AD114" s="137">
        <f t="shared" si="30"/>
        <v>3.43</v>
      </c>
      <c r="AE114" s="137">
        <f t="shared" si="30"/>
        <v>3.43</v>
      </c>
      <c r="AF114" s="137">
        <f t="shared" si="30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9"/>
        <v>2.96</v>
      </c>
      <c r="D115" s="137">
        <f t="shared" si="29"/>
        <v>2.96</v>
      </c>
      <c r="E115" s="137">
        <f t="shared" si="29"/>
        <v>2.96</v>
      </c>
      <c r="F115" s="137">
        <f t="shared" si="29"/>
        <v>2.96</v>
      </c>
      <c r="G115" s="137">
        <f t="shared" si="29"/>
        <v>2.96</v>
      </c>
      <c r="H115" s="137">
        <f t="shared" si="29"/>
        <v>2.96</v>
      </c>
      <c r="I115" s="137">
        <f t="shared" si="29"/>
        <v>2.96</v>
      </c>
      <c r="J115" s="137">
        <f t="shared" si="29"/>
        <v>2.96</v>
      </c>
      <c r="K115" s="137">
        <f t="shared" si="29"/>
        <v>2.96</v>
      </c>
      <c r="L115" s="137">
        <f t="shared" si="29"/>
        <v>2.96</v>
      </c>
      <c r="M115" s="137">
        <f t="shared" si="29"/>
        <v>2.96</v>
      </c>
      <c r="N115" s="137">
        <f t="shared" si="29"/>
        <v>2.96</v>
      </c>
      <c r="O115" s="137">
        <f t="shared" si="29"/>
        <v>2.96</v>
      </c>
      <c r="P115" s="137">
        <f t="shared" si="29"/>
        <v>2.96</v>
      </c>
      <c r="Q115" s="137">
        <f t="shared" si="29"/>
        <v>2.96</v>
      </c>
      <c r="R115" s="137">
        <f t="shared" si="29"/>
        <v>2.96</v>
      </c>
      <c r="S115" s="137">
        <f t="shared" si="30"/>
        <v>2.96</v>
      </c>
      <c r="T115" s="137">
        <f t="shared" si="30"/>
        <v>2.96</v>
      </c>
      <c r="U115" s="137">
        <f t="shared" si="30"/>
        <v>2.96</v>
      </c>
      <c r="V115" s="137">
        <f t="shared" si="30"/>
        <v>2.96</v>
      </c>
      <c r="W115" s="137">
        <f t="shared" si="30"/>
        <v>2.96</v>
      </c>
      <c r="X115" s="137">
        <f t="shared" si="30"/>
        <v>2.96</v>
      </c>
      <c r="Y115" s="137">
        <f t="shared" si="30"/>
        <v>2.96</v>
      </c>
      <c r="Z115" s="137">
        <f t="shared" si="30"/>
        <v>2.96</v>
      </c>
      <c r="AA115" s="137">
        <f t="shared" si="30"/>
        <v>2.96</v>
      </c>
      <c r="AB115" s="137">
        <f t="shared" si="30"/>
        <v>2.96</v>
      </c>
      <c r="AC115" s="137">
        <f t="shared" si="30"/>
        <v>2.96</v>
      </c>
      <c r="AD115" s="137">
        <f t="shared" si="30"/>
        <v>2.96</v>
      </c>
      <c r="AE115" s="137">
        <f t="shared" si="30"/>
        <v>2.96</v>
      </c>
      <c r="AF115" s="137">
        <f t="shared" si="30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9"/>
        <v>8</v>
      </c>
      <c r="D116" s="137">
        <f t="shared" si="29"/>
        <v>8</v>
      </c>
      <c r="E116" s="137">
        <f t="shared" si="29"/>
        <v>8</v>
      </c>
      <c r="F116" s="137">
        <f t="shared" si="29"/>
        <v>8</v>
      </c>
      <c r="G116" s="137">
        <f t="shared" si="29"/>
        <v>8</v>
      </c>
      <c r="H116" s="137">
        <f t="shared" si="29"/>
        <v>8</v>
      </c>
      <c r="I116" s="137">
        <f t="shared" si="29"/>
        <v>8</v>
      </c>
      <c r="J116" s="137">
        <f t="shared" si="29"/>
        <v>8</v>
      </c>
      <c r="K116" s="137">
        <f t="shared" si="29"/>
        <v>8</v>
      </c>
      <c r="L116" s="137">
        <f t="shared" si="29"/>
        <v>8</v>
      </c>
      <c r="M116" s="137">
        <f t="shared" si="29"/>
        <v>8</v>
      </c>
      <c r="N116" s="137">
        <f t="shared" si="29"/>
        <v>8</v>
      </c>
      <c r="O116" s="137">
        <f t="shared" si="29"/>
        <v>8</v>
      </c>
      <c r="P116" s="137">
        <f t="shared" si="29"/>
        <v>8</v>
      </c>
      <c r="Q116" s="137">
        <f t="shared" si="29"/>
        <v>8</v>
      </c>
      <c r="R116" s="137">
        <f t="shared" si="29"/>
        <v>8</v>
      </c>
      <c r="S116" s="137">
        <f t="shared" si="30"/>
        <v>8</v>
      </c>
      <c r="T116" s="137">
        <f t="shared" si="30"/>
        <v>8</v>
      </c>
      <c r="U116" s="137">
        <f t="shared" si="30"/>
        <v>8</v>
      </c>
      <c r="V116" s="137">
        <f t="shared" si="30"/>
        <v>8</v>
      </c>
      <c r="W116" s="137">
        <f t="shared" si="30"/>
        <v>8</v>
      </c>
      <c r="X116" s="137">
        <f t="shared" si="30"/>
        <v>8</v>
      </c>
      <c r="Y116" s="137">
        <f t="shared" si="30"/>
        <v>8</v>
      </c>
      <c r="Z116" s="137">
        <f t="shared" si="30"/>
        <v>8</v>
      </c>
      <c r="AA116" s="137">
        <f t="shared" si="30"/>
        <v>8</v>
      </c>
      <c r="AB116" s="137">
        <f t="shared" si="30"/>
        <v>8</v>
      </c>
      <c r="AC116" s="137">
        <f t="shared" si="30"/>
        <v>8</v>
      </c>
      <c r="AD116" s="137">
        <f t="shared" si="30"/>
        <v>8</v>
      </c>
      <c r="AE116" s="137">
        <f t="shared" si="30"/>
        <v>8</v>
      </c>
      <c r="AF116" s="137">
        <f t="shared" si="30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9"/>
        <v>7</v>
      </c>
      <c r="E117" s="137">
        <f t="shared" si="29"/>
        <v>7</v>
      </c>
      <c r="F117" s="137">
        <f t="shared" si="29"/>
        <v>7</v>
      </c>
      <c r="G117" s="137">
        <f t="shared" si="29"/>
        <v>7</v>
      </c>
      <c r="H117" s="137">
        <f t="shared" si="29"/>
        <v>7</v>
      </c>
      <c r="I117" s="137">
        <f t="shared" si="29"/>
        <v>7</v>
      </c>
      <c r="J117" s="137">
        <f t="shared" si="29"/>
        <v>7</v>
      </c>
      <c r="K117" s="137">
        <f t="shared" si="29"/>
        <v>7</v>
      </c>
      <c r="L117" s="137">
        <f t="shared" si="29"/>
        <v>7</v>
      </c>
      <c r="M117" s="137">
        <f t="shared" si="29"/>
        <v>7</v>
      </c>
      <c r="N117" s="137">
        <f t="shared" si="29"/>
        <v>7</v>
      </c>
      <c r="O117" s="137">
        <f t="shared" si="29"/>
        <v>7</v>
      </c>
      <c r="P117" s="137">
        <f t="shared" si="29"/>
        <v>7</v>
      </c>
      <c r="Q117" s="137">
        <f t="shared" si="29"/>
        <v>7</v>
      </c>
      <c r="R117" s="137">
        <f t="shared" si="29"/>
        <v>7</v>
      </c>
      <c r="S117" s="137">
        <f t="shared" si="30"/>
        <v>7</v>
      </c>
      <c r="T117" s="137">
        <f t="shared" si="30"/>
        <v>7</v>
      </c>
      <c r="U117" s="137">
        <f t="shared" si="30"/>
        <v>7</v>
      </c>
      <c r="V117" s="137">
        <f t="shared" si="30"/>
        <v>7</v>
      </c>
      <c r="W117" s="137">
        <f t="shared" si="30"/>
        <v>7</v>
      </c>
      <c r="X117" s="137">
        <f t="shared" si="30"/>
        <v>7</v>
      </c>
      <c r="Y117" s="137">
        <f t="shared" si="30"/>
        <v>7</v>
      </c>
      <c r="Z117" s="137">
        <f t="shared" si="30"/>
        <v>7</v>
      </c>
      <c r="AA117" s="137">
        <f t="shared" si="30"/>
        <v>7</v>
      </c>
      <c r="AB117" s="137">
        <f t="shared" si="30"/>
        <v>7</v>
      </c>
      <c r="AC117" s="137">
        <f t="shared" si="30"/>
        <v>7</v>
      </c>
      <c r="AD117" s="137">
        <f t="shared" si="30"/>
        <v>7</v>
      </c>
      <c r="AE117" s="137">
        <f t="shared" si="30"/>
        <v>7</v>
      </c>
      <c r="AF117" s="137">
        <f t="shared" si="30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1">B118</f>
        <v>3.47</v>
      </c>
      <c r="D118" s="137">
        <f t="shared" si="31"/>
        <v>3.47</v>
      </c>
      <c r="E118" s="137">
        <f t="shared" si="31"/>
        <v>3.47</v>
      </c>
      <c r="F118" s="137">
        <f t="shared" si="31"/>
        <v>3.47</v>
      </c>
      <c r="G118" s="137">
        <f t="shared" si="31"/>
        <v>3.47</v>
      </c>
      <c r="H118" s="137">
        <f t="shared" si="31"/>
        <v>3.47</v>
      </c>
      <c r="I118" s="137">
        <f t="shared" si="31"/>
        <v>3.47</v>
      </c>
      <c r="J118" s="137">
        <f t="shared" si="31"/>
        <v>3.47</v>
      </c>
      <c r="K118" s="137">
        <f t="shared" si="31"/>
        <v>3.47</v>
      </c>
      <c r="L118" s="137">
        <f t="shared" si="31"/>
        <v>3.47</v>
      </c>
      <c r="M118" s="137">
        <f t="shared" si="31"/>
        <v>3.47</v>
      </c>
      <c r="N118" s="137">
        <f t="shared" si="31"/>
        <v>3.47</v>
      </c>
      <c r="O118" s="137">
        <f t="shared" si="31"/>
        <v>3.47</v>
      </c>
      <c r="P118" s="137">
        <f t="shared" si="31"/>
        <v>3.47</v>
      </c>
      <c r="Q118" s="137">
        <f t="shared" si="31"/>
        <v>3.47</v>
      </c>
      <c r="R118" s="137">
        <f t="shared" si="31"/>
        <v>3.47</v>
      </c>
      <c r="S118" s="137">
        <f t="shared" si="30"/>
        <v>3.47</v>
      </c>
      <c r="T118" s="137">
        <f t="shared" si="30"/>
        <v>3.47</v>
      </c>
      <c r="U118" s="137">
        <f t="shared" si="30"/>
        <v>3.47</v>
      </c>
      <c r="V118" s="137">
        <f t="shared" si="30"/>
        <v>3.47</v>
      </c>
      <c r="W118" s="137">
        <f t="shared" si="30"/>
        <v>3.47</v>
      </c>
      <c r="X118" s="137">
        <f t="shared" si="30"/>
        <v>3.47</v>
      </c>
      <c r="Y118" s="137">
        <f t="shared" si="30"/>
        <v>3.47</v>
      </c>
      <c r="Z118" s="137">
        <f t="shared" si="30"/>
        <v>3.47</v>
      </c>
      <c r="AA118" s="137">
        <f t="shared" si="30"/>
        <v>3.47</v>
      </c>
      <c r="AB118" s="137">
        <f t="shared" si="30"/>
        <v>3.47</v>
      </c>
      <c r="AC118" s="137">
        <f t="shared" si="30"/>
        <v>3.47</v>
      </c>
      <c r="AD118" s="137">
        <f t="shared" si="30"/>
        <v>3.47</v>
      </c>
      <c r="AE118" s="137">
        <f t="shared" si="30"/>
        <v>3.47</v>
      </c>
      <c r="AF118" s="137">
        <f t="shared" si="30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1"/>
        <v>2.1</v>
      </c>
      <c r="D119" s="137">
        <f t="shared" si="31"/>
        <v>2.1</v>
      </c>
      <c r="E119" s="137">
        <f t="shared" si="31"/>
        <v>2.1</v>
      </c>
      <c r="F119" s="137">
        <f t="shared" si="31"/>
        <v>2.1</v>
      </c>
      <c r="G119" s="137">
        <f t="shared" si="31"/>
        <v>2.1</v>
      </c>
      <c r="H119" s="137">
        <f t="shared" si="31"/>
        <v>2.1</v>
      </c>
      <c r="I119" s="137">
        <f t="shared" si="31"/>
        <v>2.1</v>
      </c>
      <c r="J119" s="137">
        <f t="shared" si="31"/>
        <v>2.1</v>
      </c>
      <c r="K119" s="137">
        <f t="shared" si="31"/>
        <v>2.1</v>
      </c>
      <c r="L119" s="137">
        <f t="shared" si="31"/>
        <v>2.1</v>
      </c>
      <c r="M119" s="137">
        <f t="shared" si="31"/>
        <v>2.1</v>
      </c>
      <c r="N119" s="137">
        <f t="shared" si="31"/>
        <v>2.1</v>
      </c>
      <c r="O119" s="137">
        <f t="shared" si="31"/>
        <v>2.1</v>
      </c>
      <c r="P119" s="137">
        <f t="shared" si="31"/>
        <v>2.1</v>
      </c>
      <c r="Q119" s="137">
        <f t="shared" si="31"/>
        <v>2.1</v>
      </c>
      <c r="R119" s="137">
        <f t="shared" si="31"/>
        <v>2.1</v>
      </c>
      <c r="S119" s="137">
        <f t="shared" si="30"/>
        <v>2.1</v>
      </c>
      <c r="T119" s="137">
        <f t="shared" si="30"/>
        <v>2.1</v>
      </c>
      <c r="U119" s="137">
        <f t="shared" si="30"/>
        <v>2.1</v>
      </c>
      <c r="V119" s="137">
        <f t="shared" si="30"/>
        <v>2.1</v>
      </c>
      <c r="W119" s="137">
        <f t="shared" si="30"/>
        <v>2.1</v>
      </c>
      <c r="X119" s="137">
        <f t="shared" si="30"/>
        <v>2.1</v>
      </c>
      <c r="Y119" s="137">
        <f t="shared" si="30"/>
        <v>2.1</v>
      </c>
      <c r="Z119" s="137">
        <f t="shared" si="30"/>
        <v>2.1</v>
      </c>
      <c r="AA119" s="137">
        <f t="shared" si="30"/>
        <v>2.1</v>
      </c>
      <c r="AB119" s="137">
        <f t="shared" si="30"/>
        <v>2.1</v>
      </c>
      <c r="AC119" s="137">
        <f t="shared" si="30"/>
        <v>2.1</v>
      </c>
      <c r="AD119" s="137">
        <f t="shared" si="30"/>
        <v>2.1</v>
      </c>
      <c r="AE119" s="137">
        <f t="shared" si="30"/>
        <v>2.1</v>
      </c>
      <c r="AF119" s="137">
        <f t="shared" si="30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1"/>
        <v>9.3000000000000007</v>
      </c>
      <c r="D120" s="137">
        <f t="shared" si="31"/>
        <v>9.3000000000000007</v>
      </c>
      <c r="E120" s="137">
        <f t="shared" si="31"/>
        <v>9.3000000000000007</v>
      </c>
      <c r="F120" s="137">
        <f t="shared" si="31"/>
        <v>9.3000000000000007</v>
      </c>
      <c r="G120" s="137">
        <f t="shared" si="31"/>
        <v>9.3000000000000007</v>
      </c>
      <c r="H120" s="137">
        <f t="shared" si="31"/>
        <v>9.3000000000000007</v>
      </c>
      <c r="I120" s="137">
        <f t="shared" si="31"/>
        <v>9.3000000000000007</v>
      </c>
      <c r="J120" s="137">
        <f t="shared" si="31"/>
        <v>9.3000000000000007</v>
      </c>
      <c r="K120" s="137">
        <f t="shared" si="31"/>
        <v>9.3000000000000007</v>
      </c>
      <c r="L120" s="137">
        <f t="shared" si="31"/>
        <v>9.3000000000000007</v>
      </c>
      <c r="M120" s="137">
        <f t="shared" si="31"/>
        <v>9.3000000000000007</v>
      </c>
      <c r="N120" s="137">
        <f t="shared" si="31"/>
        <v>9.3000000000000007</v>
      </c>
      <c r="O120" s="137">
        <f t="shared" si="31"/>
        <v>9.3000000000000007</v>
      </c>
      <c r="P120" s="137">
        <f t="shared" si="31"/>
        <v>9.3000000000000007</v>
      </c>
      <c r="Q120" s="137">
        <f t="shared" si="31"/>
        <v>9.3000000000000007</v>
      </c>
      <c r="R120" s="137">
        <f t="shared" si="31"/>
        <v>9.3000000000000007</v>
      </c>
      <c r="S120" s="137">
        <f t="shared" si="30"/>
        <v>9.3000000000000007</v>
      </c>
      <c r="T120" s="137">
        <f t="shared" si="30"/>
        <v>9.3000000000000007</v>
      </c>
      <c r="U120" s="137">
        <f t="shared" si="30"/>
        <v>9.3000000000000007</v>
      </c>
      <c r="V120" s="137">
        <f t="shared" si="30"/>
        <v>9.3000000000000007</v>
      </c>
      <c r="W120" s="137">
        <f t="shared" si="30"/>
        <v>9.3000000000000007</v>
      </c>
      <c r="X120" s="137">
        <f t="shared" si="30"/>
        <v>9.3000000000000007</v>
      </c>
      <c r="Y120" s="137">
        <f t="shared" si="30"/>
        <v>9.3000000000000007</v>
      </c>
      <c r="Z120" s="137">
        <f t="shared" si="30"/>
        <v>9.3000000000000007</v>
      </c>
      <c r="AA120" s="137">
        <f t="shared" si="30"/>
        <v>9.3000000000000007</v>
      </c>
      <c r="AB120" s="137">
        <f t="shared" si="30"/>
        <v>9.3000000000000007</v>
      </c>
      <c r="AC120" s="137">
        <f t="shared" si="30"/>
        <v>9.3000000000000007</v>
      </c>
      <c r="AD120" s="137">
        <f t="shared" si="30"/>
        <v>9.3000000000000007</v>
      </c>
      <c r="AE120" s="137">
        <f t="shared" si="30"/>
        <v>9.3000000000000007</v>
      </c>
      <c r="AF120" s="137">
        <f t="shared" si="30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1"/>
        <v>0</v>
      </c>
      <c r="D121" s="137">
        <f t="shared" si="31"/>
        <v>0</v>
      </c>
      <c r="E121" s="137">
        <f t="shared" si="31"/>
        <v>0</v>
      </c>
      <c r="F121" s="137">
        <f t="shared" si="31"/>
        <v>0</v>
      </c>
      <c r="G121" s="137">
        <f t="shared" si="31"/>
        <v>0</v>
      </c>
      <c r="H121" s="137">
        <f t="shared" si="31"/>
        <v>0</v>
      </c>
      <c r="I121" s="137">
        <f t="shared" si="31"/>
        <v>0</v>
      </c>
      <c r="J121" s="137">
        <f t="shared" si="31"/>
        <v>0</v>
      </c>
      <c r="K121" s="137">
        <f t="shared" si="31"/>
        <v>0</v>
      </c>
      <c r="L121" s="137">
        <f t="shared" si="31"/>
        <v>0</v>
      </c>
      <c r="M121" s="137">
        <f t="shared" si="31"/>
        <v>0</v>
      </c>
      <c r="N121" s="137">
        <f t="shared" si="31"/>
        <v>0</v>
      </c>
      <c r="O121" s="137">
        <f t="shared" si="31"/>
        <v>0</v>
      </c>
      <c r="P121" s="137">
        <f t="shared" si="31"/>
        <v>0</v>
      </c>
      <c r="Q121" s="137">
        <f t="shared" si="31"/>
        <v>0</v>
      </c>
      <c r="R121" s="137">
        <f t="shared" si="31"/>
        <v>0</v>
      </c>
      <c r="S121" s="137">
        <f t="shared" si="30"/>
        <v>0</v>
      </c>
      <c r="T121" s="137">
        <f t="shared" si="30"/>
        <v>0</v>
      </c>
      <c r="U121" s="137">
        <f t="shared" si="30"/>
        <v>0</v>
      </c>
      <c r="V121" s="137">
        <f t="shared" si="30"/>
        <v>0</v>
      </c>
      <c r="W121" s="137">
        <f t="shared" si="30"/>
        <v>0</v>
      </c>
      <c r="X121" s="137">
        <f t="shared" si="30"/>
        <v>0</v>
      </c>
      <c r="Y121" s="137">
        <f t="shared" si="30"/>
        <v>0</v>
      </c>
      <c r="Z121" s="137">
        <f t="shared" si="30"/>
        <v>0</v>
      </c>
      <c r="AA121" s="137">
        <f t="shared" si="30"/>
        <v>0</v>
      </c>
      <c r="AB121" s="137">
        <f t="shared" si="30"/>
        <v>0</v>
      </c>
      <c r="AC121" s="137">
        <f t="shared" si="30"/>
        <v>0</v>
      </c>
      <c r="AD121" s="137">
        <f t="shared" si="30"/>
        <v>0</v>
      </c>
      <c r="AE121" s="137">
        <f t="shared" si="30"/>
        <v>0</v>
      </c>
      <c r="AF121" s="137">
        <f t="shared" si="30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1"/>
        <v>5</v>
      </c>
      <c r="D123" s="137">
        <f t="shared" si="31"/>
        <v>5</v>
      </c>
      <c r="E123" s="137">
        <f t="shared" si="31"/>
        <v>5</v>
      </c>
      <c r="F123" s="137">
        <f t="shared" si="31"/>
        <v>5</v>
      </c>
      <c r="G123" s="137">
        <f t="shared" si="31"/>
        <v>5</v>
      </c>
      <c r="H123" s="137">
        <f t="shared" si="31"/>
        <v>5</v>
      </c>
      <c r="I123" s="137">
        <f t="shared" si="31"/>
        <v>5</v>
      </c>
      <c r="J123" s="137">
        <f t="shared" si="31"/>
        <v>5</v>
      </c>
      <c r="K123" s="137">
        <f t="shared" si="31"/>
        <v>5</v>
      </c>
      <c r="L123" s="137">
        <f t="shared" si="31"/>
        <v>5</v>
      </c>
      <c r="M123" s="137">
        <f t="shared" si="31"/>
        <v>5</v>
      </c>
      <c r="N123" s="137">
        <f t="shared" si="31"/>
        <v>5</v>
      </c>
      <c r="O123" s="137">
        <f t="shared" si="31"/>
        <v>5</v>
      </c>
      <c r="P123" s="137">
        <f t="shared" si="31"/>
        <v>5</v>
      </c>
      <c r="Q123" s="137">
        <f t="shared" si="31"/>
        <v>5</v>
      </c>
      <c r="R123" s="137">
        <f t="shared" si="31"/>
        <v>5</v>
      </c>
      <c r="S123" s="137">
        <f t="shared" si="30"/>
        <v>5</v>
      </c>
      <c r="T123" s="137">
        <f t="shared" si="30"/>
        <v>5</v>
      </c>
      <c r="U123" s="137">
        <f t="shared" si="30"/>
        <v>5</v>
      </c>
      <c r="V123" s="137">
        <f t="shared" si="30"/>
        <v>5</v>
      </c>
      <c r="W123" s="137">
        <f t="shared" si="30"/>
        <v>5</v>
      </c>
      <c r="X123" s="137">
        <f t="shared" si="30"/>
        <v>5</v>
      </c>
      <c r="Y123" s="137">
        <f t="shared" si="30"/>
        <v>5</v>
      </c>
      <c r="Z123" s="137">
        <f t="shared" si="30"/>
        <v>5</v>
      </c>
      <c r="AA123" s="137">
        <f t="shared" si="30"/>
        <v>5</v>
      </c>
      <c r="AB123" s="137">
        <f t="shared" si="30"/>
        <v>5</v>
      </c>
      <c r="AC123" s="137">
        <f t="shared" si="30"/>
        <v>5</v>
      </c>
      <c r="AD123" s="137">
        <f t="shared" si="30"/>
        <v>5</v>
      </c>
      <c r="AE123" s="137">
        <f t="shared" si="30"/>
        <v>5</v>
      </c>
      <c r="AF123" s="137">
        <f t="shared" si="30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1"/>
        <v>1</v>
      </c>
      <c r="D124" s="137">
        <f t="shared" si="31"/>
        <v>1</v>
      </c>
      <c r="E124" s="137">
        <f t="shared" si="31"/>
        <v>1</v>
      </c>
      <c r="F124" s="137">
        <f t="shared" si="31"/>
        <v>1</v>
      </c>
      <c r="G124" s="137">
        <f t="shared" si="31"/>
        <v>1</v>
      </c>
      <c r="H124" s="137">
        <f t="shared" si="31"/>
        <v>1</v>
      </c>
      <c r="I124" s="137">
        <f t="shared" si="31"/>
        <v>1</v>
      </c>
      <c r="J124" s="137">
        <f t="shared" si="31"/>
        <v>1</v>
      </c>
      <c r="K124" s="137">
        <f t="shared" si="31"/>
        <v>1</v>
      </c>
      <c r="L124" s="137">
        <f t="shared" si="31"/>
        <v>1</v>
      </c>
      <c r="M124" s="137">
        <f t="shared" si="31"/>
        <v>1</v>
      </c>
      <c r="N124" s="137">
        <f t="shared" si="31"/>
        <v>1</v>
      </c>
      <c r="O124" s="137">
        <f t="shared" si="31"/>
        <v>1</v>
      </c>
      <c r="P124" s="137">
        <f t="shared" si="31"/>
        <v>1</v>
      </c>
      <c r="Q124" s="137">
        <f t="shared" si="31"/>
        <v>1</v>
      </c>
      <c r="R124" s="137">
        <f t="shared" si="31"/>
        <v>1</v>
      </c>
      <c r="S124" s="137">
        <f t="shared" si="30"/>
        <v>1</v>
      </c>
      <c r="T124" s="137">
        <f t="shared" si="30"/>
        <v>1</v>
      </c>
      <c r="U124" s="137">
        <f t="shared" si="30"/>
        <v>1</v>
      </c>
      <c r="V124" s="137">
        <f t="shared" si="30"/>
        <v>1</v>
      </c>
      <c r="W124" s="137">
        <f t="shared" si="30"/>
        <v>1</v>
      </c>
      <c r="X124" s="137">
        <f t="shared" si="30"/>
        <v>1</v>
      </c>
      <c r="Y124" s="137">
        <f t="shared" si="30"/>
        <v>1</v>
      </c>
      <c r="Z124" s="137">
        <f t="shared" si="30"/>
        <v>1</v>
      </c>
      <c r="AA124" s="137">
        <f t="shared" si="30"/>
        <v>1</v>
      </c>
      <c r="AB124" s="137">
        <f t="shared" si="30"/>
        <v>1</v>
      </c>
      <c r="AC124" s="137">
        <f t="shared" si="30"/>
        <v>1</v>
      </c>
      <c r="AD124" s="137">
        <f t="shared" si="30"/>
        <v>1</v>
      </c>
      <c r="AE124" s="137">
        <f t="shared" si="30"/>
        <v>1</v>
      </c>
      <c r="AF124" s="137">
        <f t="shared" si="30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1"/>
        <v>1.58</v>
      </c>
      <c r="D125" s="137">
        <f t="shared" si="31"/>
        <v>1.58</v>
      </c>
      <c r="E125" s="137">
        <f t="shared" si="31"/>
        <v>1.58</v>
      </c>
      <c r="F125" s="137">
        <f t="shared" si="31"/>
        <v>1.58</v>
      </c>
      <c r="G125" s="137">
        <f t="shared" si="31"/>
        <v>1.58</v>
      </c>
      <c r="H125" s="137">
        <f t="shared" si="31"/>
        <v>1.58</v>
      </c>
      <c r="I125" s="137">
        <f t="shared" si="31"/>
        <v>1.58</v>
      </c>
      <c r="J125" s="137">
        <f t="shared" si="31"/>
        <v>1.58</v>
      </c>
      <c r="K125" s="137">
        <f t="shared" si="31"/>
        <v>1.58</v>
      </c>
      <c r="L125" s="137">
        <f t="shared" si="31"/>
        <v>1.58</v>
      </c>
      <c r="M125" s="137">
        <f t="shared" si="31"/>
        <v>1.58</v>
      </c>
      <c r="N125" s="137">
        <f t="shared" si="31"/>
        <v>1.58</v>
      </c>
      <c r="O125" s="137">
        <f t="shared" si="31"/>
        <v>1.58</v>
      </c>
      <c r="P125" s="137">
        <f t="shared" si="31"/>
        <v>1.58</v>
      </c>
      <c r="Q125" s="137">
        <f t="shared" si="31"/>
        <v>1.58</v>
      </c>
      <c r="R125" s="137">
        <f t="shared" si="31"/>
        <v>1.58</v>
      </c>
      <c r="S125" s="137">
        <f t="shared" si="30"/>
        <v>1.58</v>
      </c>
      <c r="T125" s="137">
        <f t="shared" si="30"/>
        <v>1.58</v>
      </c>
      <c r="U125" s="137">
        <f t="shared" si="30"/>
        <v>1.58</v>
      </c>
      <c r="V125" s="137">
        <f t="shared" si="30"/>
        <v>1.58</v>
      </c>
      <c r="W125" s="137">
        <f t="shared" si="30"/>
        <v>1.58</v>
      </c>
      <c r="X125" s="137">
        <f t="shared" si="30"/>
        <v>1.58</v>
      </c>
      <c r="Y125" s="137">
        <f t="shared" si="30"/>
        <v>1.58</v>
      </c>
      <c r="Z125" s="137">
        <f t="shared" si="30"/>
        <v>1.58</v>
      </c>
      <c r="AA125" s="137">
        <f t="shared" si="30"/>
        <v>1.58</v>
      </c>
      <c r="AB125" s="137">
        <f t="shared" si="30"/>
        <v>1.58</v>
      </c>
      <c r="AC125" s="137">
        <f t="shared" si="30"/>
        <v>1.58</v>
      </c>
      <c r="AD125" s="137">
        <f t="shared" si="30"/>
        <v>1.58</v>
      </c>
      <c r="AE125" s="137">
        <f t="shared" si="30"/>
        <v>1.58</v>
      </c>
      <c r="AF125" s="137">
        <f t="shared" si="30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1"/>
        <v>1.46</v>
      </c>
      <c r="D126" s="137">
        <f t="shared" si="31"/>
        <v>1.46</v>
      </c>
      <c r="E126" s="137">
        <f t="shared" si="31"/>
        <v>1.46</v>
      </c>
      <c r="F126" s="137">
        <f t="shared" si="31"/>
        <v>1.46</v>
      </c>
      <c r="G126" s="137">
        <f t="shared" si="31"/>
        <v>1.46</v>
      </c>
      <c r="H126" s="137">
        <f t="shared" si="31"/>
        <v>1.46</v>
      </c>
      <c r="I126" s="137">
        <f t="shared" si="31"/>
        <v>1.46</v>
      </c>
      <c r="J126" s="137">
        <f t="shared" si="31"/>
        <v>1.46</v>
      </c>
      <c r="K126" s="137">
        <f t="shared" si="31"/>
        <v>1.46</v>
      </c>
      <c r="L126" s="137">
        <f t="shared" si="31"/>
        <v>1.46</v>
      </c>
      <c r="M126" s="137">
        <f t="shared" si="31"/>
        <v>1.46</v>
      </c>
      <c r="N126" s="137">
        <f t="shared" si="31"/>
        <v>1.46</v>
      </c>
      <c r="O126" s="137">
        <f t="shared" si="31"/>
        <v>1.46</v>
      </c>
      <c r="P126" s="137">
        <f t="shared" si="31"/>
        <v>1.46</v>
      </c>
      <c r="Q126" s="137">
        <f t="shared" si="31"/>
        <v>1.46</v>
      </c>
      <c r="R126" s="137">
        <f t="shared" si="31"/>
        <v>1.46</v>
      </c>
      <c r="S126" s="137">
        <f t="shared" ref="S126:AF127" si="32">R126</f>
        <v>1.46</v>
      </c>
      <c r="T126" s="137">
        <f t="shared" si="32"/>
        <v>1.46</v>
      </c>
      <c r="U126" s="137">
        <f t="shared" si="32"/>
        <v>1.46</v>
      </c>
      <c r="V126" s="137">
        <f t="shared" si="32"/>
        <v>1.46</v>
      </c>
      <c r="W126" s="137">
        <f t="shared" si="32"/>
        <v>1.46</v>
      </c>
      <c r="X126" s="137">
        <f t="shared" si="32"/>
        <v>1.46</v>
      </c>
      <c r="Y126" s="137">
        <f t="shared" si="32"/>
        <v>1.46</v>
      </c>
      <c r="Z126" s="137">
        <f t="shared" si="32"/>
        <v>1.46</v>
      </c>
      <c r="AA126" s="137">
        <f t="shared" si="32"/>
        <v>1.46</v>
      </c>
      <c r="AB126" s="137">
        <f t="shared" si="32"/>
        <v>1.46</v>
      </c>
      <c r="AC126" s="137">
        <f t="shared" si="32"/>
        <v>1.46</v>
      </c>
      <c r="AD126" s="137">
        <f t="shared" si="32"/>
        <v>1.46</v>
      </c>
      <c r="AE126" s="137">
        <f t="shared" si="32"/>
        <v>1.46</v>
      </c>
      <c r="AF126" s="137">
        <f t="shared" si="32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1"/>
        <v>1.48</v>
      </c>
      <c r="D127" s="137">
        <f t="shared" si="31"/>
        <v>1.48</v>
      </c>
      <c r="E127" s="137">
        <f t="shared" si="31"/>
        <v>1.48</v>
      </c>
      <c r="F127" s="137">
        <f t="shared" si="31"/>
        <v>1.48</v>
      </c>
      <c r="G127" s="137">
        <f t="shared" si="31"/>
        <v>1.48</v>
      </c>
      <c r="H127" s="137">
        <f t="shared" si="31"/>
        <v>1.48</v>
      </c>
      <c r="I127" s="137">
        <f t="shared" si="31"/>
        <v>1.48</v>
      </c>
      <c r="J127" s="137">
        <f t="shared" si="31"/>
        <v>1.48</v>
      </c>
      <c r="K127" s="137">
        <f t="shared" si="31"/>
        <v>1.48</v>
      </c>
      <c r="L127" s="137">
        <f t="shared" si="31"/>
        <v>1.48</v>
      </c>
      <c r="M127" s="137">
        <f t="shared" si="31"/>
        <v>1.48</v>
      </c>
      <c r="N127" s="137">
        <f t="shared" si="31"/>
        <v>1.48</v>
      </c>
      <c r="O127" s="137">
        <f t="shared" si="31"/>
        <v>1.48</v>
      </c>
      <c r="P127" s="137">
        <f t="shared" si="31"/>
        <v>1.48</v>
      </c>
      <c r="Q127" s="137">
        <f t="shared" si="31"/>
        <v>1.48</v>
      </c>
      <c r="R127" s="137">
        <f t="shared" si="31"/>
        <v>1.48</v>
      </c>
      <c r="S127" s="137">
        <f t="shared" si="32"/>
        <v>1.48</v>
      </c>
      <c r="T127" s="137">
        <f t="shared" si="32"/>
        <v>1.48</v>
      </c>
      <c r="U127" s="137">
        <f t="shared" si="32"/>
        <v>1.48</v>
      </c>
      <c r="V127" s="137">
        <f t="shared" si="32"/>
        <v>1.48</v>
      </c>
      <c r="W127" s="137">
        <f t="shared" si="32"/>
        <v>1.48</v>
      </c>
      <c r="X127" s="137">
        <f t="shared" si="32"/>
        <v>1.48</v>
      </c>
      <c r="Y127" s="137">
        <f t="shared" si="32"/>
        <v>1.48</v>
      </c>
      <c r="Z127" s="137">
        <f t="shared" si="32"/>
        <v>1.48</v>
      </c>
      <c r="AA127" s="137">
        <f t="shared" si="32"/>
        <v>1.48</v>
      </c>
      <c r="AB127" s="137">
        <f t="shared" si="32"/>
        <v>1.48</v>
      </c>
      <c r="AC127" s="137">
        <f t="shared" si="32"/>
        <v>1.48</v>
      </c>
      <c r="AD127" s="137">
        <f t="shared" si="32"/>
        <v>1.48</v>
      </c>
      <c r="AE127" s="137">
        <f t="shared" si="32"/>
        <v>1.48</v>
      </c>
      <c r="AF127" s="137">
        <f t="shared" si="32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3">B129</f>
        <v>2.2000000000000002</v>
      </c>
      <c r="D129" s="137">
        <f t="shared" si="33"/>
        <v>2.2000000000000002</v>
      </c>
      <c r="E129" s="137">
        <f t="shared" si="33"/>
        <v>2.2000000000000002</v>
      </c>
      <c r="F129" s="137">
        <f t="shared" si="33"/>
        <v>2.2000000000000002</v>
      </c>
      <c r="G129" s="137">
        <f t="shared" si="33"/>
        <v>2.2000000000000002</v>
      </c>
      <c r="H129" s="137">
        <f t="shared" si="33"/>
        <v>2.2000000000000002</v>
      </c>
      <c r="I129" s="137">
        <f t="shared" si="33"/>
        <v>2.2000000000000002</v>
      </c>
      <c r="J129" s="137">
        <f t="shared" si="33"/>
        <v>2.2000000000000002</v>
      </c>
      <c r="K129" s="137">
        <f t="shared" si="33"/>
        <v>2.2000000000000002</v>
      </c>
      <c r="L129" s="137">
        <f t="shared" si="33"/>
        <v>2.2000000000000002</v>
      </c>
      <c r="M129" s="137">
        <f t="shared" si="33"/>
        <v>2.2000000000000002</v>
      </c>
      <c r="N129" s="137">
        <f t="shared" si="33"/>
        <v>2.2000000000000002</v>
      </c>
      <c r="O129" s="137">
        <f t="shared" si="33"/>
        <v>2.2000000000000002</v>
      </c>
      <c r="P129" s="137">
        <f t="shared" si="33"/>
        <v>2.2000000000000002</v>
      </c>
      <c r="Q129" s="137">
        <f t="shared" si="33"/>
        <v>2.2000000000000002</v>
      </c>
      <c r="R129" s="137">
        <f t="shared" si="33"/>
        <v>2.2000000000000002</v>
      </c>
      <c r="S129" s="137">
        <f t="shared" ref="S129:AF136" si="34">R129</f>
        <v>2.2000000000000002</v>
      </c>
      <c r="T129" s="137">
        <f t="shared" si="34"/>
        <v>2.2000000000000002</v>
      </c>
      <c r="U129" s="137">
        <f t="shared" si="34"/>
        <v>2.2000000000000002</v>
      </c>
      <c r="V129" s="137">
        <f t="shared" si="34"/>
        <v>2.2000000000000002</v>
      </c>
      <c r="W129" s="137">
        <f t="shared" si="34"/>
        <v>2.2000000000000002</v>
      </c>
      <c r="X129" s="137">
        <f t="shared" si="34"/>
        <v>2.2000000000000002</v>
      </c>
      <c r="Y129" s="137">
        <f t="shared" si="34"/>
        <v>2.2000000000000002</v>
      </c>
      <c r="Z129" s="137">
        <f t="shared" si="34"/>
        <v>2.2000000000000002</v>
      </c>
      <c r="AA129" s="137">
        <f t="shared" si="34"/>
        <v>2.2000000000000002</v>
      </c>
      <c r="AB129" s="137">
        <f t="shared" si="34"/>
        <v>2.2000000000000002</v>
      </c>
      <c r="AC129" s="137">
        <f t="shared" si="34"/>
        <v>2.2000000000000002</v>
      </c>
      <c r="AD129" s="137">
        <f t="shared" si="34"/>
        <v>2.2000000000000002</v>
      </c>
      <c r="AE129" s="137">
        <f t="shared" si="34"/>
        <v>2.2000000000000002</v>
      </c>
      <c r="AF129" s="137">
        <f t="shared" si="34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3"/>
        <v>2</v>
      </c>
      <c r="D130" s="137">
        <f t="shared" si="33"/>
        <v>2</v>
      </c>
      <c r="E130" s="137">
        <f t="shared" si="33"/>
        <v>2</v>
      </c>
      <c r="F130" s="137">
        <f t="shared" si="33"/>
        <v>2</v>
      </c>
      <c r="G130" s="137">
        <f t="shared" si="33"/>
        <v>2</v>
      </c>
      <c r="H130" s="137">
        <f t="shared" si="33"/>
        <v>2</v>
      </c>
      <c r="I130" s="137">
        <f t="shared" si="33"/>
        <v>2</v>
      </c>
      <c r="J130" s="137">
        <f t="shared" si="33"/>
        <v>2</v>
      </c>
      <c r="K130" s="137">
        <f t="shared" si="33"/>
        <v>2</v>
      </c>
      <c r="L130" s="137">
        <f t="shared" si="33"/>
        <v>2</v>
      </c>
      <c r="M130" s="137">
        <f t="shared" si="33"/>
        <v>2</v>
      </c>
      <c r="N130" s="137">
        <f t="shared" si="33"/>
        <v>2</v>
      </c>
      <c r="O130" s="137">
        <f t="shared" si="33"/>
        <v>2</v>
      </c>
      <c r="P130" s="137">
        <f t="shared" si="33"/>
        <v>2</v>
      </c>
      <c r="Q130" s="137">
        <f t="shared" si="33"/>
        <v>2</v>
      </c>
      <c r="R130" s="137">
        <f t="shared" si="33"/>
        <v>2</v>
      </c>
      <c r="S130" s="137">
        <f t="shared" si="34"/>
        <v>2</v>
      </c>
      <c r="T130" s="137">
        <f t="shared" si="34"/>
        <v>2</v>
      </c>
      <c r="U130" s="137">
        <f t="shared" si="34"/>
        <v>2</v>
      </c>
      <c r="V130" s="137">
        <f t="shared" si="34"/>
        <v>2</v>
      </c>
      <c r="W130" s="137">
        <f t="shared" si="34"/>
        <v>2</v>
      </c>
      <c r="X130" s="137">
        <f t="shared" si="34"/>
        <v>2</v>
      </c>
      <c r="Y130" s="137">
        <f t="shared" si="34"/>
        <v>2</v>
      </c>
      <c r="Z130" s="137">
        <f t="shared" si="34"/>
        <v>2</v>
      </c>
      <c r="AA130" s="137">
        <f t="shared" si="34"/>
        <v>2</v>
      </c>
      <c r="AB130" s="137">
        <f t="shared" si="34"/>
        <v>2</v>
      </c>
      <c r="AC130" s="137">
        <f t="shared" si="34"/>
        <v>2</v>
      </c>
      <c r="AD130" s="137">
        <f t="shared" si="34"/>
        <v>2</v>
      </c>
      <c r="AE130" s="137">
        <f t="shared" si="34"/>
        <v>2</v>
      </c>
      <c r="AF130" s="137">
        <f t="shared" si="34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3"/>
        <v>1.25</v>
      </c>
      <c r="D131" s="137">
        <f t="shared" si="33"/>
        <v>1.25</v>
      </c>
      <c r="E131" s="137">
        <f t="shared" si="33"/>
        <v>1.25</v>
      </c>
      <c r="F131" s="137">
        <f t="shared" si="33"/>
        <v>1.25</v>
      </c>
      <c r="G131" s="137">
        <f t="shared" si="33"/>
        <v>1.25</v>
      </c>
      <c r="H131" s="137">
        <f t="shared" si="33"/>
        <v>1.25</v>
      </c>
      <c r="I131" s="137">
        <f t="shared" si="33"/>
        <v>1.25</v>
      </c>
      <c r="J131" s="137">
        <f t="shared" si="33"/>
        <v>1.25</v>
      </c>
      <c r="K131" s="137">
        <f t="shared" si="33"/>
        <v>1.25</v>
      </c>
      <c r="L131" s="137">
        <f t="shared" si="33"/>
        <v>1.25</v>
      </c>
      <c r="M131" s="137">
        <f t="shared" si="33"/>
        <v>1.25</v>
      </c>
      <c r="N131" s="137">
        <f t="shared" si="33"/>
        <v>1.25</v>
      </c>
      <c r="O131" s="137">
        <f t="shared" si="33"/>
        <v>1.25</v>
      </c>
      <c r="P131" s="137">
        <f t="shared" si="33"/>
        <v>1.25</v>
      </c>
      <c r="Q131" s="137">
        <f t="shared" si="33"/>
        <v>1.25</v>
      </c>
      <c r="R131" s="137">
        <f t="shared" si="33"/>
        <v>1.25</v>
      </c>
      <c r="S131" s="137">
        <f t="shared" si="34"/>
        <v>1.25</v>
      </c>
      <c r="T131" s="137">
        <f t="shared" si="34"/>
        <v>1.25</v>
      </c>
      <c r="U131" s="137">
        <f t="shared" si="34"/>
        <v>1.25</v>
      </c>
      <c r="V131" s="137">
        <f t="shared" si="34"/>
        <v>1.25</v>
      </c>
      <c r="W131" s="137">
        <f t="shared" si="34"/>
        <v>1.25</v>
      </c>
      <c r="X131" s="137">
        <f t="shared" si="34"/>
        <v>1.25</v>
      </c>
      <c r="Y131" s="137">
        <f t="shared" si="34"/>
        <v>1.25</v>
      </c>
      <c r="Z131" s="137">
        <f t="shared" si="34"/>
        <v>1.25</v>
      </c>
      <c r="AA131" s="137">
        <f t="shared" si="34"/>
        <v>1.25</v>
      </c>
      <c r="AB131" s="137">
        <f t="shared" si="34"/>
        <v>1.25</v>
      </c>
      <c r="AC131" s="137">
        <f t="shared" si="34"/>
        <v>1.25</v>
      </c>
      <c r="AD131" s="137">
        <f t="shared" si="34"/>
        <v>1.25</v>
      </c>
      <c r="AE131" s="137">
        <f t="shared" si="34"/>
        <v>1.25</v>
      </c>
      <c r="AF131" s="137">
        <f t="shared" si="34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3"/>
        <v>1.1499999999999999</v>
      </c>
      <c r="D132" s="137">
        <f t="shared" si="33"/>
        <v>1.1499999999999999</v>
      </c>
      <c r="E132" s="137">
        <f t="shared" si="33"/>
        <v>1.1499999999999999</v>
      </c>
      <c r="F132" s="137">
        <f t="shared" si="33"/>
        <v>1.1499999999999999</v>
      </c>
      <c r="G132" s="137">
        <f t="shared" si="33"/>
        <v>1.1499999999999999</v>
      </c>
      <c r="H132" s="137">
        <f t="shared" si="33"/>
        <v>1.1499999999999999</v>
      </c>
      <c r="I132" s="137">
        <f t="shared" si="33"/>
        <v>1.1499999999999999</v>
      </c>
      <c r="J132" s="137">
        <f t="shared" si="33"/>
        <v>1.1499999999999999</v>
      </c>
      <c r="K132" s="137">
        <f t="shared" si="33"/>
        <v>1.1499999999999999</v>
      </c>
      <c r="L132" s="137">
        <f t="shared" si="33"/>
        <v>1.1499999999999999</v>
      </c>
      <c r="M132" s="137">
        <f t="shared" si="33"/>
        <v>1.1499999999999999</v>
      </c>
      <c r="N132" s="137">
        <f t="shared" si="33"/>
        <v>1.1499999999999999</v>
      </c>
      <c r="O132" s="137">
        <f t="shared" si="33"/>
        <v>1.1499999999999999</v>
      </c>
      <c r="P132" s="137">
        <f t="shared" si="33"/>
        <v>1.1499999999999999</v>
      </c>
      <c r="Q132" s="137">
        <f t="shared" si="33"/>
        <v>1.1499999999999999</v>
      </c>
      <c r="R132" s="137">
        <f t="shared" si="33"/>
        <v>1.1499999999999999</v>
      </c>
      <c r="S132" s="137">
        <f t="shared" si="34"/>
        <v>1.1499999999999999</v>
      </c>
      <c r="T132" s="137">
        <f t="shared" si="34"/>
        <v>1.1499999999999999</v>
      </c>
      <c r="U132" s="137">
        <f t="shared" si="34"/>
        <v>1.1499999999999999</v>
      </c>
      <c r="V132" s="137">
        <f t="shared" si="34"/>
        <v>1.1499999999999999</v>
      </c>
      <c r="W132" s="137">
        <f t="shared" si="34"/>
        <v>1.1499999999999999</v>
      </c>
      <c r="X132" s="137">
        <f t="shared" si="34"/>
        <v>1.1499999999999999</v>
      </c>
      <c r="Y132" s="137">
        <f t="shared" si="34"/>
        <v>1.1499999999999999</v>
      </c>
      <c r="Z132" s="137">
        <f t="shared" si="34"/>
        <v>1.1499999999999999</v>
      </c>
      <c r="AA132" s="137">
        <f t="shared" si="34"/>
        <v>1.1499999999999999</v>
      </c>
      <c r="AB132" s="137">
        <f t="shared" si="34"/>
        <v>1.1499999999999999</v>
      </c>
      <c r="AC132" s="137">
        <f t="shared" si="34"/>
        <v>1.1499999999999999</v>
      </c>
      <c r="AD132" s="137">
        <f t="shared" si="34"/>
        <v>1.1499999999999999</v>
      </c>
      <c r="AE132" s="137">
        <f t="shared" si="34"/>
        <v>1.1499999999999999</v>
      </c>
      <c r="AF132" s="137">
        <f t="shared" si="34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3"/>
        <v>2.133</v>
      </c>
      <c r="D133" s="137">
        <f t="shared" si="33"/>
        <v>2.133</v>
      </c>
      <c r="E133" s="137">
        <f t="shared" si="33"/>
        <v>2.133</v>
      </c>
      <c r="F133" s="137">
        <f t="shared" si="33"/>
        <v>2.133</v>
      </c>
      <c r="G133" s="137">
        <f t="shared" si="33"/>
        <v>2.133</v>
      </c>
      <c r="H133" s="137">
        <f t="shared" si="33"/>
        <v>2.133</v>
      </c>
      <c r="I133" s="137">
        <f t="shared" si="33"/>
        <v>2.133</v>
      </c>
      <c r="J133" s="137">
        <f t="shared" si="33"/>
        <v>2.133</v>
      </c>
      <c r="K133" s="137">
        <f t="shared" si="33"/>
        <v>2.133</v>
      </c>
      <c r="L133" s="137">
        <f t="shared" si="33"/>
        <v>2.133</v>
      </c>
      <c r="M133" s="137">
        <f t="shared" si="33"/>
        <v>2.133</v>
      </c>
      <c r="N133" s="137">
        <f t="shared" si="33"/>
        <v>2.133</v>
      </c>
      <c r="O133" s="137">
        <f t="shared" si="33"/>
        <v>2.133</v>
      </c>
      <c r="P133" s="137">
        <f t="shared" si="33"/>
        <v>2.133</v>
      </c>
      <c r="Q133" s="137">
        <f t="shared" si="33"/>
        <v>2.133</v>
      </c>
      <c r="R133" s="137">
        <f t="shared" si="33"/>
        <v>2.133</v>
      </c>
      <c r="S133" s="137">
        <f t="shared" si="34"/>
        <v>2.133</v>
      </c>
      <c r="T133" s="137">
        <f t="shared" si="34"/>
        <v>2.133</v>
      </c>
      <c r="U133" s="137">
        <f t="shared" si="34"/>
        <v>2.133</v>
      </c>
      <c r="V133" s="137">
        <f t="shared" si="34"/>
        <v>2.133</v>
      </c>
      <c r="W133" s="137">
        <f t="shared" si="34"/>
        <v>2.133</v>
      </c>
      <c r="X133" s="137">
        <f t="shared" si="34"/>
        <v>2.133</v>
      </c>
      <c r="Y133" s="137">
        <f t="shared" si="34"/>
        <v>2.133</v>
      </c>
      <c r="Z133" s="137">
        <f t="shared" si="34"/>
        <v>2.133</v>
      </c>
      <c r="AA133" s="137">
        <f t="shared" si="34"/>
        <v>2.133</v>
      </c>
      <c r="AB133" s="137">
        <f t="shared" si="34"/>
        <v>2.133</v>
      </c>
      <c r="AC133" s="137">
        <f t="shared" si="34"/>
        <v>2.133</v>
      </c>
      <c r="AD133" s="137">
        <f t="shared" si="34"/>
        <v>2.133</v>
      </c>
      <c r="AE133" s="137">
        <f t="shared" si="34"/>
        <v>2.133</v>
      </c>
      <c r="AF133" s="137">
        <f t="shared" si="34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3"/>
        <v>2.09</v>
      </c>
      <c r="D134" s="137">
        <f t="shared" si="33"/>
        <v>2.09</v>
      </c>
      <c r="E134" s="137">
        <f t="shared" si="33"/>
        <v>2.09</v>
      </c>
      <c r="F134" s="137">
        <f t="shared" si="33"/>
        <v>2.09</v>
      </c>
      <c r="G134" s="137">
        <f t="shared" si="33"/>
        <v>2.09</v>
      </c>
      <c r="H134" s="137">
        <f t="shared" si="33"/>
        <v>2.09</v>
      </c>
      <c r="I134" s="137">
        <f t="shared" si="33"/>
        <v>2.09</v>
      </c>
      <c r="J134" s="137">
        <f t="shared" si="33"/>
        <v>2.09</v>
      </c>
      <c r="K134" s="137">
        <f t="shared" si="33"/>
        <v>2.09</v>
      </c>
      <c r="L134" s="137">
        <f t="shared" si="33"/>
        <v>2.09</v>
      </c>
      <c r="M134" s="137">
        <f t="shared" si="33"/>
        <v>2.09</v>
      </c>
      <c r="N134" s="137">
        <f t="shared" si="33"/>
        <v>2.09</v>
      </c>
      <c r="O134" s="137">
        <f t="shared" si="33"/>
        <v>2.09</v>
      </c>
      <c r="P134" s="137">
        <f t="shared" si="33"/>
        <v>2.09</v>
      </c>
      <c r="Q134" s="137">
        <f t="shared" si="33"/>
        <v>2.09</v>
      </c>
      <c r="R134" s="137">
        <f t="shared" si="33"/>
        <v>2.09</v>
      </c>
      <c r="S134" s="137">
        <f t="shared" si="34"/>
        <v>2.09</v>
      </c>
      <c r="T134" s="137">
        <f t="shared" si="34"/>
        <v>2.09</v>
      </c>
      <c r="U134" s="137">
        <f t="shared" si="34"/>
        <v>2.09</v>
      </c>
      <c r="V134" s="137">
        <f t="shared" si="34"/>
        <v>2.09</v>
      </c>
      <c r="W134" s="137">
        <f t="shared" si="34"/>
        <v>2.09</v>
      </c>
      <c r="X134" s="137">
        <f t="shared" si="34"/>
        <v>2.09</v>
      </c>
      <c r="Y134" s="137">
        <f t="shared" si="34"/>
        <v>2.09</v>
      </c>
      <c r="Z134" s="137">
        <f t="shared" si="34"/>
        <v>2.09</v>
      </c>
      <c r="AA134" s="137">
        <f t="shared" si="34"/>
        <v>2.09</v>
      </c>
      <c r="AB134" s="137">
        <f t="shared" si="34"/>
        <v>2.09</v>
      </c>
      <c r="AC134" s="137">
        <f t="shared" si="34"/>
        <v>2.09</v>
      </c>
      <c r="AD134" s="137">
        <f t="shared" si="34"/>
        <v>2.09</v>
      </c>
      <c r="AE134" s="137">
        <f t="shared" si="34"/>
        <v>2.09</v>
      </c>
      <c r="AF134" s="137">
        <f t="shared" si="34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3"/>
        <v>1.1399999999999999</v>
      </c>
      <c r="D135" s="137">
        <f t="shared" si="33"/>
        <v>1.1399999999999999</v>
      </c>
      <c r="E135" s="137">
        <f t="shared" si="33"/>
        <v>1.1399999999999999</v>
      </c>
      <c r="F135" s="137">
        <f t="shared" si="33"/>
        <v>1.1399999999999999</v>
      </c>
      <c r="G135" s="137">
        <f t="shared" si="33"/>
        <v>1.1399999999999999</v>
      </c>
      <c r="H135" s="137">
        <f t="shared" si="33"/>
        <v>1.1399999999999999</v>
      </c>
      <c r="I135" s="137">
        <f t="shared" si="33"/>
        <v>1.1399999999999999</v>
      </c>
      <c r="J135" s="137">
        <f t="shared" si="33"/>
        <v>1.1399999999999999</v>
      </c>
      <c r="K135" s="137">
        <f t="shared" si="33"/>
        <v>1.1399999999999999</v>
      </c>
      <c r="L135" s="137">
        <f t="shared" si="33"/>
        <v>1.1399999999999999</v>
      </c>
      <c r="M135" s="137">
        <f t="shared" si="33"/>
        <v>1.1399999999999999</v>
      </c>
      <c r="N135" s="137">
        <f t="shared" si="33"/>
        <v>1.1399999999999999</v>
      </c>
      <c r="O135" s="137">
        <f t="shared" si="33"/>
        <v>1.1399999999999999</v>
      </c>
      <c r="P135" s="137">
        <f t="shared" si="33"/>
        <v>1.1399999999999999</v>
      </c>
      <c r="Q135" s="137">
        <f t="shared" si="33"/>
        <v>1.1399999999999999</v>
      </c>
      <c r="R135" s="137">
        <f t="shared" si="33"/>
        <v>1.1399999999999999</v>
      </c>
      <c r="S135" s="137">
        <f t="shared" si="34"/>
        <v>1.1399999999999999</v>
      </c>
      <c r="T135" s="137">
        <f t="shared" si="34"/>
        <v>1.1399999999999999</v>
      </c>
      <c r="U135" s="137">
        <f t="shared" si="34"/>
        <v>1.1399999999999999</v>
      </c>
      <c r="V135" s="137">
        <f t="shared" si="34"/>
        <v>1.1399999999999999</v>
      </c>
      <c r="W135" s="137">
        <f t="shared" si="34"/>
        <v>1.1399999999999999</v>
      </c>
      <c r="X135" s="137">
        <f t="shared" si="34"/>
        <v>1.1399999999999999</v>
      </c>
      <c r="Y135" s="137">
        <f t="shared" si="34"/>
        <v>1.1399999999999999</v>
      </c>
      <c r="Z135" s="137">
        <f t="shared" si="34"/>
        <v>1.1399999999999999</v>
      </c>
      <c r="AA135" s="137">
        <f t="shared" si="34"/>
        <v>1.1399999999999999</v>
      </c>
      <c r="AB135" s="137">
        <f t="shared" si="34"/>
        <v>1.1399999999999999</v>
      </c>
      <c r="AC135" s="137">
        <f t="shared" si="34"/>
        <v>1.1399999999999999</v>
      </c>
      <c r="AD135" s="137">
        <f t="shared" si="34"/>
        <v>1.1399999999999999</v>
      </c>
      <c r="AE135" s="137">
        <f t="shared" si="34"/>
        <v>1.1399999999999999</v>
      </c>
      <c r="AF135" s="137">
        <f t="shared" si="34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3"/>
        <v>0.82</v>
      </c>
      <c r="D136" s="137">
        <f t="shared" si="33"/>
        <v>0.82</v>
      </c>
      <c r="E136" s="137">
        <f t="shared" si="33"/>
        <v>0.82</v>
      </c>
      <c r="F136" s="137">
        <f t="shared" si="33"/>
        <v>0.82</v>
      </c>
      <c r="G136" s="137">
        <f t="shared" si="33"/>
        <v>0.82</v>
      </c>
      <c r="H136" s="137">
        <f t="shared" si="33"/>
        <v>0.82</v>
      </c>
      <c r="I136" s="137">
        <f t="shared" si="33"/>
        <v>0.82</v>
      </c>
      <c r="J136" s="137">
        <f t="shared" si="33"/>
        <v>0.82</v>
      </c>
      <c r="K136" s="137">
        <f t="shared" si="33"/>
        <v>0.82</v>
      </c>
      <c r="L136" s="137">
        <f t="shared" si="33"/>
        <v>0.82</v>
      </c>
      <c r="M136" s="137">
        <f t="shared" si="33"/>
        <v>0.82</v>
      </c>
      <c r="N136" s="137">
        <f t="shared" si="33"/>
        <v>0.82</v>
      </c>
      <c r="O136" s="137">
        <f t="shared" si="33"/>
        <v>0.82</v>
      </c>
      <c r="P136" s="137">
        <f t="shared" si="33"/>
        <v>0.82</v>
      </c>
      <c r="Q136" s="137">
        <f t="shared" si="33"/>
        <v>0.82</v>
      </c>
      <c r="R136" s="137">
        <f t="shared" si="33"/>
        <v>0.82</v>
      </c>
      <c r="S136" s="137">
        <f t="shared" si="34"/>
        <v>0.82</v>
      </c>
      <c r="T136" s="137">
        <f t="shared" si="34"/>
        <v>0.82</v>
      </c>
      <c r="U136" s="137">
        <f t="shared" si="34"/>
        <v>0.82</v>
      </c>
      <c r="V136" s="137">
        <f t="shared" si="34"/>
        <v>0.82</v>
      </c>
      <c r="W136" s="137">
        <f t="shared" si="34"/>
        <v>0.82</v>
      </c>
      <c r="X136" s="137">
        <f t="shared" si="34"/>
        <v>0.82</v>
      </c>
      <c r="Y136" s="137">
        <f t="shared" si="34"/>
        <v>0.82</v>
      </c>
      <c r="Z136" s="137">
        <f t="shared" si="34"/>
        <v>0.82</v>
      </c>
      <c r="AA136" s="137">
        <f t="shared" si="34"/>
        <v>0.82</v>
      </c>
      <c r="AB136" s="137">
        <f t="shared" si="34"/>
        <v>0.82</v>
      </c>
      <c r="AC136" s="137">
        <f t="shared" si="34"/>
        <v>0.82</v>
      </c>
      <c r="AD136" s="137">
        <f t="shared" si="34"/>
        <v>0.82</v>
      </c>
      <c r="AE136" s="137">
        <f t="shared" si="34"/>
        <v>0.82</v>
      </c>
      <c r="AF136" s="137">
        <f t="shared" si="34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5">B138</f>
        <v>2</v>
      </c>
      <c r="D138" s="137">
        <f t="shared" si="35"/>
        <v>2</v>
      </c>
      <c r="E138" s="137">
        <f t="shared" si="35"/>
        <v>2</v>
      </c>
      <c r="F138" s="137">
        <f t="shared" si="35"/>
        <v>2</v>
      </c>
      <c r="G138" s="137">
        <f t="shared" si="35"/>
        <v>2</v>
      </c>
      <c r="H138" s="137">
        <f t="shared" si="35"/>
        <v>2</v>
      </c>
      <c r="I138" s="137">
        <f t="shared" si="35"/>
        <v>2</v>
      </c>
      <c r="J138" s="137">
        <f t="shared" si="35"/>
        <v>2</v>
      </c>
      <c r="K138" s="137">
        <f t="shared" si="35"/>
        <v>2</v>
      </c>
      <c r="L138" s="137">
        <f t="shared" si="35"/>
        <v>2</v>
      </c>
      <c r="M138" s="137">
        <f t="shared" si="35"/>
        <v>2</v>
      </c>
      <c r="N138" s="137">
        <f t="shared" si="35"/>
        <v>2</v>
      </c>
      <c r="O138" s="137">
        <f t="shared" si="35"/>
        <v>2</v>
      </c>
      <c r="P138" s="137">
        <f t="shared" si="35"/>
        <v>2</v>
      </c>
      <c r="Q138" s="137">
        <f t="shared" si="35"/>
        <v>2</v>
      </c>
      <c r="R138" s="137">
        <f t="shared" si="35"/>
        <v>2</v>
      </c>
      <c r="S138" s="137">
        <f t="shared" ref="S138:AF144" si="36">R138</f>
        <v>2</v>
      </c>
      <c r="T138" s="137">
        <f t="shared" si="36"/>
        <v>2</v>
      </c>
      <c r="U138" s="137">
        <f t="shared" si="36"/>
        <v>2</v>
      </c>
      <c r="V138" s="137">
        <f t="shared" si="36"/>
        <v>2</v>
      </c>
      <c r="W138" s="137">
        <f t="shared" si="36"/>
        <v>2</v>
      </c>
      <c r="X138" s="137">
        <f t="shared" si="36"/>
        <v>2</v>
      </c>
      <c r="Y138" s="137">
        <f t="shared" si="36"/>
        <v>2</v>
      </c>
      <c r="Z138" s="137">
        <f t="shared" si="36"/>
        <v>2</v>
      </c>
      <c r="AA138" s="137">
        <f t="shared" si="36"/>
        <v>2</v>
      </c>
      <c r="AB138" s="137">
        <f t="shared" si="36"/>
        <v>2</v>
      </c>
      <c r="AC138" s="137">
        <f t="shared" si="36"/>
        <v>2</v>
      </c>
      <c r="AD138" s="137">
        <f t="shared" si="36"/>
        <v>2</v>
      </c>
      <c r="AE138" s="137">
        <f t="shared" si="36"/>
        <v>2</v>
      </c>
      <c r="AF138" s="137">
        <f t="shared" si="36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5"/>
        <v>5.61</v>
      </c>
      <c r="D139" s="137">
        <f t="shared" si="35"/>
        <v>5.61</v>
      </c>
      <c r="E139" s="137">
        <f t="shared" si="35"/>
        <v>5.61</v>
      </c>
      <c r="F139" s="137">
        <f t="shared" si="35"/>
        <v>5.61</v>
      </c>
      <c r="G139" s="137">
        <f t="shared" si="35"/>
        <v>5.61</v>
      </c>
      <c r="H139" s="137">
        <f t="shared" si="35"/>
        <v>5.61</v>
      </c>
      <c r="I139" s="137">
        <f t="shared" si="35"/>
        <v>5.61</v>
      </c>
      <c r="J139" s="137">
        <f t="shared" si="35"/>
        <v>5.61</v>
      </c>
      <c r="K139" s="137">
        <f t="shared" si="35"/>
        <v>5.61</v>
      </c>
      <c r="L139" s="137">
        <f t="shared" si="35"/>
        <v>5.61</v>
      </c>
      <c r="M139" s="137">
        <f t="shared" si="35"/>
        <v>5.61</v>
      </c>
      <c r="N139" s="137">
        <f t="shared" si="35"/>
        <v>5.61</v>
      </c>
      <c r="O139" s="137">
        <f t="shared" si="35"/>
        <v>5.61</v>
      </c>
      <c r="P139" s="137">
        <f t="shared" si="35"/>
        <v>5.61</v>
      </c>
      <c r="Q139" s="137">
        <f t="shared" si="35"/>
        <v>5.61</v>
      </c>
      <c r="R139" s="137">
        <f t="shared" si="35"/>
        <v>5.61</v>
      </c>
      <c r="S139" s="137">
        <f t="shared" si="36"/>
        <v>5.61</v>
      </c>
      <c r="T139" s="137">
        <f t="shared" si="36"/>
        <v>5.61</v>
      </c>
      <c r="U139" s="137">
        <f t="shared" si="36"/>
        <v>5.61</v>
      </c>
      <c r="V139" s="137">
        <f t="shared" si="36"/>
        <v>5.61</v>
      </c>
      <c r="W139" s="137">
        <f t="shared" si="36"/>
        <v>5.61</v>
      </c>
      <c r="X139" s="137">
        <f t="shared" si="36"/>
        <v>5.61</v>
      </c>
      <c r="Y139" s="137">
        <f t="shared" si="36"/>
        <v>5.61</v>
      </c>
      <c r="Z139" s="137">
        <f t="shared" si="36"/>
        <v>5.61</v>
      </c>
      <c r="AA139" s="137">
        <f t="shared" si="36"/>
        <v>5.61</v>
      </c>
      <c r="AB139" s="137">
        <f t="shared" si="36"/>
        <v>5.61</v>
      </c>
      <c r="AC139" s="137">
        <f t="shared" si="36"/>
        <v>5.61</v>
      </c>
      <c r="AD139" s="137">
        <f t="shared" si="36"/>
        <v>5.61</v>
      </c>
      <c r="AE139" s="137">
        <f t="shared" si="36"/>
        <v>5.61</v>
      </c>
      <c r="AF139" s="137">
        <f t="shared" si="36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5"/>
        <v>1.25</v>
      </c>
      <c r="D140" s="137">
        <f t="shared" si="35"/>
        <v>1.25</v>
      </c>
      <c r="E140" s="137">
        <f t="shared" si="35"/>
        <v>1.25</v>
      </c>
      <c r="F140" s="137">
        <f t="shared" si="35"/>
        <v>1.25</v>
      </c>
      <c r="G140" s="137">
        <f t="shared" si="35"/>
        <v>1.25</v>
      </c>
      <c r="H140" s="137">
        <f t="shared" si="35"/>
        <v>1.25</v>
      </c>
      <c r="I140" s="137">
        <f t="shared" si="35"/>
        <v>1.25</v>
      </c>
      <c r="J140" s="137">
        <f t="shared" si="35"/>
        <v>1.25</v>
      </c>
      <c r="K140" s="137">
        <f t="shared" si="35"/>
        <v>1.25</v>
      </c>
      <c r="L140" s="137">
        <f t="shared" si="35"/>
        <v>1.25</v>
      </c>
      <c r="M140" s="137">
        <f t="shared" si="35"/>
        <v>1.25</v>
      </c>
      <c r="N140" s="137">
        <f t="shared" si="35"/>
        <v>1.25</v>
      </c>
      <c r="O140" s="137">
        <f t="shared" si="35"/>
        <v>1.25</v>
      </c>
      <c r="P140" s="137">
        <f t="shared" si="35"/>
        <v>1.25</v>
      </c>
      <c r="Q140" s="137">
        <f t="shared" si="35"/>
        <v>1.25</v>
      </c>
      <c r="R140" s="137">
        <f t="shared" si="35"/>
        <v>1.25</v>
      </c>
      <c r="S140" s="137">
        <f t="shared" si="36"/>
        <v>1.25</v>
      </c>
      <c r="T140" s="137">
        <f t="shared" si="36"/>
        <v>1.25</v>
      </c>
      <c r="U140" s="137">
        <f t="shared" si="36"/>
        <v>1.25</v>
      </c>
      <c r="V140" s="137">
        <f t="shared" si="36"/>
        <v>1.25</v>
      </c>
      <c r="W140" s="137">
        <f t="shared" si="36"/>
        <v>1.25</v>
      </c>
      <c r="X140" s="137">
        <f t="shared" si="36"/>
        <v>1.25</v>
      </c>
      <c r="Y140" s="137">
        <f t="shared" si="36"/>
        <v>1.25</v>
      </c>
      <c r="Z140" s="137">
        <f t="shared" si="36"/>
        <v>1.25</v>
      </c>
      <c r="AA140" s="137">
        <f t="shared" si="36"/>
        <v>1.25</v>
      </c>
      <c r="AB140" s="137">
        <f t="shared" si="36"/>
        <v>1.25</v>
      </c>
      <c r="AC140" s="137">
        <f t="shared" si="36"/>
        <v>1.25</v>
      </c>
      <c r="AD140" s="137">
        <f t="shared" si="36"/>
        <v>1.25</v>
      </c>
      <c r="AE140" s="137">
        <f t="shared" si="36"/>
        <v>1.25</v>
      </c>
      <c r="AF140" s="137">
        <f t="shared" si="36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5"/>
        <v>1.46</v>
      </c>
      <c r="D142" s="137">
        <f t="shared" si="35"/>
        <v>1.46</v>
      </c>
      <c r="E142" s="137">
        <f t="shared" si="35"/>
        <v>1.46</v>
      </c>
      <c r="F142" s="137">
        <f t="shared" si="35"/>
        <v>1.46</v>
      </c>
      <c r="G142" s="137">
        <f t="shared" si="35"/>
        <v>1.46</v>
      </c>
      <c r="H142" s="137">
        <f t="shared" si="35"/>
        <v>1.46</v>
      </c>
      <c r="I142" s="137">
        <f t="shared" si="35"/>
        <v>1.46</v>
      </c>
      <c r="J142" s="137">
        <f t="shared" si="35"/>
        <v>1.46</v>
      </c>
      <c r="K142" s="137">
        <f t="shared" si="35"/>
        <v>1.46</v>
      </c>
      <c r="L142" s="137">
        <f t="shared" si="35"/>
        <v>1.46</v>
      </c>
      <c r="M142" s="137">
        <f t="shared" si="35"/>
        <v>1.46</v>
      </c>
      <c r="N142" s="137">
        <f t="shared" si="35"/>
        <v>1.46</v>
      </c>
      <c r="O142" s="137">
        <f t="shared" si="35"/>
        <v>1.46</v>
      </c>
      <c r="P142" s="137">
        <f t="shared" si="35"/>
        <v>1.46</v>
      </c>
      <c r="Q142" s="137">
        <f t="shared" si="35"/>
        <v>1.46</v>
      </c>
      <c r="R142" s="137">
        <f t="shared" si="35"/>
        <v>1.46</v>
      </c>
      <c r="S142" s="137">
        <f t="shared" si="36"/>
        <v>1.46</v>
      </c>
      <c r="T142" s="137">
        <f t="shared" si="36"/>
        <v>1.46</v>
      </c>
      <c r="U142" s="137">
        <f t="shared" si="36"/>
        <v>1.46</v>
      </c>
      <c r="V142" s="137">
        <f t="shared" si="36"/>
        <v>1.46</v>
      </c>
      <c r="W142" s="137">
        <f t="shared" si="36"/>
        <v>1.46</v>
      </c>
      <c r="X142" s="137">
        <f t="shared" si="36"/>
        <v>1.46</v>
      </c>
      <c r="Y142" s="137">
        <f t="shared" si="36"/>
        <v>1.46</v>
      </c>
      <c r="Z142" s="137">
        <f t="shared" si="36"/>
        <v>1.46</v>
      </c>
      <c r="AA142" s="137">
        <f t="shared" si="36"/>
        <v>1.46</v>
      </c>
      <c r="AB142" s="137">
        <f t="shared" si="36"/>
        <v>1.46</v>
      </c>
      <c r="AC142" s="137">
        <f t="shared" si="36"/>
        <v>1.46</v>
      </c>
      <c r="AD142" s="137">
        <f t="shared" si="36"/>
        <v>1.46</v>
      </c>
      <c r="AE142" s="137">
        <f t="shared" si="36"/>
        <v>1.46</v>
      </c>
      <c r="AF142" s="137">
        <f t="shared" si="36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5"/>
        <v>3</v>
      </c>
      <c r="D143" s="137">
        <f t="shared" si="35"/>
        <v>3</v>
      </c>
      <c r="E143" s="137">
        <f t="shared" si="35"/>
        <v>3</v>
      </c>
      <c r="F143" s="137">
        <f t="shared" si="35"/>
        <v>3</v>
      </c>
      <c r="G143" s="137">
        <f t="shared" si="35"/>
        <v>3</v>
      </c>
      <c r="H143" s="137">
        <f t="shared" si="35"/>
        <v>3</v>
      </c>
      <c r="I143" s="137">
        <f t="shared" si="35"/>
        <v>3</v>
      </c>
      <c r="J143" s="137">
        <f t="shared" si="35"/>
        <v>3</v>
      </c>
      <c r="K143" s="137">
        <f t="shared" si="35"/>
        <v>3</v>
      </c>
      <c r="L143" s="137">
        <f t="shared" si="35"/>
        <v>3</v>
      </c>
      <c r="M143" s="137">
        <f t="shared" si="35"/>
        <v>3</v>
      </c>
      <c r="N143" s="137">
        <f t="shared" si="35"/>
        <v>3</v>
      </c>
      <c r="O143" s="137">
        <f t="shared" si="35"/>
        <v>3</v>
      </c>
      <c r="P143" s="137">
        <f t="shared" si="35"/>
        <v>3</v>
      </c>
      <c r="Q143" s="137">
        <f t="shared" si="35"/>
        <v>3</v>
      </c>
      <c r="R143" s="137">
        <f t="shared" si="35"/>
        <v>3</v>
      </c>
      <c r="S143" s="137">
        <f t="shared" si="36"/>
        <v>3</v>
      </c>
      <c r="T143" s="137">
        <f t="shared" si="36"/>
        <v>3</v>
      </c>
      <c r="U143" s="137">
        <f t="shared" si="36"/>
        <v>3</v>
      </c>
      <c r="V143" s="137">
        <f t="shared" si="36"/>
        <v>3</v>
      </c>
      <c r="W143" s="137">
        <f t="shared" si="36"/>
        <v>3</v>
      </c>
      <c r="X143" s="137">
        <f t="shared" si="36"/>
        <v>3</v>
      </c>
      <c r="Y143" s="137">
        <f t="shared" si="36"/>
        <v>3</v>
      </c>
      <c r="Z143" s="137">
        <f t="shared" si="36"/>
        <v>3</v>
      </c>
      <c r="AA143" s="137">
        <f t="shared" si="36"/>
        <v>3</v>
      </c>
      <c r="AB143" s="137">
        <f t="shared" si="36"/>
        <v>3</v>
      </c>
      <c r="AC143" s="137">
        <f t="shared" si="36"/>
        <v>3</v>
      </c>
      <c r="AD143" s="137">
        <f t="shared" si="36"/>
        <v>3</v>
      </c>
      <c r="AE143" s="137">
        <f t="shared" si="36"/>
        <v>3</v>
      </c>
      <c r="AF143" s="137">
        <f t="shared" si="36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5"/>
        <v>3.3</v>
      </c>
      <c r="D144" s="137">
        <f t="shared" si="35"/>
        <v>3.3</v>
      </c>
      <c r="E144" s="137">
        <f t="shared" si="35"/>
        <v>3.3</v>
      </c>
      <c r="F144" s="137">
        <f t="shared" si="35"/>
        <v>3.3</v>
      </c>
      <c r="G144" s="137">
        <f t="shared" si="35"/>
        <v>3.3</v>
      </c>
      <c r="H144" s="137">
        <f t="shared" si="35"/>
        <v>3.3</v>
      </c>
      <c r="I144" s="137">
        <f t="shared" si="35"/>
        <v>3.3</v>
      </c>
      <c r="J144" s="137">
        <f t="shared" si="35"/>
        <v>3.3</v>
      </c>
      <c r="K144" s="137">
        <f t="shared" si="35"/>
        <v>3.3</v>
      </c>
      <c r="L144" s="137">
        <f t="shared" si="35"/>
        <v>3.3</v>
      </c>
      <c r="M144" s="137">
        <f t="shared" si="35"/>
        <v>3.3</v>
      </c>
      <c r="N144" s="137">
        <f t="shared" si="35"/>
        <v>3.3</v>
      </c>
      <c r="O144" s="137">
        <f t="shared" si="35"/>
        <v>3.3</v>
      </c>
      <c r="P144" s="137">
        <f t="shared" si="35"/>
        <v>3.3</v>
      </c>
      <c r="Q144" s="137">
        <f t="shared" si="35"/>
        <v>3.3</v>
      </c>
      <c r="R144" s="137">
        <f t="shared" si="35"/>
        <v>3.3</v>
      </c>
      <c r="S144" s="137">
        <f t="shared" si="36"/>
        <v>3.3</v>
      </c>
      <c r="T144" s="137">
        <f t="shared" si="36"/>
        <v>3.3</v>
      </c>
      <c r="U144" s="137">
        <f t="shared" si="36"/>
        <v>3.3</v>
      </c>
      <c r="V144" s="137">
        <f t="shared" si="36"/>
        <v>3.3</v>
      </c>
      <c r="W144" s="137">
        <f t="shared" si="36"/>
        <v>3.3</v>
      </c>
      <c r="X144" s="137">
        <f t="shared" si="36"/>
        <v>3.3</v>
      </c>
      <c r="Y144" s="137">
        <f t="shared" si="36"/>
        <v>3.3</v>
      </c>
      <c r="Z144" s="137">
        <f t="shared" si="36"/>
        <v>3.3</v>
      </c>
      <c r="AA144" s="137">
        <f t="shared" si="36"/>
        <v>3.3</v>
      </c>
      <c r="AB144" s="137">
        <f t="shared" si="36"/>
        <v>3.3</v>
      </c>
      <c r="AC144" s="137">
        <f t="shared" si="36"/>
        <v>3.3</v>
      </c>
      <c r="AD144" s="137">
        <f t="shared" si="36"/>
        <v>3.3</v>
      </c>
      <c r="AE144" s="137">
        <f t="shared" si="36"/>
        <v>3.3</v>
      </c>
      <c r="AF144" s="137">
        <f t="shared" si="36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7">B146</f>
        <v>1.76</v>
      </c>
      <c r="D146" s="137">
        <f t="shared" si="37"/>
        <v>1.76</v>
      </c>
      <c r="E146" s="137">
        <f t="shared" si="37"/>
        <v>1.76</v>
      </c>
      <c r="F146" s="137">
        <f t="shared" si="37"/>
        <v>1.76</v>
      </c>
      <c r="G146" s="137">
        <f t="shared" si="37"/>
        <v>1.76</v>
      </c>
      <c r="H146" s="137">
        <f t="shared" si="37"/>
        <v>1.76</v>
      </c>
      <c r="I146" s="137">
        <f t="shared" si="37"/>
        <v>1.76</v>
      </c>
      <c r="J146" s="137">
        <f t="shared" si="37"/>
        <v>1.76</v>
      </c>
      <c r="K146" s="137">
        <f t="shared" si="37"/>
        <v>1.76</v>
      </c>
      <c r="L146" s="137">
        <f t="shared" si="37"/>
        <v>1.76</v>
      </c>
      <c r="M146" s="137">
        <f t="shared" si="37"/>
        <v>1.76</v>
      </c>
      <c r="N146" s="137">
        <f t="shared" si="37"/>
        <v>1.76</v>
      </c>
      <c r="O146" s="137">
        <f t="shared" si="37"/>
        <v>1.76</v>
      </c>
      <c r="P146" s="137">
        <f t="shared" si="37"/>
        <v>1.76</v>
      </c>
      <c r="Q146" s="137">
        <f t="shared" si="37"/>
        <v>1.76</v>
      </c>
      <c r="R146" s="137">
        <f t="shared" si="37"/>
        <v>1.76</v>
      </c>
      <c r="S146" s="137">
        <f t="shared" ref="S146:AF147" si="38">R146</f>
        <v>1.76</v>
      </c>
      <c r="T146" s="137">
        <f t="shared" si="38"/>
        <v>1.76</v>
      </c>
      <c r="U146" s="137">
        <f t="shared" si="38"/>
        <v>1.76</v>
      </c>
      <c r="V146" s="137">
        <f t="shared" si="38"/>
        <v>1.76</v>
      </c>
      <c r="W146" s="137">
        <f t="shared" si="38"/>
        <v>1.76</v>
      </c>
      <c r="X146" s="137">
        <f t="shared" si="38"/>
        <v>1.76</v>
      </c>
      <c r="Y146" s="137">
        <f t="shared" si="38"/>
        <v>1.76</v>
      </c>
      <c r="Z146" s="137">
        <f t="shared" si="38"/>
        <v>1.76</v>
      </c>
      <c r="AA146" s="137">
        <f t="shared" si="38"/>
        <v>1.76</v>
      </c>
      <c r="AB146" s="137">
        <f t="shared" si="38"/>
        <v>1.76</v>
      </c>
      <c r="AC146" s="137">
        <f t="shared" si="38"/>
        <v>1.76</v>
      </c>
      <c r="AD146" s="137">
        <f t="shared" si="38"/>
        <v>1.76</v>
      </c>
      <c r="AE146" s="137">
        <f t="shared" si="38"/>
        <v>1.76</v>
      </c>
      <c r="AF146" s="137">
        <f t="shared" si="38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7"/>
        <v>0</v>
      </c>
      <c r="D147" s="137">
        <f t="shared" si="37"/>
        <v>0</v>
      </c>
      <c r="E147" s="137">
        <f t="shared" si="37"/>
        <v>0</v>
      </c>
      <c r="F147" s="137">
        <f t="shared" si="37"/>
        <v>0</v>
      </c>
      <c r="G147" s="137">
        <f t="shared" si="37"/>
        <v>0</v>
      </c>
      <c r="H147" s="137">
        <f t="shared" si="37"/>
        <v>0</v>
      </c>
      <c r="I147" s="137">
        <f t="shared" si="37"/>
        <v>0</v>
      </c>
      <c r="J147" s="137">
        <f t="shared" si="37"/>
        <v>0</v>
      </c>
      <c r="K147" s="137">
        <f t="shared" si="37"/>
        <v>0</v>
      </c>
      <c r="L147" s="137">
        <f t="shared" si="37"/>
        <v>0</v>
      </c>
      <c r="M147" s="137">
        <f t="shared" si="37"/>
        <v>0</v>
      </c>
      <c r="N147" s="137">
        <f t="shared" si="37"/>
        <v>0</v>
      </c>
      <c r="O147" s="137">
        <f t="shared" si="37"/>
        <v>0</v>
      </c>
      <c r="P147" s="137">
        <f t="shared" si="37"/>
        <v>0</v>
      </c>
      <c r="Q147" s="137">
        <f t="shared" si="37"/>
        <v>0</v>
      </c>
      <c r="R147" s="137">
        <f t="shared" si="37"/>
        <v>0</v>
      </c>
      <c r="S147" s="137">
        <f t="shared" si="38"/>
        <v>0</v>
      </c>
      <c r="T147" s="137">
        <f t="shared" si="38"/>
        <v>0</v>
      </c>
      <c r="U147" s="137">
        <f t="shared" si="38"/>
        <v>0</v>
      </c>
      <c r="V147" s="137">
        <f t="shared" si="38"/>
        <v>0</v>
      </c>
      <c r="W147" s="137">
        <f t="shared" si="38"/>
        <v>0</v>
      </c>
      <c r="X147" s="137">
        <f t="shared" si="38"/>
        <v>0</v>
      </c>
      <c r="Y147" s="137">
        <f t="shared" si="38"/>
        <v>0</v>
      </c>
      <c r="Z147" s="137">
        <f t="shared" si="38"/>
        <v>0</v>
      </c>
      <c r="AA147" s="137">
        <f t="shared" si="38"/>
        <v>0</v>
      </c>
      <c r="AB147" s="137">
        <f t="shared" si="38"/>
        <v>0</v>
      </c>
      <c r="AC147" s="137">
        <f t="shared" si="38"/>
        <v>0</v>
      </c>
      <c r="AD147" s="137">
        <f t="shared" si="38"/>
        <v>0</v>
      </c>
      <c r="AE147" s="137">
        <f t="shared" si="38"/>
        <v>0</v>
      </c>
      <c r="AF147" s="137">
        <f t="shared" si="38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9">B149</f>
        <v>0.1</v>
      </c>
      <c r="D149" s="137">
        <f t="shared" si="39"/>
        <v>0.1</v>
      </c>
      <c r="E149" s="137">
        <f t="shared" si="39"/>
        <v>0.1</v>
      </c>
      <c r="F149" s="137">
        <f t="shared" si="39"/>
        <v>0.1</v>
      </c>
      <c r="G149" s="137">
        <f t="shared" si="39"/>
        <v>0.1</v>
      </c>
      <c r="H149" s="137">
        <f t="shared" si="39"/>
        <v>0.1</v>
      </c>
      <c r="I149" s="137">
        <f t="shared" si="39"/>
        <v>0.1</v>
      </c>
      <c r="J149" s="137">
        <f t="shared" si="39"/>
        <v>0.1</v>
      </c>
      <c r="K149" s="137">
        <f t="shared" si="39"/>
        <v>0.1</v>
      </c>
      <c r="L149" s="137">
        <f t="shared" si="39"/>
        <v>0.1</v>
      </c>
      <c r="M149" s="137">
        <f t="shared" si="39"/>
        <v>0.1</v>
      </c>
      <c r="N149" s="137">
        <f t="shared" si="39"/>
        <v>0.1</v>
      </c>
      <c r="O149" s="137">
        <f t="shared" si="39"/>
        <v>0.1</v>
      </c>
      <c r="P149" s="137">
        <f t="shared" si="39"/>
        <v>0.1</v>
      </c>
      <c r="Q149" s="137">
        <f t="shared" si="39"/>
        <v>0.1</v>
      </c>
      <c r="R149" s="137">
        <f t="shared" si="39"/>
        <v>0.1</v>
      </c>
      <c r="S149" s="137">
        <f t="shared" ref="S149:AF152" si="40">R149</f>
        <v>0.1</v>
      </c>
      <c r="T149" s="137">
        <f t="shared" si="40"/>
        <v>0.1</v>
      </c>
      <c r="U149" s="137">
        <f t="shared" si="40"/>
        <v>0.1</v>
      </c>
      <c r="V149" s="137">
        <f t="shared" si="40"/>
        <v>0.1</v>
      </c>
      <c r="W149" s="137">
        <f t="shared" si="40"/>
        <v>0.1</v>
      </c>
      <c r="X149" s="137">
        <f t="shared" si="40"/>
        <v>0.1</v>
      </c>
      <c r="Y149" s="137">
        <f t="shared" si="40"/>
        <v>0.1</v>
      </c>
      <c r="Z149" s="137">
        <f t="shared" si="40"/>
        <v>0.1</v>
      </c>
      <c r="AA149" s="137">
        <f t="shared" si="40"/>
        <v>0.1</v>
      </c>
      <c r="AB149" s="137">
        <f t="shared" si="40"/>
        <v>0.1</v>
      </c>
      <c r="AC149" s="137">
        <f t="shared" si="40"/>
        <v>0.1</v>
      </c>
      <c r="AD149" s="137">
        <f t="shared" si="40"/>
        <v>0.1</v>
      </c>
      <c r="AE149" s="137">
        <f t="shared" si="40"/>
        <v>0.1</v>
      </c>
      <c r="AF149" s="137">
        <f t="shared" si="40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9"/>
        <v>2.0499999999999998</v>
      </c>
      <c r="D150" s="137">
        <f t="shared" si="39"/>
        <v>2.0499999999999998</v>
      </c>
      <c r="E150" s="137">
        <f t="shared" si="39"/>
        <v>2.0499999999999998</v>
      </c>
      <c r="F150" s="137">
        <f t="shared" si="39"/>
        <v>2.0499999999999998</v>
      </c>
      <c r="G150" s="137">
        <f t="shared" si="39"/>
        <v>2.0499999999999998</v>
      </c>
      <c r="H150" s="137">
        <f t="shared" si="39"/>
        <v>2.0499999999999998</v>
      </c>
      <c r="I150" s="137">
        <f t="shared" si="39"/>
        <v>2.0499999999999998</v>
      </c>
      <c r="J150" s="137">
        <f t="shared" si="39"/>
        <v>2.0499999999999998</v>
      </c>
      <c r="K150" s="137">
        <f t="shared" si="39"/>
        <v>2.0499999999999998</v>
      </c>
      <c r="L150" s="137">
        <f t="shared" si="39"/>
        <v>2.0499999999999998</v>
      </c>
      <c r="M150" s="137">
        <f t="shared" si="39"/>
        <v>2.0499999999999998</v>
      </c>
      <c r="N150" s="137">
        <f t="shared" si="39"/>
        <v>2.0499999999999998</v>
      </c>
      <c r="O150" s="137">
        <f t="shared" si="39"/>
        <v>2.0499999999999998</v>
      </c>
      <c r="P150" s="137">
        <f t="shared" si="39"/>
        <v>2.0499999999999998</v>
      </c>
      <c r="Q150" s="137">
        <f t="shared" si="39"/>
        <v>2.0499999999999998</v>
      </c>
      <c r="R150" s="137">
        <f t="shared" si="39"/>
        <v>2.0499999999999998</v>
      </c>
      <c r="S150" s="137">
        <f t="shared" si="40"/>
        <v>2.0499999999999998</v>
      </c>
      <c r="T150" s="137">
        <f t="shared" si="40"/>
        <v>2.0499999999999998</v>
      </c>
      <c r="U150" s="137">
        <f t="shared" si="40"/>
        <v>2.0499999999999998</v>
      </c>
      <c r="V150" s="137">
        <f t="shared" si="40"/>
        <v>2.0499999999999998</v>
      </c>
      <c r="W150" s="137">
        <f t="shared" si="40"/>
        <v>2.0499999999999998</v>
      </c>
      <c r="X150" s="137">
        <f t="shared" si="40"/>
        <v>2.0499999999999998</v>
      </c>
      <c r="Y150" s="137">
        <f t="shared" si="40"/>
        <v>2.0499999999999998</v>
      </c>
      <c r="Z150" s="137">
        <f t="shared" si="40"/>
        <v>2.0499999999999998</v>
      </c>
      <c r="AA150" s="137">
        <f t="shared" si="40"/>
        <v>2.0499999999999998</v>
      </c>
      <c r="AB150" s="137">
        <f t="shared" si="40"/>
        <v>2.0499999999999998</v>
      </c>
      <c r="AC150" s="137">
        <f t="shared" si="40"/>
        <v>2.0499999999999998</v>
      </c>
      <c r="AD150" s="137">
        <f t="shared" si="40"/>
        <v>2.0499999999999998</v>
      </c>
      <c r="AE150" s="137">
        <f t="shared" si="40"/>
        <v>2.0499999999999998</v>
      </c>
      <c r="AF150" s="137">
        <f t="shared" si="40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9"/>
        <v>2.7</v>
      </c>
      <c r="D151" s="137">
        <f t="shared" si="39"/>
        <v>2.7</v>
      </c>
      <c r="E151" s="137">
        <f t="shared" si="39"/>
        <v>2.7</v>
      </c>
      <c r="F151" s="137">
        <f t="shared" si="39"/>
        <v>2.7</v>
      </c>
      <c r="G151" s="137">
        <f t="shared" si="39"/>
        <v>2.7</v>
      </c>
      <c r="H151" s="137">
        <f t="shared" si="39"/>
        <v>2.7</v>
      </c>
      <c r="I151" s="137">
        <f t="shared" si="39"/>
        <v>2.7</v>
      </c>
      <c r="J151" s="137">
        <f t="shared" si="39"/>
        <v>2.7</v>
      </c>
      <c r="K151" s="137">
        <f t="shared" si="39"/>
        <v>2.7</v>
      </c>
      <c r="L151" s="137">
        <f t="shared" si="39"/>
        <v>2.7</v>
      </c>
      <c r="M151" s="137">
        <f t="shared" si="39"/>
        <v>2.7</v>
      </c>
      <c r="N151" s="137">
        <f t="shared" si="39"/>
        <v>2.7</v>
      </c>
      <c r="O151" s="137">
        <f t="shared" si="39"/>
        <v>2.7</v>
      </c>
      <c r="P151" s="137">
        <f t="shared" si="39"/>
        <v>2.7</v>
      </c>
      <c r="Q151" s="137">
        <f t="shared" si="39"/>
        <v>2.7</v>
      </c>
      <c r="R151" s="137">
        <f t="shared" si="39"/>
        <v>2.7</v>
      </c>
      <c r="S151" s="137">
        <f t="shared" si="40"/>
        <v>2.7</v>
      </c>
      <c r="T151" s="137">
        <f t="shared" si="40"/>
        <v>2.7</v>
      </c>
      <c r="U151" s="137">
        <f t="shared" si="40"/>
        <v>2.7</v>
      </c>
      <c r="V151" s="137">
        <f t="shared" si="40"/>
        <v>2.7</v>
      </c>
      <c r="W151" s="137">
        <f t="shared" si="40"/>
        <v>2.7</v>
      </c>
      <c r="X151" s="137">
        <f t="shared" si="40"/>
        <v>2.7</v>
      </c>
      <c r="Y151" s="137">
        <f t="shared" si="40"/>
        <v>2.7</v>
      </c>
      <c r="Z151" s="137">
        <f t="shared" si="40"/>
        <v>2.7</v>
      </c>
      <c r="AA151" s="137">
        <f t="shared" si="40"/>
        <v>2.7</v>
      </c>
      <c r="AB151" s="137">
        <f t="shared" si="40"/>
        <v>2.7</v>
      </c>
      <c r="AC151" s="137">
        <f t="shared" si="40"/>
        <v>2.7</v>
      </c>
      <c r="AD151" s="137">
        <f t="shared" si="40"/>
        <v>2.7</v>
      </c>
      <c r="AE151" s="137">
        <f t="shared" si="40"/>
        <v>2.7</v>
      </c>
      <c r="AF151" s="137">
        <f t="shared" si="40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9"/>
        <v>2.15</v>
      </c>
      <c r="D152" s="137">
        <f t="shared" si="39"/>
        <v>2.15</v>
      </c>
      <c r="E152" s="137">
        <f t="shared" si="39"/>
        <v>2.15</v>
      </c>
      <c r="F152" s="137">
        <f t="shared" si="39"/>
        <v>2.15</v>
      </c>
      <c r="G152" s="137">
        <f t="shared" si="39"/>
        <v>2.15</v>
      </c>
      <c r="H152" s="137">
        <f t="shared" si="39"/>
        <v>2.15</v>
      </c>
      <c r="I152" s="137">
        <f t="shared" si="39"/>
        <v>2.15</v>
      </c>
      <c r="J152" s="137">
        <f t="shared" si="39"/>
        <v>2.15</v>
      </c>
      <c r="K152" s="137">
        <f t="shared" si="39"/>
        <v>2.15</v>
      </c>
      <c r="L152" s="137">
        <f t="shared" si="39"/>
        <v>2.15</v>
      </c>
      <c r="M152" s="137">
        <f t="shared" si="39"/>
        <v>2.15</v>
      </c>
      <c r="N152" s="137">
        <f t="shared" si="39"/>
        <v>2.15</v>
      </c>
      <c r="O152" s="137">
        <f t="shared" si="39"/>
        <v>2.15</v>
      </c>
      <c r="P152" s="137">
        <f t="shared" si="39"/>
        <v>2.15</v>
      </c>
      <c r="Q152" s="137">
        <f t="shared" si="39"/>
        <v>2.15</v>
      </c>
      <c r="R152" s="137">
        <f t="shared" si="39"/>
        <v>2.15</v>
      </c>
      <c r="S152" s="137">
        <f t="shared" si="40"/>
        <v>2.15</v>
      </c>
      <c r="T152" s="137">
        <f t="shared" si="40"/>
        <v>2.15</v>
      </c>
      <c r="U152" s="137">
        <f t="shared" si="40"/>
        <v>2.15</v>
      </c>
      <c r="V152" s="137">
        <f t="shared" si="40"/>
        <v>2.15</v>
      </c>
      <c r="W152" s="137">
        <f t="shared" si="40"/>
        <v>2.15</v>
      </c>
      <c r="X152" s="137">
        <f t="shared" si="40"/>
        <v>2.15</v>
      </c>
      <c r="Y152" s="137">
        <f t="shared" si="40"/>
        <v>2.15</v>
      </c>
      <c r="Z152" s="137">
        <f t="shared" si="40"/>
        <v>2.15</v>
      </c>
      <c r="AA152" s="137">
        <f t="shared" si="40"/>
        <v>2.15</v>
      </c>
      <c r="AB152" s="137">
        <f t="shared" si="40"/>
        <v>2.15</v>
      </c>
      <c r="AC152" s="137">
        <f t="shared" si="40"/>
        <v>2.15</v>
      </c>
      <c r="AD152" s="137">
        <f t="shared" si="40"/>
        <v>2.15</v>
      </c>
      <c r="AE152" s="137">
        <f t="shared" si="40"/>
        <v>2.15</v>
      </c>
      <c r="AF152" s="137">
        <f t="shared" si="40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1">B154</f>
        <v>0.9</v>
      </c>
      <c r="D154" s="137">
        <f t="shared" si="41"/>
        <v>0.9</v>
      </c>
      <c r="E154" s="137">
        <f t="shared" si="41"/>
        <v>0.9</v>
      </c>
      <c r="F154" s="137">
        <f t="shared" si="41"/>
        <v>0.9</v>
      </c>
      <c r="G154" s="137">
        <f t="shared" si="41"/>
        <v>0.9</v>
      </c>
      <c r="H154" s="137">
        <f t="shared" si="41"/>
        <v>0.9</v>
      </c>
      <c r="I154" s="137">
        <f t="shared" si="41"/>
        <v>0.9</v>
      </c>
      <c r="J154" s="137">
        <f t="shared" si="41"/>
        <v>0.9</v>
      </c>
      <c r="K154" s="137">
        <f t="shared" si="41"/>
        <v>0.9</v>
      </c>
      <c r="L154" s="137">
        <f t="shared" si="41"/>
        <v>0.9</v>
      </c>
      <c r="M154" s="137">
        <f t="shared" si="41"/>
        <v>0.9</v>
      </c>
      <c r="N154" s="137">
        <f t="shared" si="41"/>
        <v>0.9</v>
      </c>
      <c r="O154" s="137">
        <f t="shared" si="41"/>
        <v>0.9</v>
      </c>
      <c r="P154" s="137">
        <f t="shared" si="41"/>
        <v>0.9</v>
      </c>
      <c r="Q154" s="137">
        <f t="shared" si="41"/>
        <v>0.9</v>
      </c>
      <c r="R154" s="137">
        <f t="shared" si="41"/>
        <v>0.9</v>
      </c>
      <c r="S154" s="137">
        <f t="shared" ref="R154:AF166" si="42">R154</f>
        <v>0.9</v>
      </c>
      <c r="T154" s="137">
        <f t="shared" si="42"/>
        <v>0.9</v>
      </c>
      <c r="U154" s="137">
        <f t="shared" si="42"/>
        <v>0.9</v>
      </c>
      <c r="V154" s="137">
        <f t="shared" si="42"/>
        <v>0.9</v>
      </c>
      <c r="W154" s="137">
        <f t="shared" si="42"/>
        <v>0.9</v>
      </c>
      <c r="X154" s="137">
        <f t="shared" si="42"/>
        <v>0.9</v>
      </c>
      <c r="Y154" s="137">
        <f t="shared" si="42"/>
        <v>0.9</v>
      </c>
      <c r="Z154" s="137">
        <f t="shared" si="42"/>
        <v>0.9</v>
      </c>
      <c r="AA154" s="137">
        <f t="shared" si="42"/>
        <v>0.9</v>
      </c>
      <c r="AB154" s="137">
        <f t="shared" si="42"/>
        <v>0.9</v>
      </c>
      <c r="AC154" s="137">
        <f t="shared" si="42"/>
        <v>0.9</v>
      </c>
      <c r="AD154" s="137">
        <f t="shared" si="42"/>
        <v>0.9</v>
      </c>
      <c r="AE154" s="137">
        <f t="shared" si="42"/>
        <v>0.9</v>
      </c>
      <c r="AF154" s="137">
        <f t="shared" si="42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1"/>
        <v>1.08</v>
      </c>
      <c r="D155" s="137">
        <f t="shared" si="41"/>
        <v>1.08</v>
      </c>
      <c r="E155" s="137">
        <f t="shared" si="41"/>
        <v>1.08</v>
      </c>
      <c r="F155" s="137">
        <f t="shared" si="41"/>
        <v>1.08</v>
      </c>
      <c r="G155" s="137">
        <f t="shared" si="41"/>
        <v>1.08</v>
      </c>
      <c r="H155" s="137">
        <f t="shared" si="41"/>
        <v>1.08</v>
      </c>
      <c r="I155" s="137">
        <f t="shared" si="41"/>
        <v>1.08</v>
      </c>
      <c r="J155" s="137">
        <f t="shared" si="41"/>
        <v>1.08</v>
      </c>
      <c r="K155" s="137">
        <f t="shared" si="41"/>
        <v>1.08</v>
      </c>
      <c r="L155" s="137">
        <f t="shared" si="41"/>
        <v>1.08</v>
      </c>
      <c r="M155" s="137">
        <f t="shared" si="41"/>
        <v>1.08</v>
      </c>
      <c r="N155" s="137">
        <f t="shared" si="41"/>
        <v>1.08</v>
      </c>
      <c r="O155" s="137">
        <f t="shared" si="41"/>
        <v>1.08</v>
      </c>
      <c r="P155" s="137">
        <f t="shared" si="41"/>
        <v>1.08</v>
      </c>
      <c r="Q155" s="137">
        <f t="shared" si="41"/>
        <v>1.08</v>
      </c>
      <c r="R155" s="137">
        <f t="shared" si="41"/>
        <v>1.08</v>
      </c>
      <c r="S155" s="137">
        <f t="shared" si="42"/>
        <v>1.08</v>
      </c>
      <c r="T155" s="137">
        <f t="shared" si="42"/>
        <v>1.08</v>
      </c>
      <c r="U155" s="137">
        <f t="shared" si="42"/>
        <v>1.08</v>
      </c>
      <c r="V155" s="137">
        <f t="shared" si="42"/>
        <v>1.08</v>
      </c>
      <c r="W155" s="137">
        <f t="shared" si="42"/>
        <v>1.08</v>
      </c>
      <c r="X155" s="137">
        <f t="shared" si="42"/>
        <v>1.08</v>
      </c>
      <c r="Y155" s="137">
        <f t="shared" si="42"/>
        <v>1.08</v>
      </c>
      <c r="Z155" s="137">
        <f t="shared" si="42"/>
        <v>1.08</v>
      </c>
      <c r="AA155" s="137">
        <f t="shared" si="42"/>
        <v>1.08</v>
      </c>
      <c r="AB155" s="137">
        <f t="shared" si="42"/>
        <v>1.08</v>
      </c>
      <c r="AC155" s="137">
        <f t="shared" si="42"/>
        <v>1.08</v>
      </c>
      <c r="AD155" s="137">
        <f t="shared" si="42"/>
        <v>1.08</v>
      </c>
      <c r="AE155" s="137">
        <f t="shared" si="42"/>
        <v>1.08</v>
      </c>
      <c r="AF155" s="137">
        <f t="shared" si="42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1"/>
        <v>2.37</v>
      </c>
      <c r="D156" s="137">
        <f t="shared" si="41"/>
        <v>2.37</v>
      </c>
      <c r="E156" s="137">
        <f t="shared" si="41"/>
        <v>2.37</v>
      </c>
      <c r="F156" s="137">
        <f t="shared" si="41"/>
        <v>2.37</v>
      </c>
      <c r="G156" s="137">
        <f t="shared" si="41"/>
        <v>2.37</v>
      </c>
      <c r="H156" s="137">
        <f t="shared" si="41"/>
        <v>2.37</v>
      </c>
      <c r="I156" s="137">
        <f t="shared" si="41"/>
        <v>2.37</v>
      </c>
      <c r="J156" s="137">
        <f t="shared" si="41"/>
        <v>2.37</v>
      </c>
      <c r="K156" s="137">
        <f t="shared" si="41"/>
        <v>2.37</v>
      </c>
      <c r="L156" s="137">
        <f t="shared" si="41"/>
        <v>2.37</v>
      </c>
      <c r="M156" s="137">
        <f t="shared" si="41"/>
        <v>2.37</v>
      </c>
      <c r="N156" s="137">
        <f t="shared" si="41"/>
        <v>2.37</v>
      </c>
      <c r="O156" s="137">
        <f t="shared" si="41"/>
        <v>2.37</v>
      </c>
      <c r="P156" s="137">
        <f t="shared" si="41"/>
        <v>2.37</v>
      </c>
      <c r="Q156" s="137">
        <f t="shared" si="41"/>
        <v>2.37</v>
      </c>
      <c r="R156" s="137">
        <f t="shared" si="41"/>
        <v>2.37</v>
      </c>
      <c r="S156" s="137">
        <f t="shared" si="42"/>
        <v>2.37</v>
      </c>
      <c r="T156" s="137">
        <f t="shared" si="42"/>
        <v>2.37</v>
      </c>
      <c r="U156" s="137">
        <f t="shared" si="42"/>
        <v>2.37</v>
      </c>
      <c r="V156" s="137">
        <f t="shared" si="42"/>
        <v>2.37</v>
      </c>
      <c r="W156" s="137">
        <f t="shared" si="42"/>
        <v>2.37</v>
      </c>
      <c r="X156" s="137">
        <f t="shared" si="42"/>
        <v>2.37</v>
      </c>
      <c r="Y156" s="137">
        <f t="shared" si="42"/>
        <v>2.37</v>
      </c>
      <c r="Z156" s="137">
        <f t="shared" si="42"/>
        <v>2.37</v>
      </c>
      <c r="AA156" s="137">
        <f t="shared" si="42"/>
        <v>2.37</v>
      </c>
      <c r="AB156" s="137">
        <f t="shared" si="42"/>
        <v>2.37</v>
      </c>
      <c r="AC156" s="137">
        <f t="shared" si="42"/>
        <v>2.37</v>
      </c>
      <c r="AD156" s="137">
        <f t="shared" si="42"/>
        <v>2.37</v>
      </c>
      <c r="AE156" s="137">
        <f t="shared" si="42"/>
        <v>2.37</v>
      </c>
      <c r="AF156" s="137">
        <f t="shared" si="42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1"/>
        <v>1.81</v>
      </c>
      <c r="D157" s="137">
        <f t="shared" si="41"/>
        <v>1.81</v>
      </c>
      <c r="E157" s="137">
        <f t="shared" si="41"/>
        <v>1.81</v>
      </c>
      <c r="F157" s="137">
        <f t="shared" si="41"/>
        <v>1.81</v>
      </c>
      <c r="G157" s="137">
        <f t="shared" si="41"/>
        <v>1.81</v>
      </c>
      <c r="H157" s="137">
        <f t="shared" si="41"/>
        <v>1.81</v>
      </c>
      <c r="I157" s="137">
        <f t="shared" si="41"/>
        <v>1.81</v>
      </c>
      <c r="J157" s="137">
        <f t="shared" si="41"/>
        <v>1.81</v>
      </c>
      <c r="K157" s="137">
        <f t="shared" si="41"/>
        <v>1.81</v>
      </c>
      <c r="L157" s="137">
        <f t="shared" si="41"/>
        <v>1.81</v>
      </c>
      <c r="M157" s="137">
        <f t="shared" si="41"/>
        <v>1.81</v>
      </c>
      <c r="N157" s="137">
        <f t="shared" si="41"/>
        <v>1.81</v>
      </c>
      <c r="O157" s="137">
        <f t="shared" si="41"/>
        <v>1.81</v>
      </c>
      <c r="P157" s="137">
        <f t="shared" si="41"/>
        <v>1.81</v>
      </c>
      <c r="Q157" s="137">
        <f t="shared" si="41"/>
        <v>1.81</v>
      </c>
      <c r="R157" s="137">
        <f t="shared" si="41"/>
        <v>1.81</v>
      </c>
      <c r="S157" s="137">
        <f t="shared" si="42"/>
        <v>1.81</v>
      </c>
      <c r="T157" s="137">
        <f t="shared" si="42"/>
        <v>1.81</v>
      </c>
      <c r="U157" s="137">
        <f t="shared" si="42"/>
        <v>1.81</v>
      </c>
      <c r="V157" s="137">
        <f t="shared" si="42"/>
        <v>1.81</v>
      </c>
      <c r="W157" s="137">
        <f t="shared" si="42"/>
        <v>1.81</v>
      </c>
      <c r="X157" s="137">
        <f t="shared" si="42"/>
        <v>1.81</v>
      </c>
      <c r="Y157" s="137">
        <f t="shared" si="42"/>
        <v>1.81</v>
      </c>
      <c r="Z157" s="137">
        <f t="shared" si="42"/>
        <v>1.81</v>
      </c>
      <c r="AA157" s="137">
        <f t="shared" si="42"/>
        <v>1.81</v>
      </c>
      <c r="AB157" s="137">
        <f t="shared" si="42"/>
        <v>1.81</v>
      </c>
      <c r="AC157" s="137">
        <f t="shared" si="42"/>
        <v>1.81</v>
      </c>
      <c r="AD157" s="137">
        <f t="shared" si="42"/>
        <v>1.81</v>
      </c>
      <c r="AE157" s="137">
        <f t="shared" si="42"/>
        <v>1.81</v>
      </c>
      <c r="AF157" s="137">
        <f t="shared" si="42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1"/>
        <v>1.0900000000000001</v>
      </c>
      <c r="D158" s="137">
        <f t="shared" si="41"/>
        <v>1.0900000000000001</v>
      </c>
      <c r="E158" s="137">
        <f t="shared" si="41"/>
        <v>1.0900000000000001</v>
      </c>
      <c r="F158" s="137">
        <f t="shared" si="41"/>
        <v>1.0900000000000001</v>
      </c>
      <c r="G158" s="137">
        <f t="shared" si="41"/>
        <v>1.0900000000000001</v>
      </c>
      <c r="H158" s="137">
        <f t="shared" si="41"/>
        <v>1.0900000000000001</v>
      </c>
      <c r="I158" s="137">
        <f t="shared" si="41"/>
        <v>1.0900000000000001</v>
      </c>
      <c r="J158" s="137">
        <f t="shared" si="41"/>
        <v>1.0900000000000001</v>
      </c>
      <c r="K158" s="137">
        <f t="shared" si="41"/>
        <v>1.0900000000000001</v>
      </c>
      <c r="L158" s="137">
        <f t="shared" si="41"/>
        <v>1.0900000000000001</v>
      </c>
      <c r="M158" s="137">
        <f t="shared" si="41"/>
        <v>1.0900000000000001</v>
      </c>
      <c r="N158" s="137">
        <f t="shared" si="41"/>
        <v>1.0900000000000001</v>
      </c>
      <c r="O158" s="137">
        <f t="shared" si="41"/>
        <v>1.0900000000000001</v>
      </c>
      <c r="P158" s="137">
        <f t="shared" si="41"/>
        <v>1.0900000000000001</v>
      </c>
      <c r="Q158" s="137">
        <f t="shared" si="41"/>
        <v>1.0900000000000001</v>
      </c>
      <c r="R158" s="137">
        <f t="shared" si="41"/>
        <v>1.0900000000000001</v>
      </c>
      <c r="S158" s="137">
        <f t="shared" si="42"/>
        <v>1.0900000000000001</v>
      </c>
      <c r="T158" s="137">
        <f t="shared" si="42"/>
        <v>1.0900000000000001</v>
      </c>
      <c r="U158" s="137">
        <f t="shared" si="42"/>
        <v>1.0900000000000001</v>
      </c>
      <c r="V158" s="137">
        <f t="shared" si="42"/>
        <v>1.0900000000000001</v>
      </c>
      <c r="W158" s="137">
        <f t="shared" si="42"/>
        <v>1.0900000000000001</v>
      </c>
      <c r="X158" s="137">
        <f t="shared" si="42"/>
        <v>1.0900000000000001</v>
      </c>
      <c r="Y158" s="137">
        <f t="shared" si="42"/>
        <v>1.0900000000000001</v>
      </c>
      <c r="Z158" s="137">
        <f t="shared" si="42"/>
        <v>1.0900000000000001</v>
      </c>
      <c r="AA158" s="137">
        <f t="shared" si="42"/>
        <v>1.0900000000000001</v>
      </c>
      <c r="AB158" s="137">
        <f t="shared" si="42"/>
        <v>1.0900000000000001</v>
      </c>
      <c r="AC158" s="137">
        <f t="shared" si="42"/>
        <v>1.0900000000000001</v>
      </c>
      <c r="AD158" s="137">
        <f t="shared" si="42"/>
        <v>1.0900000000000001</v>
      </c>
      <c r="AE158" s="137">
        <f t="shared" si="42"/>
        <v>1.0900000000000001</v>
      </c>
      <c r="AF158" s="137">
        <f t="shared" si="42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1"/>
        <v>1.58</v>
      </c>
      <c r="D159" s="137">
        <f t="shared" si="41"/>
        <v>1.58</v>
      </c>
      <c r="E159" s="137">
        <f t="shared" si="41"/>
        <v>1.58</v>
      </c>
      <c r="F159" s="137">
        <f t="shared" si="41"/>
        <v>1.58</v>
      </c>
      <c r="G159" s="137">
        <f t="shared" si="41"/>
        <v>1.58</v>
      </c>
      <c r="H159" s="137">
        <f t="shared" si="41"/>
        <v>1.58</v>
      </c>
      <c r="I159" s="137">
        <f t="shared" si="41"/>
        <v>1.58</v>
      </c>
      <c r="J159" s="137">
        <f t="shared" si="41"/>
        <v>1.58</v>
      </c>
      <c r="K159" s="137">
        <f t="shared" si="41"/>
        <v>1.58</v>
      </c>
      <c r="L159" s="137">
        <f t="shared" si="41"/>
        <v>1.58</v>
      </c>
      <c r="M159" s="137">
        <f t="shared" si="41"/>
        <v>1.58</v>
      </c>
      <c r="N159" s="137">
        <f t="shared" si="41"/>
        <v>1.58</v>
      </c>
      <c r="O159" s="137">
        <f t="shared" si="41"/>
        <v>1.58</v>
      </c>
      <c r="P159" s="137">
        <f t="shared" si="41"/>
        <v>1.58</v>
      </c>
      <c r="Q159" s="137">
        <f t="shared" si="41"/>
        <v>1.58</v>
      </c>
      <c r="R159" s="137">
        <f t="shared" si="41"/>
        <v>1.58</v>
      </c>
      <c r="S159" s="137">
        <f t="shared" si="42"/>
        <v>1.58</v>
      </c>
      <c r="T159" s="137">
        <f t="shared" si="42"/>
        <v>1.58</v>
      </c>
      <c r="U159" s="137">
        <f t="shared" si="42"/>
        <v>1.58</v>
      </c>
      <c r="V159" s="137">
        <f t="shared" si="42"/>
        <v>1.58</v>
      </c>
      <c r="W159" s="137">
        <f t="shared" si="42"/>
        <v>1.58</v>
      </c>
      <c r="X159" s="137">
        <f t="shared" si="42"/>
        <v>1.58</v>
      </c>
      <c r="Y159" s="137">
        <f t="shared" si="42"/>
        <v>1.58</v>
      </c>
      <c r="Z159" s="137">
        <f t="shared" si="42"/>
        <v>1.58</v>
      </c>
      <c r="AA159" s="137">
        <f t="shared" si="42"/>
        <v>1.58</v>
      </c>
      <c r="AB159" s="137">
        <f t="shared" si="42"/>
        <v>1.58</v>
      </c>
      <c r="AC159" s="137">
        <f t="shared" si="42"/>
        <v>1.58</v>
      </c>
      <c r="AD159" s="137">
        <f t="shared" si="42"/>
        <v>1.58</v>
      </c>
      <c r="AE159" s="137">
        <f t="shared" si="42"/>
        <v>1.58</v>
      </c>
      <c r="AF159" s="137">
        <f t="shared" si="42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1"/>
        <v>2</v>
      </c>
      <c r="D160" s="137">
        <f t="shared" si="41"/>
        <v>2</v>
      </c>
      <c r="E160" s="137">
        <f t="shared" si="41"/>
        <v>2</v>
      </c>
      <c r="F160" s="137">
        <f t="shared" si="41"/>
        <v>2</v>
      </c>
      <c r="G160" s="137">
        <f t="shared" si="41"/>
        <v>2</v>
      </c>
      <c r="H160" s="137">
        <f t="shared" si="41"/>
        <v>2</v>
      </c>
      <c r="I160" s="137">
        <f t="shared" si="41"/>
        <v>2</v>
      </c>
      <c r="J160" s="137">
        <f t="shared" si="41"/>
        <v>2</v>
      </c>
      <c r="K160" s="137">
        <f t="shared" si="41"/>
        <v>2</v>
      </c>
      <c r="L160" s="137">
        <f t="shared" si="41"/>
        <v>2</v>
      </c>
      <c r="M160" s="137">
        <f t="shared" si="41"/>
        <v>2</v>
      </c>
      <c r="N160" s="137">
        <f t="shared" si="41"/>
        <v>2</v>
      </c>
      <c r="O160" s="137">
        <f t="shared" si="41"/>
        <v>2</v>
      </c>
      <c r="P160" s="137">
        <f t="shared" si="41"/>
        <v>2</v>
      </c>
      <c r="Q160" s="137">
        <f t="shared" si="41"/>
        <v>2</v>
      </c>
      <c r="R160" s="137">
        <f t="shared" si="41"/>
        <v>2</v>
      </c>
      <c r="S160" s="137">
        <f t="shared" si="42"/>
        <v>2</v>
      </c>
      <c r="T160" s="137">
        <f t="shared" si="42"/>
        <v>2</v>
      </c>
      <c r="U160" s="137">
        <f t="shared" si="42"/>
        <v>2</v>
      </c>
      <c r="V160" s="137">
        <f t="shared" si="42"/>
        <v>2</v>
      </c>
      <c r="W160" s="137">
        <f t="shared" si="42"/>
        <v>2</v>
      </c>
      <c r="X160" s="137">
        <f t="shared" si="42"/>
        <v>2</v>
      </c>
      <c r="Y160" s="137">
        <f t="shared" si="42"/>
        <v>2</v>
      </c>
      <c r="Z160" s="137">
        <f t="shared" si="42"/>
        <v>2</v>
      </c>
      <c r="AA160" s="137">
        <f t="shared" si="42"/>
        <v>2</v>
      </c>
      <c r="AB160" s="137">
        <f t="shared" si="42"/>
        <v>2</v>
      </c>
      <c r="AC160" s="137">
        <f t="shared" si="42"/>
        <v>2</v>
      </c>
      <c r="AD160" s="137">
        <f t="shared" si="42"/>
        <v>2</v>
      </c>
      <c r="AE160" s="137">
        <f t="shared" si="42"/>
        <v>2</v>
      </c>
      <c r="AF160" s="137">
        <f t="shared" si="42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1"/>
        <v>0.47</v>
      </c>
      <c r="D161" s="137">
        <f t="shared" si="41"/>
        <v>0.47</v>
      </c>
      <c r="E161" s="137">
        <f t="shared" si="41"/>
        <v>0.47</v>
      </c>
      <c r="F161" s="137">
        <f t="shared" si="41"/>
        <v>0.47</v>
      </c>
      <c r="G161" s="137">
        <f t="shared" si="41"/>
        <v>0.47</v>
      </c>
      <c r="H161" s="137">
        <f t="shared" si="41"/>
        <v>0.47</v>
      </c>
      <c r="I161" s="137">
        <f t="shared" si="41"/>
        <v>0.47</v>
      </c>
      <c r="J161" s="137">
        <f t="shared" si="41"/>
        <v>0.47</v>
      </c>
      <c r="K161" s="137">
        <f t="shared" si="41"/>
        <v>0.47</v>
      </c>
      <c r="L161" s="137">
        <f t="shared" si="41"/>
        <v>0.47</v>
      </c>
      <c r="M161" s="137">
        <f t="shared" si="41"/>
        <v>0.47</v>
      </c>
      <c r="N161" s="137">
        <f t="shared" si="41"/>
        <v>0.47</v>
      </c>
      <c r="O161" s="137">
        <f t="shared" si="41"/>
        <v>0.47</v>
      </c>
      <c r="P161" s="137">
        <f t="shared" si="41"/>
        <v>0.47</v>
      </c>
      <c r="Q161" s="137">
        <f t="shared" si="41"/>
        <v>0.47</v>
      </c>
      <c r="R161" s="137">
        <f t="shared" si="41"/>
        <v>0.47</v>
      </c>
      <c r="S161" s="137">
        <f t="shared" si="42"/>
        <v>0.47</v>
      </c>
      <c r="T161" s="137">
        <f t="shared" si="42"/>
        <v>0.47</v>
      </c>
      <c r="U161" s="137">
        <f t="shared" si="42"/>
        <v>0.47</v>
      </c>
      <c r="V161" s="137">
        <f t="shared" si="42"/>
        <v>0.47</v>
      </c>
      <c r="W161" s="137">
        <f t="shared" si="42"/>
        <v>0.47</v>
      </c>
      <c r="X161" s="137">
        <f t="shared" si="42"/>
        <v>0.47</v>
      </c>
      <c r="Y161" s="137">
        <f t="shared" si="42"/>
        <v>0.47</v>
      </c>
      <c r="Z161" s="137">
        <f t="shared" si="42"/>
        <v>0.47</v>
      </c>
      <c r="AA161" s="137">
        <f t="shared" si="42"/>
        <v>0.47</v>
      </c>
      <c r="AB161" s="137">
        <f t="shared" si="42"/>
        <v>0.47</v>
      </c>
      <c r="AC161" s="137">
        <f t="shared" si="42"/>
        <v>0.47</v>
      </c>
      <c r="AD161" s="137">
        <f t="shared" si="42"/>
        <v>0.47</v>
      </c>
      <c r="AE161" s="137">
        <f t="shared" si="42"/>
        <v>0.47</v>
      </c>
      <c r="AF161" s="137">
        <f t="shared" si="42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1"/>
        <v>0</v>
      </c>
      <c r="D162" s="137">
        <f t="shared" si="41"/>
        <v>0</v>
      </c>
      <c r="E162" s="137">
        <f t="shared" si="41"/>
        <v>0</v>
      </c>
      <c r="F162" s="137">
        <f t="shared" si="41"/>
        <v>0</v>
      </c>
      <c r="G162" s="137">
        <f t="shared" si="41"/>
        <v>0</v>
      </c>
      <c r="H162" s="137">
        <f t="shared" si="41"/>
        <v>0</v>
      </c>
      <c r="I162" s="137">
        <f t="shared" si="41"/>
        <v>0</v>
      </c>
      <c r="J162" s="137">
        <f t="shared" si="41"/>
        <v>0</v>
      </c>
      <c r="K162" s="137">
        <f t="shared" si="41"/>
        <v>0</v>
      </c>
      <c r="L162" s="137">
        <f t="shared" si="41"/>
        <v>0</v>
      </c>
      <c r="M162" s="137">
        <f t="shared" si="41"/>
        <v>0</v>
      </c>
      <c r="N162" s="137">
        <f t="shared" si="41"/>
        <v>0</v>
      </c>
      <c r="O162" s="137">
        <f t="shared" si="41"/>
        <v>0</v>
      </c>
      <c r="P162" s="137">
        <f t="shared" si="41"/>
        <v>0</v>
      </c>
      <c r="Q162" s="137">
        <f t="shared" si="41"/>
        <v>0</v>
      </c>
      <c r="R162" s="137">
        <f t="shared" si="41"/>
        <v>0</v>
      </c>
      <c r="S162" s="137">
        <f t="shared" si="42"/>
        <v>0</v>
      </c>
      <c r="T162" s="137">
        <f t="shared" si="42"/>
        <v>0</v>
      </c>
      <c r="U162" s="137">
        <f t="shared" si="42"/>
        <v>0</v>
      </c>
      <c r="V162" s="137">
        <f t="shared" si="42"/>
        <v>0</v>
      </c>
      <c r="W162" s="137">
        <f t="shared" si="42"/>
        <v>0</v>
      </c>
      <c r="X162" s="137">
        <f t="shared" si="42"/>
        <v>0</v>
      </c>
      <c r="Y162" s="137">
        <f t="shared" si="42"/>
        <v>0</v>
      </c>
      <c r="Z162" s="137">
        <f t="shared" si="42"/>
        <v>0</v>
      </c>
      <c r="AA162" s="137">
        <f t="shared" si="42"/>
        <v>0</v>
      </c>
      <c r="AB162" s="137">
        <f t="shared" si="42"/>
        <v>0</v>
      </c>
      <c r="AC162" s="137">
        <f t="shared" si="42"/>
        <v>0</v>
      </c>
      <c r="AD162" s="137">
        <f t="shared" si="42"/>
        <v>0</v>
      </c>
      <c r="AE162" s="137">
        <f t="shared" si="42"/>
        <v>0</v>
      </c>
      <c r="AF162" s="137">
        <f t="shared" si="42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2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1"/>
        <v>0.8</v>
      </c>
      <c r="D164" s="137">
        <f t="shared" si="41"/>
        <v>0.8</v>
      </c>
      <c r="E164" s="137">
        <f t="shared" si="41"/>
        <v>0.8</v>
      </c>
      <c r="F164" s="137">
        <f t="shared" si="41"/>
        <v>0.8</v>
      </c>
      <c r="G164" s="137">
        <f t="shared" si="41"/>
        <v>0.8</v>
      </c>
      <c r="H164" s="137">
        <f t="shared" si="41"/>
        <v>0.8</v>
      </c>
      <c r="I164" s="137">
        <f t="shared" si="41"/>
        <v>0.8</v>
      </c>
      <c r="J164" s="137">
        <f t="shared" si="41"/>
        <v>0.8</v>
      </c>
      <c r="K164" s="137">
        <f t="shared" si="41"/>
        <v>0.8</v>
      </c>
      <c r="L164" s="137">
        <f t="shared" si="41"/>
        <v>0.8</v>
      </c>
      <c r="M164" s="137">
        <f t="shared" si="41"/>
        <v>0.8</v>
      </c>
      <c r="N164" s="137">
        <f t="shared" si="41"/>
        <v>0.8</v>
      </c>
      <c r="O164" s="137">
        <f t="shared" si="41"/>
        <v>0.8</v>
      </c>
      <c r="P164" s="137">
        <f t="shared" si="41"/>
        <v>0.8</v>
      </c>
      <c r="Q164" s="137">
        <f t="shared" si="41"/>
        <v>0.8</v>
      </c>
      <c r="R164" s="137">
        <f t="shared" si="42"/>
        <v>0.8</v>
      </c>
      <c r="S164" s="137">
        <f t="shared" si="42"/>
        <v>0.8</v>
      </c>
      <c r="T164" s="137">
        <f t="shared" si="42"/>
        <v>0.8</v>
      </c>
      <c r="U164" s="137">
        <f t="shared" si="42"/>
        <v>0.8</v>
      </c>
      <c r="V164" s="137">
        <f t="shared" si="42"/>
        <v>0.8</v>
      </c>
      <c r="W164" s="137">
        <f t="shared" si="42"/>
        <v>0.8</v>
      </c>
      <c r="X164" s="137">
        <f t="shared" si="42"/>
        <v>0.8</v>
      </c>
      <c r="Y164" s="137">
        <f t="shared" si="42"/>
        <v>0.8</v>
      </c>
      <c r="Z164" s="137">
        <f t="shared" si="42"/>
        <v>0.8</v>
      </c>
      <c r="AA164" s="137">
        <f t="shared" si="42"/>
        <v>0.8</v>
      </c>
      <c r="AB164" s="137">
        <f t="shared" si="42"/>
        <v>0.8</v>
      </c>
      <c r="AC164" s="137">
        <f t="shared" si="42"/>
        <v>0.8</v>
      </c>
      <c r="AD164" s="137">
        <f t="shared" si="42"/>
        <v>0.8</v>
      </c>
      <c r="AE164" s="137">
        <f t="shared" si="42"/>
        <v>0.8</v>
      </c>
      <c r="AF164" s="137">
        <f t="shared" si="42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1"/>
        <v>1.5</v>
      </c>
      <c r="D165" s="137">
        <f t="shared" si="41"/>
        <v>1.5</v>
      </c>
      <c r="E165" s="137">
        <f t="shared" si="41"/>
        <v>1.5</v>
      </c>
      <c r="F165" s="137">
        <f t="shared" si="41"/>
        <v>1.5</v>
      </c>
      <c r="G165" s="137">
        <f t="shared" si="41"/>
        <v>1.5</v>
      </c>
      <c r="H165" s="137">
        <f t="shared" si="41"/>
        <v>1.5</v>
      </c>
      <c r="I165" s="137">
        <f t="shared" si="41"/>
        <v>1.5</v>
      </c>
      <c r="J165" s="137">
        <f t="shared" si="41"/>
        <v>1.5</v>
      </c>
      <c r="K165" s="137">
        <f t="shared" si="41"/>
        <v>1.5</v>
      </c>
      <c r="L165" s="137">
        <f t="shared" si="41"/>
        <v>1.5</v>
      </c>
      <c r="M165" s="137">
        <f t="shared" si="41"/>
        <v>1.5</v>
      </c>
      <c r="N165" s="137">
        <f t="shared" si="41"/>
        <v>1.5</v>
      </c>
      <c r="O165" s="137">
        <f t="shared" si="41"/>
        <v>1.5</v>
      </c>
      <c r="P165" s="137">
        <f t="shared" si="41"/>
        <v>1.5</v>
      </c>
      <c r="Q165" s="137">
        <f t="shared" si="41"/>
        <v>1.5</v>
      </c>
      <c r="R165" s="137">
        <f t="shared" si="42"/>
        <v>1.5</v>
      </c>
      <c r="S165" s="137">
        <f t="shared" si="42"/>
        <v>1.5</v>
      </c>
      <c r="T165" s="137">
        <f t="shared" si="42"/>
        <v>1.5</v>
      </c>
      <c r="U165" s="137">
        <f t="shared" si="42"/>
        <v>1.5</v>
      </c>
      <c r="V165" s="137">
        <f t="shared" si="42"/>
        <v>1.5</v>
      </c>
      <c r="W165" s="137">
        <f t="shared" si="42"/>
        <v>1.5</v>
      </c>
      <c r="X165" s="137">
        <f t="shared" si="42"/>
        <v>1.5</v>
      </c>
      <c r="Y165" s="137">
        <f t="shared" si="42"/>
        <v>1.5</v>
      </c>
      <c r="Z165" s="137">
        <f t="shared" si="42"/>
        <v>1.5</v>
      </c>
      <c r="AA165" s="137">
        <f t="shared" si="42"/>
        <v>1.5</v>
      </c>
      <c r="AB165" s="137">
        <f t="shared" si="42"/>
        <v>1.5</v>
      </c>
      <c r="AC165" s="137">
        <f t="shared" si="42"/>
        <v>1.5</v>
      </c>
      <c r="AD165" s="137">
        <f t="shared" si="42"/>
        <v>1.5</v>
      </c>
      <c r="AE165" s="137">
        <f t="shared" si="42"/>
        <v>1.5</v>
      </c>
      <c r="AF165" s="137">
        <f t="shared" si="42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1"/>
        <v>1</v>
      </c>
      <c r="D166" s="137">
        <f t="shared" si="41"/>
        <v>1</v>
      </c>
      <c r="E166" s="137">
        <f t="shared" si="41"/>
        <v>1</v>
      </c>
      <c r="F166" s="137">
        <f t="shared" si="41"/>
        <v>1</v>
      </c>
      <c r="G166" s="137">
        <f t="shared" si="41"/>
        <v>1</v>
      </c>
      <c r="H166" s="137">
        <f t="shared" si="41"/>
        <v>1</v>
      </c>
      <c r="I166" s="137">
        <f t="shared" si="41"/>
        <v>1</v>
      </c>
      <c r="J166" s="137">
        <f t="shared" si="41"/>
        <v>1</v>
      </c>
      <c r="K166" s="137">
        <f t="shared" si="41"/>
        <v>1</v>
      </c>
      <c r="L166" s="137">
        <f t="shared" si="41"/>
        <v>1</v>
      </c>
      <c r="M166" s="137">
        <f t="shared" si="41"/>
        <v>1</v>
      </c>
      <c r="N166" s="137">
        <f t="shared" si="41"/>
        <v>1</v>
      </c>
      <c r="O166" s="137">
        <f t="shared" si="41"/>
        <v>1</v>
      </c>
      <c r="P166" s="137">
        <f t="shared" si="41"/>
        <v>1</v>
      </c>
      <c r="Q166" s="137">
        <f t="shared" si="41"/>
        <v>1</v>
      </c>
      <c r="R166" s="137">
        <f t="shared" si="42"/>
        <v>1</v>
      </c>
      <c r="S166" s="137">
        <f t="shared" si="42"/>
        <v>1</v>
      </c>
      <c r="T166" s="137">
        <f t="shared" si="42"/>
        <v>1</v>
      </c>
      <c r="U166" s="137">
        <f t="shared" si="42"/>
        <v>1</v>
      </c>
      <c r="V166" s="137">
        <f t="shared" si="42"/>
        <v>1</v>
      </c>
      <c r="W166" s="137">
        <f t="shared" si="42"/>
        <v>1</v>
      </c>
      <c r="X166" s="137">
        <f t="shared" si="42"/>
        <v>1</v>
      </c>
      <c r="Y166" s="137">
        <f t="shared" si="42"/>
        <v>1</v>
      </c>
      <c r="Z166" s="137">
        <f t="shared" si="42"/>
        <v>1</v>
      </c>
      <c r="AA166" s="137">
        <f t="shared" si="42"/>
        <v>1</v>
      </c>
      <c r="AB166" s="137">
        <f t="shared" si="42"/>
        <v>1</v>
      </c>
      <c r="AC166" s="137">
        <f t="shared" si="42"/>
        <v>1</v>
      </c>
      <c r="AD166" s="137">
        <f t="shared" si="42"/>
        <v>1</v>
      </c>
      <c r="AE166" s="137">
        <f t="shared" si="42"/>
        <v>1</v>
      </c>
      <c r="AF166" s="137">
        <f t="shared" si="42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3">B168</f>
        <v>1</v>
      </c>
      <c r="D168" s="137">
        <f t="shared" si="43"/>
        <v>1</v>
      </c>
      <c r="E168" s="137">
        <f t="shared" si="43"/>
        <v>1</v>
      </c>
      <c r="F168" s="137">
        <f t="shared" si="43"/>
        <v>1</v>
      </c>
      <c r="G168" s="137">
        <f t="shared" si="43"/>
        <v>1</v>
      </c>
      <c r="H168" s="137">
        <f t="shared" si="43"/>
        <v>1</v>
      </c>
      <c r="I168" s="137">
        <f t="shared" si="43"/>
        <v>1</v>
      </c>
      <c r="J168" s="137">
        <f t="shared" si="43"/>
        <v>1</v>
      </c>
      <c r="K168" s="137">
        <f t="shared" si="43"/>
        <v>1</v>
      </c>
      <c r="L168" s="137">
        <f t="shared" si="43"/>
        <v>1</v>
      </c>
      <c r="M168" s="137">
        <f t="shared" si="43"/>
        <v>1</v>
      </c>
      <c r="N168" s="137">
        <f t="shared" si="43"/>
        <v>1</v>
      </c>
      <c r="O168" s="137">
        <f t="shared" si="43"/>
        <v>1</v>
      </c>
      <c r="P168" s="137">
        <f t="shared" si="43"/>
        <v>1</v>
      </c>
      <c r="Q168" s="137">
        <f t="shared" si="43"/>
        <v>1</v>
      </c>
      <c r="R168" s="137">
        <f t="shared" si="43"/>
        <v>1</v>
      </c>
      <c r="S168" s="137">
        <f t="shared" ref="R168:AF175" si="44">R168</f>
        <v>1</v>
      </c>
      <c r="T168" s="137">
        <f t="shared" si="44"/>
        <v>1</v>
      </c>
      <c r="U168" s="137">
        <f t="shared" si="44"/>
        <v>1</v>
      </c>
      <c r="V168" s="137">
        <f t="shared" si="44"/>
        <v>1</v>
      </c>
      <c r="W168" s="137">
        <f t="shared" si="44"/>
        <v>1</v>
      </c>
      <c r="X168" s="137">
        <f t="shared" si="44"/>
        <v>1</v>
      </c>
      <c r="Y168" s="137">
        <f t="shared" si="44"/>
        <v>1</v>
      </c>
      <c r="Z168" s="137">
        <f t="shared" si="44"/>
        <v>1</v>
      </c>
      <c r="AA168" s="137">
        <f t="shared" si="44"/>
        <v>1</v>
      </c>
      <c r="AB168" s="137">
        <f t="shared" si="44"/>
        <v>1</v>
      </c>
      <c r="AC168" s="137">
        <f t="shared" si="44"/>
        <v>1</v>
      </c>
      <c r="AD168" s="137">
        <f t="shared" si="44"/>
        <v>1</v>
      </c>
      <c r="AE168" s="137">
        <f t="shared" si="44"/>
        <v>1</v>
      </c>
      <c r="AF168" s="137">
        <f t="shared" si="44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3"/>
        <v>0.42</v>
      </c>
      <c r="D169" s="137">
        <f t="shared" si="43"/>
        <v>0.42</v>
      </c>
      <c r="E169" s="137">
        <f t="shared" si="43"/>
        <v>0.42</v>
      </c>
      <c r="F169" s="137">
        <f t="shared" si="43"/>
        <v>0.42</v>
      </c>
      <c r="G169" s="137">
        <f t="shared" si="43"/>
        <v>0.42</v>
      </c>
      <c r="H169" s="137">
        <f t="shared" si="43"/>
        <v>0.42</v>
      </c>
      <c r="I169" s="137">
        <f t="shared" si="43"/>
        <v>0.42</v>
      </c>
      <c r="J169" s="137">
        <f t="shared" si="43"/>
        <v>0.42</v>
      </c>
      <c r="K169" s="137">
        <f t="shared" si="43"/>
        <v>0.42</v>
      </c>
      <c r="L169" s="137">
        <f t="shared" si="43"/>
        <v>0.42</v>
      </c>
      <c r="M169" s="137">
        <f t="shared" si="43"/>
        <v>0.42</v>
      </c>
      <c r="N169" s="137">
        <f t="shared" si="43"/>
        <v>0.42</v>
      </c>
      <c r="O169" s="137">
        <f t="shared" si="43"/>
        <v>0.42</v>
      </c>
      <c r="P169" s="137">
        <f t="shared" si="43"/>
        <v>0.42</v>
      </c>
      <c r="Q169" s="137">
        <f t="shared" si="43"/>
        <v>0.42</v>
      </c>
      <c r="R169" s="137">
        <f t="shared" si="44"/>
        <v>0.42</v>
      </c>
      <c r="S169" s="137">
        <f t="shared" si="44"/>
        <v>0.42</v>
      </c>
      <c r="T169" s="137">
        <f t="shared" si="44"/>
        <v>0.42</v>
      </c>
      <c r="U169" s="137">
        <f t="shared" si="44"/>
        <v>0.42</v>
      </c>
      <c r="V169" s="137">
        <f t="shared" si="44"/>
        <v>0.42</v>
      </c>
      <c r="W169" s="137">
        <f t="shared" si="44"/>
        <v>0.42</v>
      </c>
      <c r="X169" s="137">
        <f t="shared" si="44"/>
        <v>0.42</v>
      </c>
      <c r="Y169" s="137">
        <f t="shared" si="44"/>
        <v>0.42</v>
      </c>
      <c r="Z169" s="137">
        <f t="shared" si="44"/>
        <v>0.42</v>
      </c>
      <c r="AA169" s="137">
        <f t="shared" si="44"/>
        <v>0.42</v>
      </c>
      <c r="AB169" s="137">
        <f t="shared" si="44"/>
        <v>0.42</v>
      </c>
      <c r="AC169" s="137">
        <f t="shared" si="44"/>
        <v>0.42</v>
      </c>
      <c r="AD169" s="137">
        <f t="shared" si="44"/>
        <v>0.42</v>
      </c>
      <c r="AE169" s="137">
        <f t="shared" si="44"/>
        <v>0.42</v>
      </c>
      <c r="AF169" s="137">
        <f t="shared" si="44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3"/>
        <v>0.46</v>
      </c>
      <c r="D170" s="137">
        <f t="shared" si="43"/>
        <v>0.46</v>
      </c>
      <c r="E170" s="137">
        <f t="shared" si="43"/>
        <v>0.46</v>
      </c>
      <c r="F170" s="137">
        <f t="shared" si="43"/>
        <v>0.46</v>
      </c>
      <c r="G170" s="137">
        <f t="shared" si="43"/>
        <v>0.46</v>
      </c>
      <c r="H170" s="137">
        <f t="shared" si="43"/>
        <v>0.46</v>
      </c>
      <c r="I170" s="137">
        <f t="shared" si="43"/>
        <v>0.46</v>
      </c>
      <c r="J170" s="137">
        <f t="shared" si="43"/>
        <v>0.46</v>
      </c>
      <c r="K170" s="137">
        <f t="shared" si="43"/>
        <v>0.46</v>
      </c>
      <c r="L170" s="137">
        <f t="shared" si="43"/>
        <v>0.46</v>
      </c>
      <c r="M170" s="137">
        <f t="shared" si="43"/>
        <v>0.46</v>
      </c>
      <c r="N170" s="137">
        <f t="shared" si="43"/>
        <v>0.46</v>
      </c>
      <c r="O170" s="137">
        <f t="shared" si="43"/>
        <v>0.46</v>
      </c>
      <c r="P170" s="137">
        <f t="shared" si="43"/>
        <v>0.46</v>
      </c>
      <c r="Q170" s="137">
        <f t="shared" si="43"/>
        <v>0.46</v>
      </c>
      <c r="R170" s="137">
        <f t="shared" si="44"/>
        <v>0.46</v>
      </c>
      <c r="S170" s="137">
        <f t="shared" si="44"/>
        <v>0.46</v>
      </c>
      <c r="T170" s="137">
        <f t="shared" si="44"/>
        <v>0.46</v>
      </c>
      <c r="U170" s="137">
        <f t="shared" si="44"/>
        <v>0.46</v>
      </c>
      <c r="V170" s="137">
        <f t="shared" si="44"/>
        <v>0.46</v>
      </c>
      <c r="W170" s="137">
        <f t="shared" si="44"/>
        <v>0.46</v>
      </c>
      <c r="X170" s="137">
        <f t="shared" si="44"/>
        <v>0.46</v>
      </c>
      <c r="Y170" s="137">
        <f t="shared" si="44"/>
        <v>0.46</v>
      </c>
      <c r="Z170" s="137">
        <f t="shared" si="44"/>
        <v>0.46</v>
      </c>
      <c r="AA170" s="137">
        <f t="shared" si="44"/>
        <v>0.46</v>
      </c>
      <c r="AB170" s="137">
        <f t="shared" si="44"/>
        <v>0.46</v>
      </c>
      <c r="AC170" s="137">
        <f t="shared" si="44"/>
        <v>0.46</v>
      </c>
      <c r="AD170" s="137">
        <f t="shared" si="44"/>
        <v>0.46</v>
      </c>
      <c r="AE170" s="137">
        <f t="shared" si="44"/>
        <v>0.46</v>
      </c>
      <c r="AF170" s="137">
        <f t="shared" si="44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3"/>
        <v>0.85</v>
      </c>
      <c r="D171" s="137">
        <f t="shared" si="43"/>
        <v>0.85</v>
      </c>
      <c r="E171" s="137">
        <f t="shared" si="43"/>
        <v>0.85</v>
      </c>
      <c r="F171" s="137">
        <f t="shared" si="43"/>
        <v>0.85</v>
      </c>
      <c r="G171" s="137">
        <f t="shared" si="43"/>
        <v>0.85</v>
      </c>
      <c r="H171" s="137">
        <f t="shared" si="43"/>
        <v>0.85</v>
      </c>
      <c r="I171" s="137">
        <f t="shared" si="43"/>
        <v>0.85</v>
      </c>
      <c r="J171" s="137">
        <f t="shared" si="43"/>
        <v>0.85</v>
      </c>
      <c r="K171" s="137">
        <f t="shared" si="43"/>
        <v>0.85</v>
      </c>
      <c r="L171" s="137">
        <f t="shared" si="43"/>
        <v>0.85</v>
      </c>
      <c r="M171" s="137">
        <f t="shared" si="43"/>
        <v>0.85</v>
      </c>
      <c r="N171" s="137">
        <f t="shared" si="43"/>
        <v>0.85</v>
      </c>
      <c r="O171" s="137">
        <f t="shared" si="43"/>
        <v>0.85</v>
      </c>
      <c r="P171" s="137">
        <f t="shared" si="43"/>
        <v>0.85</v>
      </c>
      <c r="Q171" s="137">
        <f t="shared" si="43"/>
        <v>0.85</v>
      </c>
      <c r="R171" s="137">
        <f t="shared" si="44"/>
        <v>0.85</v>
      </c>
      <c r="S171" s="137">
        <f t="shared" si="44"/>
        <v>0.85</v>
      </c>
      <c r="T171" s="137">
        <f t="shared" si="44"/>
        <v>0.85</v>
      </c>
      <c r="U171" s="137">
        <f t="shared" si="44"/>
        <v>0.85</v>
      </c>
      <c r="V171" s="137">
        <f t="shared" si="44"/>
        <v>0.85</v>
      </c>
      <c r="W171" s="137">
        <f t="shared" si="44"/>
        <v>0.85</v>
      </c>
      <c r="X171" s="137">
        <f t="shared" si="44"/>
        <v>0.85</v>
      </c>
      <c r="Y171" s="137">
        <f t="shared" si="44"/>
        <v>0.85</v>
      </c>
      <c r="Z171" s="137">
        <f t="shared" si="44"/>
        <v>0.85</v>
      </c>
      <c r="AA171" s="137">
        <f t="shared" si="44"/>
        <v>0.85</v>
      </c>
      <c r="AB171" s="137">
        <f t="shared" si="44"/>
        <v>0.85</v>
      </c>
      <c r="AC171" s="137">
        <f t="shared" si="44"/>
        <v>0.85</v>
      </c>
      <c r="AD171" s="137">
        <f t="shared" si="44"/>
        <v>0.85</v>
      </c>
      <c r="AE171" s="137">
        <f t="shared" si="44"/>
        <v>0.85</v>
      </c>
      <c r="AF171" s="137">
        <f t="shared" si="44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3"/>
        <v>0.9</v>
      </c>
      <c r="D172" s="137">
        <f t="shared" si="43"/>
        <v>0.9</v>
      </c>
      <c r="E172" s="137">
        <f t="shared" si="43"/>
        <v>0.9</v>
      </c>
      <c r="F172" s="137">
        <f t="shared" si="43"/>
        <v>0.9</v>
      </c>
      <c r="G172" s="137">
        <f t="shared" si="43"/>
        <v>0.9</v>
      </c>
      <c r="H172" s="137">
        <f t="shared" si="43"/>
        <v>0.9</v>
      </c>
      <c r="I172" s="137">
        <f t="shared" si="43"/>
        <v>0.9</v>
      </c>
      <c r="J172" s="137">
        <f t="shared" si="43"/>
        <v>0.9</v>
      </c>
      <c r="K172" s="137">
        <f t="shared" si="43"/>
        <v>0.9</v>
      </c>
      <c r="L172" s="137">
        <f t="shared" si="43"/>
        <v>0.9</v>
      </c>
      <c r="M172" s="137">
        <f t="shared" si="43"/>
        <v>0.9</v>
      </c>
      <c r="N172" s="137">
        <f t="shared" si="43"/>
        <v>0.9</v>
      </c>
      <c r="O172" s="137">
        <f t="shared" si="43"/>
        <v>0.9</v>
      </c>
      <c r="P172" s="137">
        <f t="shared" si="43"/>
        <v>0.9</v>
      </c>
      <c r="Q172" s="137">
        <f t="shared" si="43"/>
        <v>0.9</v>
      </c>
      <c r="R172" s="137">
        <f t="shared" si="44"/>
        <v>0.9</v>
      </c>
      <c r="S172" s="137">
        <f t="shared" si="44"/>
        <v>0.9</v>
      </c>
      <c r="T172" s="137">
        <f t="shared" si="44"/>
        <v>0.9</v>
      </c>
      <c r="U172" s="137">
        <f t="shared" si="44"/>
        <v>0.9</v>
      </c>
      <c r="V172" s="137">
        <f t="shared" si="44"/>
        <v>0.9</v>
      </c>
      <c r="W172" s="137">
        <f t="shared" si="44"/>
        <v>0.9</v>
      </c>
      <c r="X172" s="137">
        <f t="shared" si="44"/>
        <v>0.9</v>
      </c>
      <c r="Y172" s="137">
        <f t="shared" si="44"/>
        <v>0.9</v>
      </c>
      <c r="Z172" s="137">
        <f t="shared" si="44"/>
        <v>0.9</v>
      </c>
      <c r="AA172" s="137">
        <f t="shared" si="44"/>
        <v>0.9</v>
      </c>
      <c r="AB172" s="137">
        <f t="shared" si="44"/>
        <v>0.9</v>
      </c>
      <c r="AC172" s="137">
        <f t="shared" si="44"/>
        <v>0.9</v>
      </c>
      <c r="AD172" s="137">
        <f t="shared" si="44"/>
        <v>0.9</v>
      </c>
      <c r="AE172" s="137">
        <f t="shared" si="44"/>
        <v>0.9</v>
      </c>
      <c r="AF172" s="137">
        <f t="shared" si="44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3"/>
        <v>0.44</v>
      </c>
      <c r="D173" s="137">
        <f t="shared" si="43"/>
        <v>0.44</v>
      </c>
      <c r="E173" s="137">
        <f t="shared" si="43"/>
        <v>0.44</v>
      </c>
      <c r="F173" s="137">
        <f t="shared" si="43"/>
        <v>0.44</v>
      </c>
      <c r="G173" s="137">
        <f t="shared" si="43"/>
        <v>0.44</v>
      </c>
      <c r="H173" s="137">
        <f t="shared" si="43"/>
        <v>0.44</v>
      </c>
      <c r="I173" s="137">
        <f t="shared" si="43"/>
        <v>0.44</v>
      </c>
      <c r="J173" s="137">
        <f t="shared" si="43"/>
        <v>0.44</v>
      </c>
      <c r="K173" s="137">
        <f t="shared" si="43"/>
        <v>0.44</v>
      </c>
      <c r="L173" s="137">
        <f t="shared" si="43"/>
        <v>0.44</v>
      </c>
      <c r="M173" s="137">
        <f t="shared" si="43"/>
        <v>0.44</v>
      </c>
      <c r="N173" s="137">
        <f t="shared" si="43"/>
        <v>0.44</v>
      </c>
      <c r="O173" s="137">
        <f t="shared" si="43"/>
        <v>0.44</v>
      </c>
      <c r="P173" s="137">
        <f t="shared" si="43"/>
        <v>0.44</v>
      </c>
      <c r="Q173" s="137">
        <f t="shared" si="43"/>
        <v>0.44</v>
      </c>
      <c r="R173" s="137">
        <f t="shared" si="44"/>
        <v>0.44</v>
      </c>
      <c r="S173" s="137">
        <f t="shared" si="44"/>
        <v>0.44</v>
      </c>
      <c r="T173" s="137">
        <f t="shared" si="44"/>
        <v>0.44</v>
      </c>
      <c r="U173" s="137">
        <f t="shared" si="44"/>
        <v>0.44</v>
      </c>
      <c r="V173" s="137">
        <f t="shared" si="44"/>
        <v>0.44</v>
      </c>
      <c r="W173" s="137">
        <f t="shared" si="44"/>
        <v>0.44</v>
      </c>
      <c r="X173" s="137">
        <f t="shared" si="44"/>
        <v>0.44</v>
      </c>
      <c r="Y173" s="137">
        <f t="shared" si="44"/>
        <v>0.44</v>
      </c>
      <c r="Z173" s="137">
        <f t="shared" si="44"/>
        <v>0.44</v>
      </c>
      <c r="AA173" s="137">
        <f t="shared" si="44"/>
        <v>0.44</v>
      </c>
      <c r="AB173" s="137">
        <f t="shared" si="44"/>
        <v>0.44</v>
      </c>
      <c r="AC173" s="137">
        <f t="shared" si="44"/>
        <v>0.44</v>
      </c>
      <c r="AD173" s="137">
        <f t="shared" si="44"/>
        <v>0.44</v>
      </c>
      <c r="AE173" s="137">
        <f t="shared" si="44"/>
        <v>0.44</v>
      </c>
      <c r="AF173" s="137">
        <f t="shared" si="44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3"/>
        <v>2.1</v>
      </c>
      <c r="D174" s="137">
        <f t="shared" si="43"/>
        <v>2.1</v>
      </c>
      <c r="E174" s="137">
        <f t="shared" si="43"/>
        <v>2.1</v>
      </c>
      <c r="F174" s="137">
        <f t="shared" si="43"/>
        <v>2.1</v>
      </c>
      <c r="G174" s="137">
        <f t="shared" si="43"/>
        <v>2.1</v>
      </c>
      <c r="H174" s="137">
        <f t="shared" si="43"/>
        <v>2.1</v>
      </c>
      <c r="I174" s="137">
        <f t="shared" si="43"/>
        <v>2.1</v>
      </c>
      <c r="J174" s="137">
        <f t="shared" si="43"/>
        <v>2.1</v>
      </c>
      <c r="K174" s="137">
        <f t="shared" si="43"/>
        <v>2.1</v>
      </c>
      <c r="L174" s="137">
        <f t="shared" si="43"/>
        <v>2.1</v>
      </c>
      <c r="M174" s="137">
        <f t="shared" si="43"/>
        <v>2.1</v>
      </c>
      <c r="N174" s="137">
        <f t="shared" si="43"/>
        <v>2.1</v>
      </c>
      <c r="O174" s="137">
        <f t="shared" si="43"/>
        <v>2.1</v>
      </c>
      <c r="P174" s="137">
        <f t="shared" si="43"/>
        <v>2.1</v>
      </c>
      <c r="Q174" s="137">
        <f t="shared" si="43"/>
        <v>2.1</v>
      </c>
      <c r="R174" s="137">
        <f t="shared" si="44"/>
        <v>2.1</v>
      </c>
      <c r="S174" s="137">
        <f t="shared" si="44"/>
        <v>2.1</v>
      </c>
      <c r="T174" s="137">
        <f t="shared" si="44"/>
        <v>2.1</v>
      </c>
      <c r="U174" s="137">
        <f t="shared" si="44"/>
        <v>2.1</v>
      </c>
      <c r="V174" s="137">
        <f t="shared" si="44"/>
        <v>2.1</v>
      </c>
      <c r="W174" s="137">
        <f t="shared" si="44"/>
        <v>2.1</v>
      </c>
      <c r="X174" s="137">
        <f t="shared" si="44"/>
        <v>2.1</v>
      </c>
      <c r="Y174" s="137">
        <f t="shared" si="44"/>
        <v>2.1</v>
      </c>
      <c r="Z174" s="137">
        <f t="shared" si="44"/>
        <v>2.1</v>
      </c>
      <c r="AA174" s="137">
        <f t="shared" si="44"/>
        <v>2.1</v>
      </c>
      <c r="AB174" s="137">
        <f t="shared" si="44"/>
        <v>2.1</v>
      </c>
      <c r="AC174" s="137">
        <f t="shared" si="44"/>
        <v>2.1</v>
      </c>
      <c r="AD174" s="137">
        <f t="shared" si="44"/>
        <v>2.1</v>
      </c>
      <c r="AE174" s="137">
        <f t="shared" si="44"/>
        <v>2.1</v>
      </c>
      <c r="AF174" s="137">
        <f t="shared" si="44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3"/>
        <v>0.9</v>
      </c>
      <c r="D175" s="137">
        <f t="shared" si="43"/>
        <v>0.9</v>
      </c>
      <c r="E175" s="137">
        <f t="shared" si="43"/>
        <v>0.9</v>
      </c>
      <c r="F175" s="137">
        <f t="shared" si="43"/>
        <v>0.9</v>
      </c>
      <c r="G175" s="137">
        <f t="shared" si="43"/>
        <v>0.9</v>
      </c>
      <c r="H175" s="137">
        <f t="shared" si="43"/>
        <v>0.9</v>
      </c>
      <c r="I175" s="137">
        <f t="shared" si="43"/>
        <v>0.9</v>
      </c>
      <c r="J175" s="137">
        <f t="shared" si="43"/>
        <v>0.9</v>
      </c>
      <c r="K175" s="137">
        <f t="shared" si="43"/>
        <v>0.9</v>
      </c>
      <c r="L175" s="137">
        <f t="shared" si="43"/>
        <v>0.9</v>
      </c>
      <c r="M175" s="137">
        <f t="shared" si="43"/>
        <v>0.9</v>
      </c>
      <c r="N175" s="137">
        <f t="shared" si="43"/>
        <v>0.9</v>
      </c>
      <c r="O175" s="137">
        <f t="shared" si="43"/>
        <v>0.9</v>
      </c>
      <c r="P175" s="137">
        <f t="shared" si="43"/>
        <v>0.9</v>
      </c>
      <c r="Q175" s="137">
        <f t="shared" si="43"/>
        <v>0.9</v>
      </c>
      <c r="R175" s="137">
        <f t="shared" si="44"/>
        <v>0.9</v>
      </c>
      <c r="S175" s="137">
        <f t="shared" si="44"/>
        <v>0.9</v>
      </c>
      <c r="T175" s="137">
        <f t="shared" si="44"/>
        <v>0.9</v>
      </c>
      <c r="U175" s="137">
        <f t="shared" si="44"/>
        <v>0.9</v>
      </c>
      <c r="V175" s="137">
        <f t="shared" si="44"/>
        <v>0.9</v>
      </c>
      <c r="W175" s="137">
        <f t="shared" si="44"/>
        <v>0.9</v>
      </c>
      <c r="X175" s="137">
        <f t="shared" si="44"/>
        <v>0.9</v>
      </c>
      <c r="Y175" s="137">
        <f t="shared" si="44"/>
        <v>0.9</v>
      </c>
      <c r="Z175" s="137">
        <f t="shared" si="44"/>
        <v>0.9</v>
      </c>
      <c r="AA175" s="137">
        <f t="shared" si="44"/>
        <v>0.9</v>
      </c>
      <c r="AB175" s="137">
        <f t="shared" si="44"/>
        <v>0.9</v>
      </c>
      <c r="AC175" s="137">
        <f t="shared" si="44"/>
        <v>0.9</v>
      </c>
      <c r="AD175" s="137">
        <f t="shared" si="44"/>
        <v>0.9</v>
      </c>
      <c r="AE175" s="137">
        <f t="shared" si="44"/>
        <v>0.9</v>
      </c>
      <c r="AF175" s="137">
        <f t="shared" si="44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5">B177</f>
        <v>0.57999999999999996</v>
      </c>
      <c r="D177" s="137">
        <f t="shared" si="45"/>
        <v>0.57999999999999996</v>
      </c>
      <c r="E177" s="137">
        <f t="shared" si="45"/>
        <v>0.57999999999999996</v>
      </c>
      <c r="F177" s="137">
        <f t="shared" si="45"/>
        <v>0.57999999999999996</v>
      </c>
      <c r="G177" s="137">
        <f t="shared" si="45"/>
        <v>0.57999999999999996</v>
      </c>
      <c r="H177" s="137">
        <f t="shared" si="45"/>
        <v>0.57999999999999996</v>
      </c>
      <c r="I177" s="137">
        <f t="shared" si="45"/>
        <v>0.57999999999999996</v>
      </c>
      <c r="J177" s="137">
        <f t="shared" si="45"/>
        <v>0.57999999999999996</v>
      </c>
      <c r="K177" s="137">
        <f t="shared" si="45"/>
        <v>0.57999999999999996</v>
      </c>
      <c r="L177" s="137">
        <f t="shared" si="45"/>
        <v>0.57999999999999996</v>
      </c>
      <c r="M177" s="137">
        <f t="shared" si="45"/>
        <v>0.57999999999999996</v>
      </c>
      <c r="N177" s="137">
        <f t="shared" si="45"/>
        <v>0.57999999999999996</v>
      </c>
      <c r="O177" s="137">
        <f t="shared" si="45"/>
        <v>0.57999999999999996</v>
      </c>
      <c r="P177" s="137">
        <f t="shared" si="45"/>
        <v>0.57999999999999996</v>
      </c>
      <c r="Q177" s="137">
        <f t="shared" si="45"/>
        <v>0.57999999999999996</v>
      </c>
      <c r="R177" s="137">
        <f t="shared" si="45"/>
        <v>0.57999999999999996</v>
      </c>
      <c r="S177" s="137">
        <f t="shared" ref="R177:AF189" si="46">R177</f>
        <v>0.57999999999999996</v>
      </c>
      <c r="T177" s="137">
        <f t="shared" si="46"/>
        <v>0.57999999999999996</v>
      </c>
      <c r="U177" s="137">
        <f t="shared" si="46"/>
        <v>0.57999999999999996</v>
      </c>
      <c r="V177" s="137">
        <f t="shared" si="46"/>
        <v>0.57999999999999996</v>
      </c>
      <c r="W177" s="137">
        <f t="shared" si="46"/>
        <v>0.57999999999999996</v>
      </c>
      <c r="X177" s="137">
        <f t="shared" si="46"/>
        <v>0.57999999999999996</v>
      </c>
      <c r="Y177" s="137">
        <f t="shared" si="46"/>
        <v>0.57999999999999996</v>
      </c>
      <c r="Z177" s="137">
        <f t="shared" si="46"/>
        <v>0.57999999999999996</v>
      </c>
      <c r="AA177" s="137">
        <f t="shared" si="46"/>
        <v>0.57999999999999996</v>
      </c>
      <c r="AB177" s="137">
        <f t="shared" si="46"/>
        <v>0.57999999999999996</v>
      </c>
      <c r="AC177" s="137">
        <f t="shared" si="46"/>
        <v>0.57999999999999996</v>
      </c>
      <c r="AD177" s="137">
        <f t="shared" si="46"/>
        <v>0.57999999999999996</v>
      </c>
      <c r="AE177" s="137">
        <f t="shared" si="46"/>
        <v>0.57999999999999996</v>
      </c>
      <c r="AF177" s="137">
        <f t="shared" si="46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5"/>
        <v>0.8</v>
      </c>
      <c r="D178" s="137">
        <f t="shared" si="45"/>
        <v>0.8</v>
      </c>
      <c r="E178" s="137">
        <f t="shared" si="45"/>
        <v>0.8</v>
      </c>
      <c r="F178" s="137">
        <f t="shared" si="45"/>
        <v>0.8</v>
      </c>
      <c r="G178" s="137">
        <f t="shared" si="45"/>
        <v>0.8</v>
      </c>
      <c r="H178" s="137">
        <f t="shared" si="45"/>
        <v>0.8</v>
      </c>
      <c r="I178" s="137">
        <f t="shared" si="45"/>
        <v>0.8</v>
      </c>
      <c r="J178" s="137">
        <f t="shared" si="45"/>
        <v>0.8</v>
      </c>
      <c r="K178" s="137">
        <f t="shared" si="45"/>
        <v>0.8</v>
      </c>
      <c r="L178" s="137">
        <f t="shared" si="45"/>
        <v>0.8</v>
      </c>
      <c r="M178" s="137">
        <f t="shared" si="45"/>
        <v>0.8</v>
      </c>
      <c r="N178" s="137">
        <f t="shared" si="45"/>
        <v>0.8</v>
      </c>
      <c r="O178" s="137">
        <f t="shared" si="45"/>
        <v>0.8</v>
      </c>
      <c r="P178" s="137">
        <f t="shared" si="45"/>
        <v>0.8</v>
      </c>
      <c r="Q178" s="137">
        <f t="shared" si="45"/>
        <v>0.8</v>
      </c>
      <c r="R178" s="137">
        <f t="shared" si="45"/>
        <v>0.8</v>
      </c>
      <c r="S178" s="137">
        <f t="shared" si="46"/>
        <v>0.8</v>
      </c>
      <c r="T178" s="137">
        <f t="shared" si="46"/>
        <v>0.8</v>
      </c>
      <c r="U178" s="137">
        <f t="shared" si="46"/>
        <v>0.8</v>
      </c>
      <c r="V178" s="137">
        <f t="shared" si="46"/>
        <v>0.8</v>
      </c>
      <c r="W178" s="137">
        <f t="shared" si="46"/>
        <v>0.8</v>
      </c>
      <c r="X178" s="137">
        <f t="shared" si="46"/>
        <v>0.8</v>
      </c>
      <c r="Y178" s="137">
        <f t="shared" si="46"/>
        <v>0.8</v>
      </c>
      <c r="Z178" s="137">
        <f t="shared" si="46"/>
        <v>0.8</v>
      </c>
      <c r="AA178" s="137">
        <f t="shared" si="46"/>
        <v>0.8</v>
      </c>
      <c r="AB178" s="137">
        <f t="shared" si="46"/>
        <v>0.8</v>
      </c>
      <c r="AC178" s="137">
        <f t="shared" si="46"/>
        <v>0.8</v>
      </c>
      <c r="AD178" s="137">
        <f t="shared" si="46"/>
        <v>0.8</v>
      </c>
      <c r="AE178" s="137">
        <f t="shared" si="46"/>
        <v>0.8</v>
      </c>
      <c r="AF178" s="137">
        <f t="shared" si="46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5"/>
        <v>0</v>
      </c>
      <c r="D179" s="137">
        <f t="shared" si="45"/>
        <v>0</v>
      </c>
      <c r="E179" s="137">
        <f t="shared" si="45"/>
        <v>0</v>
      </c>
      <c r="F179" s="137">
        <f t="shared" si="45"/>
        <v>0</v>
      </c>
      <c r="G179" s="137">
        <f t="shared" si="45"/>
        <v>0</v>
      </c>
      <c r="H179" s="137">
        <f t="shared" si="45"/>
        <v>0</v>
      </c>
      <c r="I179" s="137">
        <f t="shared" si="45"/>
        <v>0</v>
      </c>
      <c r="J179" s="137">
        <f t="shared" si="45"/>
        <v>0</v>
      </c>
      <c r="K179" s="137">
        <f t="shared" si="45"/>
        <v>0</v>
      </c>
      <c r="L179" s="137">
        <f t="shared" si="45"/>
        <v>0</v>
      </c>
      <c r="M179" s="137">
        <f t="shared" si="45"/>
        <v>0</v>
      </c>
      <c r="N179" s="137">
        <f t="shared" si="45"/>
        <v>0</v>
      </c>
      <c r="O179" s="137">
        <f t="shared" si="45"/>
        <v>0</v>
      </c>
      <c r="P179" s="137">
        <f t="shared" si="45"/>
        <v>0</v>
      </c>
      <c r="Q179" s="137">
        <f t="shared" si="45"/>
        <v>0</v>
      </c>
      <c r="R179" s="137">
        <f t="shared" si="45"/>
        <v>0</v>
      </c>
      <c r="S179" s="137">
        <f t="shared" si="46"/>
        <v>0</v>
      </c>
      <c r="T179" s="137">
        <f t="shared" si="46"/>
        <v>0</v>
      </c>
      <c r="U179" s="137">
        <f t="shared" si="46"/>
        <v>0</v>
      </c>
      <c r="V179" s="137">
        <f t="shared" si="46"/>
        <v>0</v>
      </c>
      <c r="W179" s="137">
        <f t="shared" si="46"/>
        <v>0</v>
      </c>
      <c r="X179" s="137">
        <f t="shared" si="46"/>
        <v>0</v>
      </c>
      <c r="Y179" s="137">
        <f t="shared" si="46"/>
        <v>0</v>
      </c>
      <c r="Z179" s="137">
        <f t="shared" si="46"/>
        <v>0</v>
      </c>
      <c r="AA179" s="137">
        <f t="shared" si="46"/>
        <v>0</v>
      </c>
      <c r="AB179" s="137">
        <f t="shared" si="46"/>
        <v>0</v>
      </c>
      <c r="AC179" s="137">
        <f t="shared" si="46"/>
        <v>0</v>
      </c>
      <c r="AD179" s="137">
        <f t="shared" si="46"/>
        <v>0</v>
      </c>
      <c r="AE179" s="137">
        <f t="shared" si="46"/>
        <v>0</v>
      </c>
      <c r="AF179" s="137">
        <f t="shared" si="46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5"/>
        <v>0.6</v>
      </c>
      <c r="D180" s="137">
        <f t="shared" si="45"/>
        <v>0.6</v>
      </c>
      <c r="E180" s="137">
        <f t="shared" si="45"/>
        <v>0.6</v>
      </c>
      <c r="F180" s="137">
        <f t="shared" si="45"/>
        <v>0.6</v>
      </c>
      <c r="G180" s="137">
        <f t="shared" si="45"/>
        <v>0.6</v>
      </c>
      <c r="H180" s="137">
        <f t="shared" si="45"/>
        <v>0.6</v>
      </c>
      <c r="I180" s="137">
        <f t="shared" si="45"/>
        <v>0.6</v>
      </c>
      <c r="J180" s="137">
        <f t="shared" si="45"/>
        <v>0.6</v>
      </c>
      <c r="K180" s="137">
        <f t="shared" si="45"/>
        <v>0.6</v>
      </c>
      <c r="L180" s="137">
        <f t="shared" si="45"/>
        <v>0.6</v>
      </c>
      <c r="M180" s="137">
        <f t="shared" si="45"/>
        <v>0.6</v>
      </c>
      <c r="N180" s="137">
        <f t="shared" si="45"/>
        <v>0.6</v>
      </c>
      <c r="O180" s="137">
        <f t="shared" si="45"/>
        <v>0.6</v>
      </c>
      <c r="P180" s="137">
        <f t="shared" si="45"/>
        <v>0.6</v>
      </c>
      <c r="Q180" s="137">
        <f t="shared" si="45"/>
        <v>0.6</v>
      </c>
      <c r="R180" s="137">
        <f t="shared" si="45"/>
        <v>0.6</v>
      </c>
      <c r="S180" s="137">
        <f t="shared" si="46"/>
        <v>0.6</v>
      </c>
      <c r="T180" s="137">
        <f t="shared" si="46"/>
        <v>0.6</v>
      </c>
      <c r="U180" s="137">
        <f t="shared" si="46"/>
        <v>0.6</v>
      </c>
      <c r="V180" s="137">
        <f t="shared" si="46"/>
        <v>0.6</v>
      </c>
      <c r="W180" s="137">
        <f t="shared" si="46"/>
        <v>0.6</v>
      </c>
      <c r="X180" s="137">
        <f t="shared" si="46"/>
        <v>0.6</v>
      </c>
      <c r="Y180" s="137">
        <f t="shared" si="46"/>
        <v>0.6</v>
      </c>
      <c r="Z180" s="137">
        <f t="shared" si="46"/>
        <v>0.6</v>
      </c>
      <c r="AA180" s="137">
        <f t="shared" si="46"/>
        <v>0.6</v>
      </c>
      <c r="AB180" s="137">
        <f t="shared" si="46"/>
        <v>0.6</v>
      </c>
      <c r="AC180" s="137">
        <f t="shared" si="46"/>
        <v>0.6</v>
      </c>
      <c r="AD180" s="137">
        <f t="shared" si="46"/>
        <v>0.6</v>
      </c>
      <c r="AE180" s="137">
        <f t="shared" si="46"/>
        <v>0.6</v>
      </c>
      <c r="AF180" s="137">
        <f t="shared" si="46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5"/>
        <v>0.35</v>
      </c>
      <c r="D182" s="137">
        <f t="shared" si="45"/>
        <v>0.35</v>
      </c>
      <c r="E182" s="137">
        <f t="shared" si="45"/>
        <v>0.35</v>
      </c>
      <c r="F182" s="137">
        <f t="shared" si="45"/>
        <v>0.35</v>
      </c>
      <c r="G182" s="137">
        <f t="shared" si="45"/>
        <v>0.35</v>
      </c>
      <c r="H182" s="137">
        <f t="shared" si="45"/>
        <v>0.35</v>
      </c>
      <c r="I182" s="137">
        <f t="shared" si="45"/>
        <v>0.35</v>
      </c>
      <c r="J182" s="137">
        <f t="shared" si="45"/>
        <v>0.35</v>
      </c>
      <c r="K182" s="137">
        <f t="shared" si="45"/>
        <v>0.35</v>
      </c>
      <c r="L182" s="137">
        <f t="shared" si="45"/>
        <v>0.35</v>
      </c>
      <c r="M182" s="137">
        <f t="shared" si="45"/>
        <v>0.35</v>
      </c>
      <c r="N182" s="137">
        <f t="shared" si="45"/>
        <v>0.35</v>
      </c>
      <c r="O182" s="137">
        <f t="shared" si="45"/>
        <v>0.35</v>
      </c>
      <c r="P182" s="137">
        <f t="shared" si="45"/>
        <v>0.35</v>
      </c>
      <c r="Q182" s="137">
        <f t="shared" si="45"/>
        <v>0.35</v>
      </c>
      <c r="R182" s="137">
        <f t="shared" si="45"/>
        <v>0.35</v>
      </c>
      <c r="S182" s="137">
        <f t="shared" si="46"/>
        <v>0.35</v>
      </c>
      <c r="T182" s="137">
        <f t="shared" si="46"/>
        <v>0.35</v>
      </c>
      <c r="U182" s="137">
        <f t="shared" si="46"/>
        <v>0.35</v>
      </c>
      <c r="V182" s="137">
        <f t="shared" si="46"/>
        <v>0.35</v>
      </c>
      <c r="W182" s="137">
        <f t="shared" si="46"/>
        <v>0.35</v>
      </c>
      <c r="X182" s="137">
        <f t="shared" si="46"/>
        <v>0.35</v>
      </c>
      <c r="Y182" s="137">
        <f t="shared" si="46"/>
        <v>0.35</v>
      </c>
      <c r="Z182" s="137">
        <f t="shared" si="46"/>
        <v>0.35</v>
      </c>
      <c r="AA182" s="137">
        <f t="shared" si="46"/>
        <v>0.35</v>
      </c>
      <c r="AB182" s="137">
        <f t="shared" si="46"/>
        <v>0.35</v>
      </c>
      <c r="AC182" s="137">
        <f t="shared" si="46"/>
        <v>0.35</v>
      </c>
      <c r="AD182" s="137">
        <f t="shared" si="46"/>
        <v>0.35</v>
      </c>
      <c r="AE182" s="137">
        <f t="shared" si="46"/>
        <v>0.35</v>
      </c>
      <c r="AF182" s="137">
        <f t="shared" si="46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5"/>
        <v>0.28999999999999998</v>
      </c>
      <c r="D183" s="137">
        <f t="shared" si="45"/>
        <v>0.28999999999999998</v>
      </c>
      <c r="E183" s="137">
        <f t="shared" si="45"/>
        <v>0.28999999999999998</v>
      </c>
      <c r="F183" s="137">
        <f t="shared" si="45"/>
        <v>0.28999999999999998</v>
      </c>
      <c r="G183" s="137">
        <f t="shared" si="45"/>
        <v>0.28999999999999998</v>
      </c>
      <c r="H183" s="137">
        <f t="shared" si="45"/>
        <v>0.28999999999999998</v>
      </c>
      <c r="I183" s="137">
        <f t="shared" si="45"/>
        <v>0.28999999999999998</v>
      </c>
      <c r="J183" s="137">
        <f t="shared" si="45"/>
        <v>0.28999999999999998</v>
      </c>
      <c r="K183" s="137">
        <f t="shared" si="45"/>
        <v>0.28999999999999998</v>
      </c>
      <c r="L183" s="137">
        <f t="shared" si="45"/>
        <v>0.28999999999999998</v>
      </c>
      <c r="M183" s="137">
        <f t="shared" si="45"/>
        <v>0.28999999999999998</v>
      </c>
      <c r="N183" s="137">
        <f t="shared" si="45"/>
        <v>0.28999999999999998</v>
      </c>
      <c r="O183" s="137">
        <f t="shared" si="45"/>
        <v>0.28999999999999998</v>
      </c>
      <c r="P183" s="137">
        <f t="shared" si="45"/>
        <v>0.28999999999999998</v>
      </c>
      <c r="Q183" s="137">
        <f t="shared" si="45"/>
        <v>0.28999999999999998</v>
      </c>
      <c r="R183" s="137">
        <f t="shared" si="45"/>
        <v>0.28999999999999998</v>
      </c>
      <c r="S183" s="137">
        <f t="shared" si="46"/>
        <v>0.28999999999999998</v>
      </c>
      <c r="T183" s="137">
        <f t="shared" si="46"/>
        <v>0.28999999999999998</v>
      </c>
      <c r="U183" s="137">
        <f t="shared" si="46"/>
        <v>0.28999999999999998</v>
      </c>
      <c r="V183" s="137">
        <f t="shared" si="46"/>
        <v>0.28999999999999998</v>
      </c>
      <c r="W183" s="137">
        <f t="shared" si="46"/>
        <v>0.28999999999999998</v>
      </c>
      <c r="X183" s="137">
        <f t="shared" si="46"/>
        <v>0.28999999999999998</v>
      </c>
      <c r="Y183" s="137">
        <f t="shared" si="46"/>
        <v>0.28999999999999998</v>
      </c>
      <c r="Z183" s="137">
        <f t="shared" si="46"/>
        <v>0.28999999999999998</v>
      </c>
      <c r="AA183" s="137">
        <f t="shared" si="46"/>
        <v>0.28999999999999998</v>
      </c>
      <c r="AB183" s="137">
        <f t="shared" si="46"/>
        <v>0.28999999999999998</v>
      </c>
      <c r="AC183" s="137">
        <f t="shared" si="46"/>
        <v>0.28999999999999998</v>
      </c>
      <c r="AD183" s="137">
        <f t="shared" si="46"/>
        <v>0.28999999999999998</v>
      </c>
      <c r="AE183" s="137">
        <f t="shared" si="46"/>
        <v>0.28999999999999998</v>
      </c>
      <c r="AF183" s="137">
        <f t="shared" si="46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5"/>
        <v>0.06</v>
      </c>
      <c r="D184" s="137">
        <f t="shared" si="45"/>
        <v>0.06</v>
      </c>
      <c r="E184" s="137">
        <f t="shared" si="45"/>
        <v>0.06</v>
      </c>
      <c r="F184" s="137">
        <f t="shared" si="45"/>
        <v>0.06</v>
      </c>
      <c r="G184" s="137">
        <f t="shared" si="45"/>
        <v>0.06</v>
      </c>
      <c r="H184" s="137">
        <f t="shared" si="45"/>
        <v>0.06</v>
      </c>
      <c r="I184" s="137">
        <f t="shared" si="45"/>
        <v>0.06</v>
      </c>
      <c r="J184" s="137">
        <f t="shared" si="45"/>
        <v>0.06</v>
      </c>
      <c r="K184" s="137">
        <f t="shared" si="45"/>
        <v>0.06</v>
      </c>
      <c r="L184" s="137">
        <f t="shared" si="45"/>
        <v>0.06</v>
      </c>
      <c r="M184" s="137">
        <f t="shared" si="45"/>
        <v>0.06</v>
      </c>
      <c r="N184" s="137">
        <f t="shared" si="45"/>
        <v>0.06</v>
      </c>
      <c r="O184" s="137">
        <f t="shared" si="45"/>
        <v>0.06</v>
      </c>
      <c r="P184" s="137">
        <f t="shared" si="45"/>
        <v>0.06</v>
      </c>
      <c r="Q184" s="137">
        <f t="shared" si="45"/>
        <v>0.06</v>
      </c>
      <c r="R184" s="137">
        <f t="shared" si="45"/>
        <v>0.06</v>
      </c>
      <c r="S184" s="137">
        <f t="shared" si="46"/>
        <v>0.06</v>
      </c>
      <c r="T184" s="137">
        <f t="shared" si="46"/>
        <v>0.06</v>
      </c>
      <c r="U184" s="137">
        <f t="shared" si="46"/>
        <v>0.06</v>
      </c>
      <c r="V184" s="137">
        <f t="shared" si="46"/>
        <v>0.06</v>
      </c>
      <c r="W184" s="137">
        <f t="shared" si="46"/>
        <v>0.06</v>
      </c>
      <c r="X184" s="137">
        <f t="shared" si="46"/>
        <v>0.06</v>
      </c>
      <c r="Y184" s="137">
        <f t="shared" si="46"/>
        <v>0.06</v>
      </c>
      <c r="Z184" s="137">
        <f t="shared" si="46"/>
        <v>0.06</v>
      </c>
      <c r="AA184" s="137">
        <f t="shared" si="46"/>
        <v>0.06</v>
      </c>
      <c r="AB184" s="137">
        <f t="shared" si="46"/>
        <v>0.06</v>
      </c>
      <c r="AC184" s="137">
        <f t="shared" si="46"/>
        <v>0.06</v>
      </c>
      <c r="AD184" s="137">
        <f t="shared" si="46"/>
        <v>0.06</v>
      </c>
      <c r="AE184" s="137">
        <f t="shared" si="46"/>
        <v>0.06</v>
      </c>
      <c r="AF184" s="137">
        <f t="shared" si="46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5"/>
        <v>0.11</v>
      </c>
      <c r="D185" s="137">
        <f t="shared" si="45"/>
        <v>0.11</v>
      </c>
      <c r="E185" s="137">
        <f t="shared" si="45"/>
        <v>0.11</v>
      </c>
      <c r="F185" s="137">
        <f t="shared" si="45"/>
        <v>0.11</v>
      </c>
      <c r="G185" s="137">
        <f t="shared" si="45"/>
        <v>0.11</v>
      </c>
      <c r="H185" s="137">
        <f t="shared" si="45"/>
        <v>0.11</v>
      </c>
      <c r="I185" s="137">
        <f t="shared" si="45"/>
        <v>0.11</v>
      </c>
      <c r="J185" s="137">
        <f t="shared" si="45"/>
        <v>0.11</v>
      </c>
      <c r="K185" s="137">
        <f t="shared" si="45"/>
        <v>0.11</v>
      </c>
      <c r="L185" s="137">
        <f t="shared" si="45"/>
        <v>0.11</v>
      </c>
      <c r="M185" s="137">
        <f t="shared" si="45"/>
        <v>0.11</v>
      </c>
      <c r="N185" s="137">
        <f t="shared" si="45"/>
        <v>0.11</v>
      </c>
      <c r="O185" s="137">
        <f t="shared" si="45"/>
        <v>0.11</v>
      </c>
      <c r="P185" s="137">
        <f t="shared" si="45"/>
        <v>0.11</v>
      </c>
      <c r="Q185" s="137">
        <f t="shared" si="45"/>
        <v>0.11</v>
      </c>
      <c r="R185" s="137">
        <f t="shared" si="45"/>
        <v>0.11</v>
      </c>
      <c r="S185" s="137">
        <f t="shared" si="46"/>
        <v>0.11</v>
      </c>
      <c r="T185" s="137">
        <f t="shared" si="46"/>
        <v>0.11</v>
      </c>
      <c r="U185" s="137">
        <f t="shared" si="46"/>
        <v>0.11</v>
      </c>
      <c r="V185" s="137">
        <f t="shared" si="46"/>
        <v>0.11</v>
      </c>
      <c r="W185" s="137">
        <f t="shared" si="46"/>
        <v>0.11</v>
      </c>
      <c r="X185" s="137">
        <f t="shared" si="46"/>
        <v>0.11</v>
      </c>
      <c r="Y185" s="137">
        <f t="shared" si="46"/>
        <v>0.11</v>
      </c>
      <c r="Z185" s="137">
        <f t="shared" si="46"/>
        <v>0.11</v>
      </c>
      <c r="AA185" s="137">
        <f t="shared" si="46"/>
        <v>0.11</v>
      </c>
      <c r="AB185" s="137">
        <f t="shared" si="46"/>
        <v>0.11</v>
      </c>
      <c r="AC185" s="137">
        <f t="shared" si="46"/>
        <v>0.11</v>
      </c>
      <c r="AD185" s="137">
        <f t="shared" si="46"/>
        <v>0.11</v>
      </c>
      <c r="AE185" s="137">
        <f t="shared" si="46"/>
        <v>0.11</v>
      </c>
      <c r="AF185" s="137">
        <f t="shared" si="46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5"/>
        <v>0.1</v>
      </c>
      <c r="D186" s="137">
        <f t="shared" si="45"/>
        <v>0.1</v>
      </c>
      <c r="E186" s="137">
        <f t="shared" si="45"/>
        <v>0.1</v>
      </c>
      <c r="F186" s="137">
        <f t="shared" si="45"/>
        <v>0.1</v>
      </c>
      <c r="G186" s="137">
        <f t="shared" si="45"/>
        <v>0.1</v>
      </c>
      <c r="H186" s="137">
        <f t="shared" si="45"/>
        <v>0.1</v>
      </c>
      <c r="I186" s="137">
        <f t="shared" si="45"/>
        <v>0.1</v>
      </c>
      <c r="J186" s="137">
        <f t="shared" si="45"/>
        <v>0.1</v>
      </c>
      <c r="K186" s="137">
        <f t="shared" si="45"/>
        <v>0.1</v>
      </c>
      <c r="L186" s="137">
        <f t="shared" si="45"/>
        <v>0.1</v>
      </c>
      <c r="M186" s="137">
        <f t="shared" si="45"/>
        <v>0.1</v>
      </c>
      <c r="N186" s="137">
        <f t="shared" si="45"/>
        <v>0.1</v>
      </c>
      <c r="O186" s="137">
        <f t="shared" si="45"/>
        <v>0.1</v>
      </c>
      <c r="P186" s="137">
        <f t="shared" si="45"/>
        <v>0.1</v>
      </c>
      <c r="Q186" s="137">
        <f t="shared" si="45"/>
        <v>0.1</v>
      </c>
      <c r="R186" s="137">
        <f t="shared" si="46"/>
        <v>0.1</v>
      </c>
      <c r="S186" s="137">
        <f t="shared" si="46"/>
        <v>0.1</v>
      </c>
      <c r="T186" s="137">
        <f t="shared" si="46"/>
        <v>0.1</v>
      </c>
      <c r="U186" s="137">
        <f t="shared" si="46"/>
        <v>0.1</v>
      </c>
      <c r="V186" s="137">
        <f t="shared" si="46"/>
        <v>0.1</v>
      </c>
      <c r="W186" s="137">
        <f t="shared" si="46"/>
        <v>0.1</v>
      </c>
      <c r="X186" s="137">
        <f t="shared" si="46"/>
        <v>0.1</v>
      </c>
      <c r="Y186" s="137">
        <f t="shared" si="46"/>
        <v>0.1</v>
      </c>
      <c r="Z186" s="137">
        <f t="shared" si="46"/>
        <v>0.1</v>
      </c>
      <c r="AA186" s="137">
        <f t="shared" si="46"/>
        <v>0.1</v>
      </c>
      <c r="AB186" s="137">
        <f t="shared" si="46"/>
        <v>0.1</v>
      </c>
      <c r="AC186" s="137">
        <f t="shared" si="46"/>
        <v>0.1</v>
      </c>
      <c r="AD186" s="137">
        <f t="shared" si="46"/>
        <v>0.1</v>
      </c>
      <c r="AE186" s="137">
        <f t="shared" si="46"/>
        <v>0.1</v>
      </c>
      <c r="AF186" s="137">
        <f t="shared" si="46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5"/>
        <v>0.09</v>
      </c>
      <c r="D187" s="137">
        <f t="shared" si="45"/>
        <v>0.09</v>
      </c>
      <c r="E187" s="137">
        <f t="shared" si="45"/>
        <v>0.09</v>
      </c>
      <c r="F187" s="137">
        <f t="shared" si="45"/>
        <v>0.09</v>
      </c>
      <c r="G187" s="137">
        <f t="shared" si="45"/>
        <v>0.09</v>
      </c>
      <c r="H187" s="137">
        <f t="shared" si="45"/>
        <v>0.09</v>
      </c>
      <c r="I187" s="137">
        <f t="shared" si="45"/>
        <v>0.09</v>
      </c>
      <c r="J187" s="137">
        <f t="shared" si="45"/>
        <v>0.09</v>
      </c>
      <c r="K187" s="137">
        <f t="shared" si="45"/>
        <v>0.09</v>
      </c>
      <c r="L187" s="137">
        <f t="shared" si="45"/>
        <v>0.09</v>
      </c>
      <c r="M187" s="137">
        <f t="shared" si="45"/>
        <v>0.09</v>
      </c>
      <c r="N187" s="137">
        <f t="shared" si="45"/>
        <v>0.09</v>
      </c>
      <c r="O187" s="137">
        <f t="shared" si="45"/>
        <v>0.09</v>
      </c>
      <c r="P187" s="137">
        <f t="shared" si="45"/>
        <v>0.09</v>
      </c>
      <c r="Q187" s="137">
        <f t="shared" si="45"/>
        <v>0.09</v>
      </c>
      <c r="R187" s="137">
        <f t="shared" si="46"/>
        <v>0.09</v>
      </c>
      <c r="S187" s="137">
        <f t="shared" si="46"/>
        <v>0.09</v>
      </c>
      <c r="T187" s="137">
        <f t="shared" si="46"/>
        <v>0.09</v>
      </c>
      <c r="U187" s="137">
        <f t="shared" si="46"/>
        <v>0.09</v>
      </c>
      <c r="V187" s="137">
        <f t="shared" si="46"/>
        <v>0.09</v>
      </c>
      <c r="W187" s="137">
        <f t="shared" si="46"/>
        <v>0.09</v>
      </c>
      <c r="X187" s="137">
        <f t="shared" si="46"/>
        <v>0.09</v>
      </c>
      <c r="Y187" s="137">
        <f t="shared" si="46"/>
        <v>0.09</v>
      </c>
      <c r="Z187" s="137">
        <f t="shared" si="46"/>
        <v>0.09</v>
      </c>
      <c r="AA187" s="137">
        <f t="shared" si="46"/>
        <v>0.09</v>
      </c>
      <c r="AB187" s="137">
        <f t="shared" si="46"/>
        <v>0.09</v>
      </c>
      <c r="AC187" s="137">
        <f t="shared" si="46"/>
        <v>0.09</v>
      </c>
      <c r="AD187" s="137">
        <f t="shared" si="46"/>
        <v>0.09</v>
      </c>
      <c r="AE187" s="137">
        <f t="shared" si="46"/>
        <v>0.09</v>
      </c>
      <c r="AF187" s="137">
        <f t="shared" si="46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5"/>
        <v>0.04</v>
      </c>
      <c r="D188" s="137">
        <f t="shared" si="45"/>
        <v>0.04</v>
      </c>
      <c r="E188" s="137">
        <f t="shared" si="45"/>
        <v>0.04</v>
      </c>
      <c r="F188" s="137">
        <f t="shared" si="45"/>
        <v>0.04</v>
      </c>
      <c r="G188" s="137">
        <f t="shared" si="45"/>
        <v>0.04</v>
      </c>
      <c r="H188" s="137">
        <f t="shared" si="45"/>
        <v>0.04</v>
      </c>
      <c r="I188" s="137">
        <f t="shared" si="45"/>
        <v>0.04</v>
      </c>
      <c r="J188" s="137">
        <f t="shared" si="45"/>
        <v>0.04</v>
      </c>
      <c r="K188" s="137">
        <f t="shared" si="45"/>
        <v>0.04</v>
      </c>
      <c r="L188" s="137">
        <f t="shared" si="45"/>
        <v>0.04</v>
      </c>
      <c r="M188" s="137">
        <f t="shared" si="45"/>
        <v>0.04</v>
      </c>
      <c r="N188" s="137">
        <f t="shared" si="45"/>
        <v>0.04</v>
      </c>
      <c r="O188" s="137">
        <f t="shared" si="45"/>
        <v>0.04</v>
      </c>
      <c r="P188" s="137">
        <f t="shared" si="45"/>
        <v>0.04</v>
      </c>
      <c r="Q188" s="137">
        <f t="shared" si="45"/>
        <v>0.04</v>
      </c>
      <c r="R188" s="137">
        <f t="shared" si="46"/>
        <v>0.04</v>
      </c>
      <c r="S188" s="137">
        <f t="shared" si="46"/>
        <v>0.04</v>
      </c>
      <c r="T188" s="137">
        <f t="shared" si="46"/>
        <v>0.04</v>
      </c>
      <c r="U188" s="137">
        <f t="shared" si="46"/>
        <v>0.04</v>
      </c>
      <c r="V188" s="137">
        <f t="shared" si="46"/>
        <v>0.04</v>
      </c>
      <c r="W188" s="137">
        <f t="shared" si="46"/>
        <v>0.04</v>
      </c>
      <c r="X188" s="137">
        <f t="shared" si="46"/>
        <v>0.04</v>
      </c>
      <c r="Y188" s="137">
        <f t="shared" si="46"/>
        <v>0.04</v>
      </c>
      <c r="Z188" s="137">
        <f t="shared" si="46"/>
        <v>0.04</v>
      </c>
      <c r="AA188" s="137">
        <f t="shared" si="46"/>
        <v>0.04</v>
      </c>
      <c r="AB188" s="137">
        <f t="shared" si="46"/>
        <v>0.04</v>
      </c>
      <c r="AC188" s="137">
        <f t="shared" si="46"/>
        <v>0.04</v>
      </c>
      <c r="AD188" s="137">
        <f t="shared" si="46"/>
        <v>0.04</v>
      </c>
      <c r="AE188" s="137">
        <f t="shared" si="46"/>
        <v>0.04</v>
      </c>
      <c r="AF188" s="137">
        <f t="shared" si="46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5"/>
        <v>2.3E-2</v>
      </c>
      <c r="E189" s="137">
        <f t="shared" si="45"/>
        <v>2.3E-2</v>
      </c>
      <c r="F189" s="137">
        <f t="shared" si="45"/>
        <v>2.3E-2</v>
      </c>
      <c r="G189" s="137">
        <f t="shared" si="45"/>
        <v>2.3E-2</v>
      </c>
      <c r="H189" s="137">
        <f t="shared" si="45"/>
        <v>2.3E-2</v>
      </c>
      <c r="I189" s="137">
        <f t="shared" si="45"/>
        <v>2.3E-2</v>
      </c>
      <c r="J189" s="137">
        <f t="shared" si="45"/>
        <v>2.3E-2</v>
      </c>
      <c r="K189" s="137">
        <f t="shared" si="45"/>
        <v>2.3E-2</v>
      </c>
      <c r="L189" s="137">
        <f t="shared" si="45"/>
        <v>2.3E-2</v>
      </c>
      <c r="M189" s="137">
        <f t="shared" si="45"/>
        <v>2.3E-2</v>
      </c>
      <c r="N189" s="137">
        <f t="shared" si="45"/>
        <v>2.3E-2</v>
      </c>
      <c r="O189" s="137">
        <f t="shared" si="45"/>
        <v>2.3E-2</v>
      </c>
      <c r="P189" s="137">
        <f t="shared" si="45"/>
        <v>2.3E-2</v>
      </c>
      <c r="Q189" s="137">
        <f t="shared" si="45"/>
        <v>2.3E-2</v>
      </c>
      <c r="R189" s="137">
        <f t="shared" si="46"/>
        <v>2.3E-2</v>
      </c>
      <c r="S189" s="137">
        <f t="shared" si="46"/>
        <v>2.3E-2</v>
      </c>
      <c r="T189" s="137">
        <f t="shared" si="46"/>
        <v>2.3E-2</v>
      </c>
      <c r="U189" s="137">
        <f t="shared" si="46"/>
        <v>2.3E-2</v>
      </c>
      <c r="V189" s="137">
        <f t="shared" si="46"/>
        <v>2.3E-2</v>
      </c>
      <c r="W189" s="137">
        <f t="shared" si="46"/>
        <v>2.3E-2</v>
      </c>
      <c r="X189" s="137">
        <f t="shared" si="46"/>
        <v>2.3E-2</v>
      </c>
      <c r="Y189" s="137">
        <f t="shared" si="46"/>
        <v>2.3E-2</v>
      </c>
      <c r="Z189" s="137">
        <f t="shared" si="46"/>
        <v>2.3E-2</v>
      </c>
      <c r="AA189" s="137">
        <f t="shared" si="46"/>
        <v>2.3E-2</v>
      </c>
      <c r="AB189" s="137">
        <f t="shared" si="46"/>
        <v>2.3E-2</v>
      </c>
      <c r="AC189" s="137">
        <f t="shared" si="46"/>
        <v>2.3E-2</v>
      </c>
      <c r="AD189" s="137">
        <f t="shared" si="46"/>
        <v>2.3E-2</v>
      </c>
      <c r="AE189" s="137">
        <f t="shared" si="46"/>
        <v>2.3E-2</v>
      </c>
      <c r="AF189" s="137">
        <f t="shared" si="46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7">SUM(B100:B189)</f>
        <v>194.70600000000002</v>
      </c>
      <c r="C190" s="141">
        <f t="shared" si="47"/>
        <v>194.70600000000002</v>
      </c>
      <c r="D190" s="141">
        <f t="shared" si="47"/>
        <v>194.70600000000002</v>
      </c>
      <c r="E190" s="141">
        <f t="shared" si="47"/>
        <v>194.70600000000002</v>
      </c>
      <c r="F190" s="141">
        <f t="shared" si="47"/>
        <v>194.70600000000002</v>
      </c>
      <c r="G190" s="141">
        <f t="shared" si="47"/>
        <v>194.70600000000002</v>
      </c>
      <c r="H190" s="141">
        <f t="shared" si="47"/>
        <v>194.70600000000002</v>
      </c>
      <c r="I190" s="141">
        <f t="shared" si="47"/>
        <v>192.10600000000005</v>
      </c>
      <c r="J190" s="141">
        <f t="shared" si="47"/>
        <v>192.10600000000005</v>
      </c>
      <c r="K190" s="141">
        <f t="shared" si="47"/>
        <v>192.10600000000005</v>
      </c>
      <c r="L190" s="141">
        <f t="shared" si="47"/>
        <v>192.10600000000005</v>
      </c>
      <c r="M190" s="141">
        <f t="shared" si="47"/>
        <v>192.10600000000005</v>
      </c>
      <c r="N190" s="141">
        <f t="shared" si="47"/>
        <v>192.10600000000005</v>
      </c>
      <c r="O190" s="141">
        <f t="shared" si="47"/>
        <v>192.10600000000005</v>
      </c>
      <c r="P190" s="141">
        <f t="shared" si="47"/>
        <v>192.10600000000005</v>
      </c>
      <c r="Q190" s="141">
        <f t="shared" si="47"/>
        <v>192.10600000000005</v>
      </c>
      <c r="R190" s="141">
        <f t="shared" si="47"/>
        <v>192.10600000000005</v>
      </c>
      <c r="S190" s="141">
        <f t="shared" si="47"/>
        <v>192.10600000000005</v>
      </c>
      <c r="T190" s="141">
        <f t="shared" si="47"/>
        <v>192.10600000000005</v>
      </c>
      <c r="U190" s="141">
        <f t="shared" si="47"/>
        <v>192.10600000000005</v>
      </c>
      <c r="V190" s="141">
        <f t="shared" si="47"/>
        <v>192.10600000000005</v>
      </c>
      <c r="W190" s="141">
        <f t="shared" si="47"/>
        <v>192.10600000000005</v>
      </c>
      <c r="X190" s="141">
        <f t="shared" si="47"/>
        <v>192.10600000000005</v>
      </c>
      <c r="Y190" s="141">
        <f t="shared" si="47"/>
        <v>192.10600000000005</v>
      </c>
      <c r="Z190" s="141">
        <f t="shared" si="47"/>
        <v>192.10600000000005</v>
      </c>
      <c r="AA190" s="141">
        <f t="shared" si="47"/>
        <v>192.10600000000005</v>
      </c>
      <c r="AB190" s="141">
        <f t="shared" si="47"/>
        <v>192.10600000000005</v>
      </c>
      <c r="AC190" s="141">
        <f t="shared" si="47"/>
        <v>192.10600000000005</v>
      </c>
      <c r="AD190" s="141">
        <f t="shared" si="47"/>
        <v>192.10600000000005</v>
      </c>
      <c r="AE190" s="141">
        <f t="shared" si="47"/>
        <v>192.10600000000005</v>
      </c>
      <c r="AF190" s="141">
        <f t="shared" si="47"/>
        <v>192.10600000000005</v>
      </c>
      <c r="AG190" s="142">
        <f t="shared" si="47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8">B192</f>
        <v>0.3</v>
      </c>
      <c r="D192" s="143">
        <f t="shared" si="48"/>
        <v>0.3</v>
      </c>
      <c r="E192" s="143">
        <f t="shared" si="48"/>
        <v>0.3</v>
      </c>
      <c r="F192" s="143">
        <f t="shared" si="48"/>
        <v>0.3</v>
      </c>
      <c r="G192" s="143">
        <f t="shared" si="48"/>
        <v>0.3</v>
      </c>
      <c r="H192" s="143">
        <f t="shared" si="48"/>
        <v>0.3</v>
      </c>
      <c r="I192" s="143">
        <f t="shared" si="48"/>
        <v>0.3</v>
      </c>
      <c r="J192" s="143">
        <f t="shared" si="48"/>
        <v>0.3</v>
      </c>
      <c r="K192" s="143">
        <f t="shared" si="48"/>
        <v>0.3</v>
      </c>
      <c r="L192" s="143">
        <f t="shared" si="48"/>
        <v>0.3</v>
      </c>
      <c r="M192" s="143">
        <f t="shared" si="48"/>
        <v>0.3</v>
      </c>
      <c r="N192" s="143">
        <f t="shared" si="48"/>
        <v>0.3</v>
      </c>
      <c r="O192" s="143">
        <f t="shared" si="48"/>
        <v>0.3</v>
      </c>
      <c r="P192" s="143">
        <f t="shared" si="48"/>
        <v>0.3</v>
      </c>
      <c r="Q192" s="143">
        <f t="shared" si="48"/>
        <v>0.3</v>
      </c>
      <c r="R192" s="143">
        <f t="shared" si="48"/>
        <v>0.3</v>
      </c>
      <c r="S192" s="143">
        <f t="shared" ref="S192:AF197" si="49">R192</f>
        <v>0.3</v>
      </c>
      <c r="T192" s="143">
        <f t="shared" si="49"/>
        <v>0.3</v>
      </c>
      <c r="U192" s="143">
        <f t="shared" si="49"/>
        <v>0.3</v>
      </c>
      <c r="V192" s="143">
        <f t="shared" si="49"/>
        <v>0.3</v>
      </c>
      <c r="W192" s="143">
        <f t="shared" si="49"/>
        <v>0.3</v>
      </c>
      <c r="X192" s="143">
        <f t="shared" si="49"/>
        <v>0.3</v>
      </c>
      <c r="Y192" s="143">
        <f t="shared" si="49"/>
        <v>0.3</v>
      </c>
      <c r="Z192" s="143">
        <f t="shared" si="49"/>
        <v>0.3</v>
      </c>
      <c r="AA192" s="143">
        <f t="shared" si="49"/>
        <v>0.3</v>
      </c>
      <c r="AB192" s="143">
        <f t="shared" si="49"/>
        <v>0.3</v>
      </c>
      <c r="AC192" s="143">
        <f t="shared" si="49"/>
        <v>0.3</v>
      </c>
      <c r="AD192" s="143">
        <f t="shared" si="49"/>
        <v>0.3</v>
      </c>
      <c r="AE192" s="143">
        <f t="shared" si="49"/>
        <v>0.3</v>
      </c>
      <c r="AF192" s="143">
        <f t="shared" si="49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8"/>
        <v>0.4</v>
      </c>
      <c r="D193" s="137">
        <f t="shared" si="48"/>
        <v>0.4</v>
      </c>
      <c r="E193" s="137">
        <f t="shared" si="48"/>
        <v>0.4</v>
      </c>
      <c r="F193" s="137">
        <f t="shared" si="48"/>
        <v>0.4</v>
      </c>
      <c r="G193" s="137">
        <f t="shared" si="48"/>
        <v>0.4</v>
      </c>
      <c r="H193" s="137">
        <f t="shared" si="48"/>
        <v>0.4</v>
      </c>
      <c r="I193" s="137">
        <f t="shared" si="48"/>
        <v>0.4</v>
      </c>
      <c r="J193" s="137">
        <f t="shared" si="48"/>
        <v>0.4</v>
      </c>
      <c r="K193" s="137">
        <f t="shared" si="48"/>
        <v>0.4</v>
      </c>
      <c r="L193" s="137">
        <f t="shared" si="48"/>
        <v>0.4</v>
      </c>
      <c r="M193" s="137">
        <f t="shared" si="48"/>
        <v>0.4</v>
      </c>
      <c r="N193" s="137">
        <f t="shared" si="48"/>
        <v>0.4</v>
      </c>
      <c r="O193" s="137">
        <f t="shared" si="48"/>
        <v>0.4</v>
      </c>
      <c r="P193" s="137">
        <f t="shared" si="48"/>
        <v>0.4</v>
      </c>
      <c r="Q193" s="137">
        <f t="shared" si="48"/>
        <v>0.4</v>
      </c>
      <c r="R193" s="137">
        <f t="shared" si="48"/>
        <v>0.4</v>
      </c>
      <c r="S193" s="137">
        <f t="shared" si="49"/>
        <v>0.4</v>
      </c>
      <c r="T193" s="137">
        <f t="shared" si="49"/>
        <v>0.4</v>
      </c>
      <c r="U193" s="137">
        <f t="shared" si="49"/>
        <v>0.4</v>
      </c>
      <c r="V193" s="137">
        <f>U193</f>
        <v>0.4</v>
      </c>
      <c r="W193" s="137">
        <f>V193</f>
        <v>0.4</v>
      </c>
      <c r="X193" s="137">
        <f t="shared" si="49"/>
        <v>0.4</v>
      </c>
      <c r="Y193" s="137">
        <f t="shared" si="49"/>
        <v>0.4</v>
      </c>
      <c r="Z193" s="137">
        <f t="shared" si="49"/>
        <v>0.4</v>
      </c>
      <c r="AA193" s="137">
        <f t="shared" si="49"/>
        <v>0.4</v>
      </c>
      <c r="AB193" s="137">
        <f t="shared" si="49"/>
        <v>0.4</v>
      </c>
      <c r="AC193" s="137">
        <f t="shared" si="49"/>
        <v>0.4</v>
      </c>
      <c r="AD193" s="137">
        <f t="shared" si="49"/>
        <v>0.4</v>
      </c>
      <c r="AE193" s="137">
        <f t="shared" si="49"/>
        <v>0.4</v>
      </c>
      <c r="AF193" s="137">
        <f t="shared" si="49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8"/>
        <v>1.5</v>
      </c>
      <c r="D194" s="137">
        <f t="shared" si="48"/>
        <v>1.5</v>
      </c>
      <c r="E194" s="137">
        <f t="shared" si="48"/>
        <v>1.5</v>
      </c>
      <c r="F194" s="137">
        <f t="shared" si="48"/>
        <v>1.5</v>
      </c>
      <c r="G194" s="137">
        <f t="shared" si="48"/>
        <v>1.5</v>
      </c>
      <c r="H194" s="137">
        <f t="shared" si="48"/>
        <v>1.5</v>
      </c>
      <c r="I194" s="137">
        <f t="shared" si="48"/>
        <v>1.5</v>
      </c>
      <c r="J194" s="137">
        <f t="shared" si="48"/>
        <v>1.5</v>
      </c>
      <c r="K194" s="137">
        <f t="shared" si="48"/>
        <v>1.5</v>
      </c>
      <c r="L194" s="137">
        <f t="shared" si="48"/>
        <v>1.5</v>
      </c>
      <c r="M194" s="137">
        <f t="shared" si="48"/>
        <v>1.5</v>
      </c>
      <c r="N194" s="137">
        <f t="shared" si="48"/>
        <v>1.5</v>
      </c>
      <c r="O194" s="137">
        <f t="shared" si="48"/>
        <v>1.5</v>
      </c>
      <c r="P194" s="137">
        <f t="shared" si="48"/>
        <v>1.5</v>
      </c>
      <c r="Q194" s="137">
        <f t="shared" si="48"/>
        <v>1.5</v>
      </c>
      <c r="R194" s="137">
        <f t="shared" si="48"/>
        <v>1.5</v>
      </c>
      <c r="S194" s="137">
        <f t="shared" si="49"/>
        <v>1.5</v>
      </c>
      <c r="T194" s="137">
        <f t="shared" si="49"/>
        <v>1.5</v>
      </c>
      <c r="U194" s="137">
        <f t="shared" si="49"/>
        <v>1.5</v>
      </c>
      <c r="V194" s="137">
        <f t="shared" si="49"/>
        <v>1.5</v>
      </c>
      <c r="W194" s="137">
        <f t="shared" si="49"/>
        <v>1.5</v>
      </c>
      <c r="X194" s="137">
        <f t="shared" si="49"/>
        <v>1.5</v>
      </c>
      <c r="Y194" s="137">
        <f t="shared" si="49"/>
        <v>1.5</v>
      </c>
      <c r="Z194" s="137">
        <f t="shared" si="49"/>
        <v>1.5</v>
      </c>
      <c r="AA194" s="137">
        <f t="shared" si="49"/>
        <v>1.5</v>
      </c>
      <c r="AB194" s="137">
        <f t="shared" si="49"/>
        <v>1.5</v>
      </c>
      <c r="AC194" s="137">
        <f t="shared" si="49"/>
        <v>1.5</v>
      </c>
      <c r="AD194" s="137">
        <f t="shared" si="49"/>
        <v>1.5</v>
      </c>
      <c r="AE194" s="137">
        <f t="shared" si="49"/>
        <v>1.5</v>
      </c>
      <c r="AF194" s="137">
        <f t="shared" si="49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8"/>
        <v>0.3</v>
      </c>
      <c r="D195" s="137">
        <f t="shared" si="48"/>
        <v>0.3</v>
      </c>
      <c r="E195" s="137">
        <f t="shared" si="48"/>
        <v>0.3</v>
      </c>
      <c r="F195" s="137">
        <f t="shared" si="48"/>
        <v>0.3</v>
      </c>
      <c r="G195" s="137">
        <f t="shared" si="48"/>
        <v>0.3</v>
      </c>
      <c r="H195" s="137">
        <f t="shared" si="48"/>
        <v>0.3</v>
      </c>
      <c r="I195" s="137">
        <f t="shared" si="48"/>
        <v>0.3</v>
      </c>
      <c r="J195" s="137">
        <f t="shared" si="48"/>
        <v>0.3</v>
      </c>
      <c r="K195" s="137">
        <f t="shared" si="48"/>
        <v>0.3</v>
      </c>
      <c r="L195" s="137">
        <f t="shared" si="48"/>
        <v>0.3</v>
      </c>
      <c r="M195" s="137">
        <f t="shared" si="48"/>
        <v>0.3</v>
      </c>
      <c r="N195" s="137">
        <f t="shared" si="48"/>
        <v>0.3</v>
      </c>
      <c r="O195" s="137">
        <f t="shared" si="48"/>
        <v>0.3</v>
      </c>
      <c r="P195" s="137">
        <f t="shared" si="48"/>
        <v>0.3</v>
      </c>
      <c r="Q195" s="137">
        <f t="shared" si="48"/>
        <v>0.3</v>
      </c>
      <c r="R195" s="137">
        <f t="shared" si="48"/>
        <v>0.3</v>
      </c>
      <c r="S195" s="137">
        <f t="shared" si="49"/>
        <v>0.3</v>
      </c>
      <c r="T195" s="137">
        <f t="shared" si="49"/>
        <v>0.3</v>
      </c>
      <c r="U195" s="137">
        <f t="shared" si="49"/>
        <v>0.3</v>
      </c>
      <c r="V195" s="137">
        <f t="shared" si="49"/>
        <v>0.3</v>
      </c>
      <c r="W195" s="137">
        <f t="shared" si="49"/>
        <v>0.3</v>
      </c>
      <c r="X195" s="137">
        <f t="shared" si="49"/>
        <v>0.3</v>
      </c>
      <c r="Y195" s="137">
        <f t="shared" si="49"/>
        <v>0.3</v>
      </c>
      <c r="Z195" s="137">
        <f t="shared" si="49"/>
        <v>0.3</v>
      </c>
      <c r="AA195" s="137">
        <f t="shared" si="49"/>
        <v>0.3</v>
      </c>
      <c r="AB195" s="137">
        <f t="shared" si="49"/>
        <v>0.3</v>
      </c>
      <c r="AC195" s="137">
        <f t="shared" si="49"/>
        <v>0.3</v>
      </c>
      <c r="AD195" s="137">
        <f t="shared" si="49"/>
        <v>0.3</v>
      </c>
      <c r="AE195" s="137">
        <f t="shared" si="49"/>
        <v>0.3</v>
      </c>
      <c r="AF195" s="137">
        <f t="shared" si="49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8"/>
        <v>0.4</v>
      </c>
      <c r="D196" s="137">
        <f t="shared" si="48"/>
        <v>0.4</v>
      </c>
      <c r="E196" s="137">
        <f t="shared" si="48"/>
        <v>0.4</v>
      </c>
      <c r="F196" s="137">
        <f t="shared" si="48"/>
        <v>0.4</v>
      </c>
      <c r="G196" s="137">
        <f t="shared" si="48"/>
        <v>0.4</v>
      </c>
      <c r="H196" s="137">
        <f t="shared" si="48"/>
        <v>0.4</v>
      </c>
      <c r="I196" s="137">
        <f t="shared" si="48"/>
        <v>0.4</v>
      </c>
      <c r="J196" s="137">
        <f t="shared" si="48"/>
        <v>0.4</v>
      </c>
      <c r="K196" s="137">
        <f t="shared" si="48"/>
        <v>0.4</v>
      </c>
      <c r="L196" s="137">
        <f t="shared" si="48"/>
        <v>0.4</v>
      </c>
      <c r="M196" s="137">
        <f t="shared" si="48"/>
        <v>0.4</v>
      </c>
      <c r="N196" s="137">
        <f t="shared" si="48"/>
        <v>0.4</v>
      </c>
      <c r="O196" s="137">
        <f t="shared" si="48"/>
        <v>0.4</v>
      </c>
      <c r="P196" s="137">
        <f t="shared" si="48"/>
        <v>0.4</v>
      </c>
      <c r="Q196" s="137">
        <f t="shared" si="48"/>
        <v>0.4</v>
      </c>
      <c r="R196" s="137">
        <f t="shared" si="48"/>
        <v>0.4</v>
      </c>
      <c r="S196" s="137">
        <f t="shared" si="49"/>
        <v>0.4</v>
      </c>
      <c r="T196" s="137">
        <f t="shared" si="49"/>
        <v>0.4</v>
      </c>
      <c r="U196" s="137">
        <f t="shared" si="49"/>
        <v>0.4</v>
      </c>
      <c r="V196" s="137">
        <f t="shared" si="49"/>
        <v>0.4</v>
      </c>
      <c r="W196" s="137">
        <f t="shared" si="49"/>
        <v>0.4</v>
      </c>
      <c r="X196" s="137">
        <f t="shared" si="49"/>
        <v>0.4</v>
      </c>
      <c r="Y196" s="137">
        <f t="shared" si="49"/>
        <v>0.4</v>
      </c>
      <c r="Z196" s="137">
        <f t="shared" si="49"/>
        <v>0.4</v>
      </c>
      <c r="AA196" s="137">
        <f t="shared" si="49"/>
        <v>0.4</v>
      </c>
      <c r="AB196" s="137">
        <f t="shared" si="49"/>
        <v>0.4</v>
      </c>
      <c r="AC196" s="137">
        <f t="shared" si="49"/>
        <v>0.4</v>
      </c>
      <c r="AD196" s="137">
        <f t="shared" si="49"/>
        <v>0.4</v>
      </c>
      <c r="AE196" s="137">
        <f t="shared" si="49"/>
        <v>0.4</v>
      </c>
      <c r="AF196" s="137">
        <f t="shared" si="49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8"/>
        <v>0.64</v>
      </c>
      <c r="D197" s="146">
        <f t="shared" si="48"/>
        <v>0.64</v>
      </c>
      <c r="E197" s="146">
        <f t="shared" si="48"/>
        <v>0.64</v>
      </c>
      <c r="F197" s="146">
        <f t="shared" si="48"/>
        <v>0.64</v>
      </c>
      <c r="G197" s="146">
        <f t="shared" si="48"/>
        <v>0.64</v>
      </c>
      <c r="H197" s="146">
        <f t="shared" si="48"/>
        <v>0.64</v>
      </c>
      <c r="I197" s="146">
        <f t="shared" si="48"/>
        <v>0.64</v>
      </c>
      <c r="J197" s="146">
        <f t="shared" si="48"/>
        <v>0.64</v>
      </c>
      <c r="K197" s="146">
        <f t="shared" si="48"/>
        <v>0.64</v>
      </c>
      <c r="L197" s="146">
        <f t="shared" si="48"/>
        <v>0.64</v>
      </c>
      <c r="M197" s="146">
        <f t="shared" si="48"/>
        <v>0.64</v>
      </c>
      <c r="N197" s="146">
        <f t="shared" si="48"/>
        <v>0.64</v>
      </c>
      <c r="O197" s="146">
        <f t="shared" si="48"/>
        <v>0.64</v>
      </c>
      <c r="P197" s="146">
        <f t="shared" si="48"/>
        <v>0.64</v>
      </c>
      <c r="Q197" s="146">
        <f t="shared" si="48"/>
        <v>0.64</v>
      </c>
      <c r="R197" s="146">
        <f t="shared" si="48"/>
        <v>0.64</v>
      </c>
      <c r="S197" s="146">
        <f t="shared" si="49"/>
        <v>0.64</v>
      </c>
      <c r="T197" s="146">
        <f t="shared" si="49"/>
        <v>0.64</v>
      </c>
      <c r="U197" s="146">
        <f t="shared" si="49"/>
        <v>0.64</v>
      </c>
      <c r="V197" s="146">
        <f t="shared" si="49"/>
        <v>0.64</v>
      </c>
      <c r="W197" s="146">
        <f t="shared" si="49"/>
        <v>0.64</v>
      </c>
      <c r="X197" s="146">
        <f t="shared" si="49"/>
        <v>0.64</v>
      </c>
      <c r="Y197" s="146">
        <f t="shared" si="49"/>
        <v>0.64</v>
      </c>
      <c r="Z197" s="146">
        <f t="shared" si="49"/>
        <v>0.64</v>
      </c>
      <c r="AA197" s="146">
        <f t="shared" si="49"/>
        <v>0.64</v>
      </c>
      <c r="AB197" s="146">
        <f t="shared" si="49"/>
        <v>0.64</v>
      </c>
      <c r="AC197" s="146">
        <f t="shared" si="49"/>
        <v>0.64</v>
      </c>
      <c r="AD197" s="146">
        <f t="shared" si="49"/>
        <v>0.64</v>
      </c>
      <c r="AE197" s="146">
        <f t="shared" si="49"/>
        <v>0.64</v>
      </c>
      <c r="AF197" s="146">
        <f t="shared" si="49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50">SUM(C192:C197)</f>
        <v>3.54</v>
      </c>
      <c r="D198" s="149">
        <f t="shared" si="50"/>
        <v>3.54</v>
      </c>
      <c r="E198" s="149">
        <f t="shared" si="50"/>
        <v>3.54</v>
      </c>
      <c r="F198" s="149">
        <f t="shared" si="50"/>
        <v>3.54</v>
      </c>
      <c r="G198" s="149">
        <f t="shared" si="50"/>
        <v>3.54</v>
      </c>
      <c r="H198" s="149">
        <f t="shared" si="50"/>
        <v>3.54</v>
      </c>
      <c r="I198" s="149">
        <f t="shared" si="50"/>
        <v>3.54</v>
      </c>
      <c r="J198" s="149">
        <f t="shared" si="50"/>
        <v>3.54</v>
      </c>
      <c r="K198" s="149">
        <f t="shared" si="50"/>
        <v>3.54</v>
      </c>
      <c r="L198" s="149">
        <f>SUM(L192:L197)</f>
        <v>3.54</v>
      </c>
      <c r="M198" s="149">
        <f t="shared" ref="M198:R198" si="51">SUM(M192:M197)</f>
        <v>3.54</v>
      </c>
      <c r="N198" s="149">
        <f t="shared" si="51"/>
        <v>3.54</v>
      </c>
      <c r="O198" s="149">
        <f t="shared" si="51"/>
        <v>3.54</v>
      </c>
      <c r="P198" s="149">
        <f t="shared" si="51"/>
        <v>3.54</v>
      </c>
      <c r="Q198" s="149">
        <f t="shared" si="51"/>
        <v>3.54</v>
      </c>
      <c r="R198" s="149">
        <f t="shared" si="51"/>
        <v>3.54</v>
      </c>
      <c r="S198" s="149">
        <f>SUM(S192:S197)</f>
        <v>3.54</v>
      </c>
      <c r="T198" s="149">
        <f t="shared" ref="T198:AG198" si="52">SUM(T192:T197)</f>
        <v>3.54</v>
      </c>
      <c r="U198" s="149">
        <f t="shared" si="52"/>
        <v>3.54</v>
      </c>
      <c r="V198" s="149">
        <f t="shared" si="52"/>
        <v>3.54</v>
      </c>
      <c r="W198" s="149">
        <f t="shared" si="52"/>
        <v>3.54</v>
      </c>
      <c r="X198" s="149">
        <f t="shared" si="52"/>
        <v>3.54</v>
      </c>
      <c r="Y198" s="149">
        <f t="shared" si="52"/>
        <v>3.54</v>
      </c>
      <c r="Z198" s="149">
        <f t="shared" si="52"/>
        <v>3.54</v>
      </c>
      <c r="AA198" s="149">
        <f t="shared" si="52"/>
        <v>3.54</v>
      </c>
      <c r="AB198" s="149">
        <f t="shared" si="52"/>
        <v>3.54</v>
      </c>
      <c r="AC198" s="149">
        <f t="shared" si="52"/>
        <v>3.54</v>
      </c>
      <c r="AD198" s="149">
        <f t="shared" si="52"/>
        <v>3.54</v>
      </c>
      <c r="AE198" s="149">
        <f t="shared" si="52"/>
        <v>3.54</v>
      </c>
      <c r="AF198" s="149">
        <f t="shared" si="52"/>
        <v>3.54</v>
      </c>
      <c r="AG198" s="150">
        <f t="shared" si="52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1006.1400000000001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24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2078/07/24)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2078/07/24)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3">B74</f>
        <v>732.44</v>
      </c>
      <c r="U212" s="173">
        <f t="shared" si="53"/>
        <v>730.04</v>
      </c>
      <c r="V212" s="173">
        <f t="shared" si="53"/>
        <v>748.74</v>
      </c>
      <c r="W212" s="173">
        <f t="shared" si="53"/>
        <v>743.74</v>
      </c>
      <c r="X212" s="173">
        <f t="shared" si="53"/>
        <v>762.94</v>
      </c>
      <c r="Y212" s="173">
        <f t="shared" si="53"/>
        <v>821.54</v>
      </c>
      <c r="Z212" s="173">
        <f t="shared" si="53"/>
        <v>867.54</v>
      </c>
      <c r="AA212" s="173">
        <f t="shared" si="53"/>
        <v>924.14</v>
      </c>
      <c r="AB212" s="173">
        <f t="shared" si="53"/>
        <v>964.1400000000001</v>
      </c>
      <c r="AC212" s="173">
        <f t="shared" si="53"/>
        <v>981.04</v>
      </c>
      <c r="AD212" s="173">
        <f t="shared" si="53"/>
        <v>1006.1400000000001</v>
      </c>
      <c r="AE212" s="173">
        <f t="shared" si="53"/>
        <v>973.44</v>
      </c>
      <c r="AF212" s="173">
        <f t="shared" si="53"/>
        <v>936.94</v>
      </c>
      <c r="AG212" s="173">
        <f t="shared" si="53"/>
        <v>905.33999999999992</v>
      </c>
      <c r="AH212" s="173">
        <f t="shared" si="53"/>
        <v>858.83999999999992</v>
      </c>
      <c r="AI212" s="173">
        <f t="shared" si="53"/>
        <v>859.13999999999987</v>
      </c>
      <c r="AJ212" s="173">
        <f t="shared" si="53"/>
        <v>837.7399999999999</v>
      </c>
      <c r="AK212" s="173">
        <f t="shared" si="53"/>
        <v>856.63999999999987</v>
      </c>
      <c r="AL212" s="173">
        <f t="shared" si="53"/>
        <v>863.93999999999983</v>
      </c>
      <c r="AM212" s="173">
        <f t="shared" si="53"/>
        <v>919.2399999999999</v>
      </c>
      <c r="AN212" s="173">
        <f t="shared" si="53"/>
        <v>1035.1400000000001</v>
      </c>
      <c r="AO212" s="173">
        <f t="shared" si="53"/>
        <v>1196.04</v>
      </c>
      <c r="AP212" s="173">
        <f t="shared" si="53"/>
        <v>1170.44</v>
      </c>
      <c r="AQ212" s="173">
        <f t="shared" si="53"/>
        <v>1126.54</v>
      </c>
      <c r="AR212" s="173">
        <f t="shared" si="53"/>
        <v>1087.24</v>
      </c>
      <c r="AS212" s="173">
        <f t="shared" si="53"/>
        <v>1004.74</v>
      </c>
      <c r="AT212" s="173">
        <f t="shared" si="53"/>
        <v>937.6400000000001</v>
      </c>
      <c r="AU212" s="173">
        <f t="shared" si="53"/>
        <v>887.04</v>
      </c>
      <c r="AV212" s="173">
        <f t="shared" si="53"/>
        <v>747.7399999999999</v>
      </c>
      <c r="AW212" s="173">
        <f t="shared" si="53"/>
        <v>692.14</v>
      </c>
      <c r="AX212" s="173">
        <f t="shared" si="53"/>
        <v>675.33999999999992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4">B197</f>
        <v>0.64</v>
      </c>
      <c r="C233" s="176">
        <f t="shared" si="54"/>
        <v>0.64</v>
      </c>
      <c r="D233" s="176">
        <f t="shared" si="54"/>
        <v>0.64</v>
      </c>
      <c r="E233" s="176">
        <f t="shared" si="54"/>
        <v>0.64</v>
      </c>
      <c r="F233" s="176">
        <f t="shared" si="54"/>
        <v>0.64</v>
      </c>
      <c r="G233" s="176">
        <f t="shared" si="54"/>
        <v>0.64</v>
      </c>
      <c r="H233" s="176">
        <f t="shared" si="54"/>
        <v>0.64</v>
      </c>
      <c r="I233" s="176">
        <f t="shared" si="54"/>
        <v>0.64</v>
      </c>
      <c r="J233" s="176">
        <f t="shared" si="54"/>
        <v>0.64</v>
      </c>
      <c r="K233" s="176">
        <f t="shared" si="54"/>
        <v>0.64</v>
      </c>
      <c r="L233" s="176">
        <f t="shared" si="54"/>
        <v>0.64</v>
      </c>
      <c r="M233" s="176">
        <f t="shared" si="54"/>
        <v>0.64</v>
      </c>
      <c r="N233" s="176">
        <f t="shared" si="54"/>
        <v>0.64</v>
      </c>
      <c r="O233" s="176">
        <f t="shared" si="54"/>
        <v>0.64</v>
      </c>
      <c r="P233" s="176">
        <f t="shared" si="54"/>
        <v>0.64</v>
      </c>
      <c r="Q233" s="176">
        <f t="shared" si="54"/>
        <v>0.64</v>
      </c>
      <c r="R233" s="176">
        <f t="shared" si="54"/>
        <v>0.64</v>
      </c>
      <c r="S233" s="176">
        <f t="shared" si="54"/>
        <v>0.64</v>
      </c>
      <c r="T233" s="176">
        <f t="shared" si="54"/>
        <v>0.64</v>
      </c>
      <c r="U233" s="176">
        <f t="shared" si="54"/>
        <v>0.64</v>
      </c>
      <c r="V233" s="176">
        <f t="shared" si="54"/>
        <v>0.64</v>
      </c>
      <c r="W233" s="176">
        <f t="shared" si="54"/>
        <v>0.64</v>
      </c>
      <c r="X233" s="176">
        <f t="shared" si="54"/>
        <v>0.64</v>
      </c>
      <c r="Y233" s="176">
        <f t="shared" si="54"/>
        <v>0.64</v>
      </c>
      <c r="Z233" s="176">
        <f t="shared" si="54"/>
        <v>0.64</v>
      </c>
      <c r="AA233" s="176">
        <f t="shared" si="54"/>
        <v>0.64</v>
      </c>
      <c r="AB233" s="176">
        <f t="shared" si="54"/>
        <v>0.64</v>
      </c>
      <c r="AC233" s="176">
        <f t="shared" si="54"/>
        <v>0.64</v>
      </c>
      <c r="AD233" s="176">
        <f t="shared" si="54"/>
        <v>0.64</v>
      </c>
      <c r="AE233" s="176">
        <f t="shared" si="54"/>
        <v>0.64</v>
      </c>
      <c r="AF233" s="176">
        <f t="shared" si="54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5">IF(C201&lt;100,"",C201-520)</f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6">IF(B202&lt;100,"",B202-620)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7">IF(B203&lt;100,"",B203-330)</f>
        <v/>
      </c>
      <c r="C236" s="120" t="str">
        <f t="shared" si="57"/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8">IF(C204&lt;100,"",C204-1500)</f>
        <v/>
      </c>
      <c r="D237" s="120" t="str">
        <f t="shared" si="58"/>
        <v/>
      </c>
      <c r="E237" s="120" t="str">
        <f t="shared" si="58"/>
        <v/>
      </c>
      <c r="F237" s="120" t="str">
        <f t="shared" si="58"/>
        <v/>
      </c>
      <c r="G237" s="120" t="str">
        <f t="shared" si="58"/>
        <v/>
      </c>
      <c r="H237" s="120" t="str">
        <f t="shared" si="58"/>
        <v/>
      </c>
      <c r="I237" s="120" t="str">
        <f t="shared" si="58"/>
        <v/>
      </c>
      <c r="J237" s="120" t="str">
        <f t="shared" si="58"/>
        <v/>
      </c>
      <c r="K237" s="120" t="str">
        <f t="shared" si="58"/>
        <v/>
      </c>
      <c r="L237" s="120" t="str">
        <f t="shared" si="58"/>
        <v/>
      </c>
      <c r="M237" s="120" t="str">
        <f t="shared" si="58"/>
        <v/>
      </c>
      <c r="N237" s="120" t="str">
        <f t="shared" si="58"/>
        <v/>
      </c>
      <c r="O237" s="120" t="str">
        <f t="shared" si="58"/>
        <v/>
      </c>
      <c r="P237" s="120" t="str">
        <f t="shared" si="58"/>
        <v/>
      </c>
      <c r="Q237" s="120" t="str">
        <f t="shared" si="58"/>
        <v/>
      </c>
      <c r="R237" s="120" t="str">
        <f t="shared" si="58"/>
        <v/>
      </c>
      <c r="S237" s="120" t="str">
        <f t="shared" si="58"/>
        <v/>
      </c>
      <c r="T237" s="120" t="str">
        <f t="shared" si="58"/>
        <v/>
      </c>
      <c r="U237" s="120" t="str">
        <f t="shared" si="58"/>
        <v/>
      </c>
      <c r="V237" s="120" t="str">
        <f t="shared" si="58"/>
        <v/>
      </c>
      <c r="W237" s="120" t="str">
        <f t="shared" si="58"/>
        <v/>
      </c>
      <c r="X237" s="120" t="str">
        <f t="shared" si="58"/>
        <v/>
      </c>
      <c r="Y237" s="120" t="str">
        <f t="shared" si="58"/>
        <v/>
      </c>
      <c r="Z237" s="120" t="str">
        <f t="shared" si="58"/>
        <v/>
      </c>
      <c r="AA237" s="120" t="str">
        <f t="shared" si="58"/>
        <v/>
      </c>
      <c r="AB237" s="120" t="str">
        <f t="shared" si="58"/>
        <v/>
      </c>
      <c r="AC237" s="120" t="str">
        <f t="shared" si="58"/>
        <v/>
      </c>
      <c r="AD237" s="120" t="str">
        <f t="shared" si="58"/>
        <v/>
      </c>
      <c r="AE237" s="120" t="str">
        <f t="shared" si="58"/>
        <v/>
      </c>
      <c r="AF237" s="120" t="str">
        <f t="shared" si="58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903" priority="371">
      <formula>S$9&gt;=20/24</formula>
    </cfRule>
    <cfRule type="expression" dxfId="2902" priority="372">
      <formula>AND(S$9&gt;=14/24,S$9&lt;20/24)</formula>
    </cfRule>
    <cfRule type="expression" dxfId="2901" priority="373">
      <formula>AND(S$9&gt;=8/24,S$9&lt;14/24)</formula>
    </cfRule>
    <cfRule type="expression" dxfId="2900" priority="374">
      <formula>S$9&lt;8/24</formula>
    </cfRule>
  </conditionalFormatting>
  <conditionalFormatting sqref="B8:AF10 AA80:AF80 B80:Q80 B55:AF55 B81:AF81 C192:AF198 AE56:AF58 B67:AF71 M61:M66 T211:AX211 L59:N59 O38:Q38 L38:N41 L60:M60 N60:N66 O39:P41 Q41 Q39:S40 X84:Z90 Z26:AA26 B73:AF77 B79:AF79 N36:Q36 N11:R14 O59:R66 L57:V58 S11:AD11 S13:V14 M44:V47 S62:V66 N16:V32 W18:Y30 AA16:AA25 Z18:Z25 Z27:Z30 T39:AD41 AA83:AF90 AA12:AD14 AA42:AD42 AB16:AD26 AA28:AE31 AE21:AE26 L52:AF54 AF59">
    <cfRule type="expression" dxfId="2899" priority="367">
      <formula>B$9&gt;=20/24</formula>
    </cfRule>
    <cfRule type="expression" dxfId="2898" priority="368">
      <formula>AND(B$9&gt;=14/24,B$9&lt;20/24)</formula>
    </cfRule>
    <cfRule type="expression" dxfId="2897" priority="369">
      <formula>AND(B$9&gt;=8/24,B$9&lt;14/24)</formula>
    </cfRule>
    <cfRule type="expression" dxfId="2896" priority="370">
      <formula>B$9&lt;8/24</formula>
    </cfRule>
  </conditionalFormatting>
  <conditionalFormatting sqref="B190:AF190">
    <cfRule type="expression" dxfId="2895" priority="363">
      <formula>B$9&gt;=20/24</formula>
    </cfRule>
    <cfRule type="expression" dxfId="2894" priority="364">
      <formula>AND(B$9&gt;=14/24,B$9&lt;20/24)</formula>
    </cfRule>
    <cfRule type="expression" dxfId="2893" priority="365">
      <formula>AND(B$9&gt;=8/24,B$9&lt;14/24)</formula>
    </cfRule>
    <cfRule type="expression" dxfId="2892" priority="366">
      <formula>B$9&lt;8/24</formula>
    </cfRule>
  </conditionalFormatting>
  <conditionalFormatting sqref="AL4:AL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L56:Q56">
    <cfRule type="expression" dxfId="2891" priority="358">
      <formula>L$9&gt;=20/24</formula>
    </cfRule>
    <cfRule type="expression" dxfId="2890" priority="359">
      <formula>AND(L$9&gt;=14/24,L$9&lt;20/24)</formula>
    </cfRule>
    <cfRule type="expression" dxfId="2889" priority="360">
      <formula>AND(L$9&gt;=8/24,L$9&lt;14/24)</formula>
    </cfRule>
    <cfRule type="expression" dxfId="2888" priority="361">
      <formula>L$9&lt;8/24</formula>
    </cfRule>
  </conditionalFormatting>
  <conditionalFormatting sqref="L42:Q42">
    <cfRule type="expression" dxfId="2887" priority="354">
      <formula>L$9&gt;=20/24</formula>
    </cfRule>
    <cfRule type="expression" dxfId="2886" priority="355">
      <formula>AND(L$9&gt;=14/24,L$9&lt;20/24)</formula>
    </cfRule>
    <cfRule type="expression" dxfId="2885" priority="356">
      <formula>AND(L$9&gt;=8/24,L$9&lt;14/24)</formula>
    </cfRule>
    <cfRule type="expression" dxfId="2884" priority="357">
      <formula>L$9&lt;8/24</formula>
    </cfRule>
  </conditionalFormatting>
  <conditionalFormatting sqref="AA32:AE32">
    <cfRule type="expression" dxfId="2883" priority="350">
      <formula>AA$9&gt;=20/24</formula>
    </cfRule>
    <cfRule type="expression" dxfId="2882" priority="351">
      <formula>AND(AA$9&gt;=14/24,AA$9&lt;20/24)</formula>
    </cfRule>
    <cfRule type="expression" dxfId="2881" priority="352">
      <formula>AND(AA$9&gt;=8/24,AA$9&lt;14/24)</formula>
    </cfRule>
    <cfRule type="expression" dxfId="2880" priority="353">
      <formula>AA$9&lt;8/24</formula>
    </cfRule>
  </conditionalFormatting>
  <conditionalFormatting sqref="R38:AD38">
    <cfRule type="expression" dxfId="2879" priority="346">
      <formula>R$9&gt;=20/24</formula>
    </cfRule>
    <cfRule type="expression" dxfId="2878" priority="347">
      <formula>AND(R$9&gt;=14/24,R$9&lt;20/24)</formula>
    </cfRule>
    <cfRule type="expression" dxfId="2877" priority="348">
      <formula>AND(R$9&gt;=8/24,R$9&lt;14/24)</formula>
    </cfRule>
    <cfRule type="expression" dxfId="2876" priority="349">
      <formula>R$9&lt;8/24</formula>
    </cfRule>
  </conditionalFormatting>
  <conditionalFormatting sqref="R56:AD56">
    <cfRule type="expression" dxfId="2875" priority="342">
      <formula>R$9&gt;=20/24</formula>
    </cfRule>
    <cfRule type="expression" dxfId="2874" priority="343">
      <formula>AND(R$9&gt;=14/24,R$9&lt;20/24)</formula>
    </cfRule>
    <cfRule type="expression" dxfId="2873" priority="344">
      <formula>AND(R$9&gt;=8/24,R$9&lt;14/24)</formula>
    </cfRule>
    <cfRule type="expression" dxfId="2872" priority="345">
      <formula>R$9&lt;8/24</formula>
    </cfRule>
  </conditionalFormatting>
  <conditionalFormatting sqref="R80:Z80">
    <cfRule type="expression" dxfId="2871" priority="338">
      <formula>R$9&gt;=20/24</formula>
    </cfRule>
    <cfRule type="expression" dxfId="2870" priority="339">
      <formula>AND(R$9&gt;=14/24,R$9&lt;20/24)</formula>
    </cfRule>
    <cfRule type="expression" dxfId="2869" priority="340">
      <formula>AND(R$9&gt;=8/24,R$9&lt;14/24)</formula>
    </cfRule>
    <cfRule type="expression" dxfId="2868" priority="341">
      <formula>R$9&lt;8/24</formula>
    </cfRule>
  </conditionalFormatting>
  <conditionalFormatting sqref="T83:Z83">
    <cfRule type="expression" dxfId="2867" priority="334">
      <formula>T$9&gt;=20/24</formula>
    </cfRule>
    <cfRule type="expression" dxfId="2866" priority="335">
      <formula>AND(T$9&gt;=14/24,T$9&lt;20/24)</formula>
    </cfRule>
    <cfRule type="expression" dxfId="2865" priority="336">
      <formula>AND(T$9&gt;=8/24,T$9&lt;14/24)</formula>
    </cfRule>
    <cfRule type="expression" dxfId="2864" priority="337">
      <formula>T$9&lt;8/24</formula>
    </cfRule>
  </conditionalFormatting>
  <conditionalFormatting sqref="N34:V34">
    <cfRule type="expression" dxfId="2863" priority="330">
      <formula>N$9&gt;=20/24</formula>
    </cfRule>
    <cfRule type="expression" dxfId="2862" priority="331">
      <formula>AND(N$9&gt;=14/24,N$9&lt;20/24)</formula>
    </cfRule>
    <cfRule type="expression" dxfId="2861" priority="332">
      <formula>AND(N$9&gt;=8/24,N$9&lt;14/24)</formula>
    </cfRule>
    <cfRule type="expression" dxfId="2860" priority="333">
      <formula>N$9&lt;8/24</formula>
    </cfRule>
  </conditionalFormatting>
  <conditionalFormatting sqref="L48:V48">
    <cfRule type="expression" dxfId="2859" priority="326">
      <formula>L$9&gt;=20/24</formula>
    </cfRule>
    <cfRule type="expression" dxfId="2858" priority="327">
      <formula>AND(L$9&gt;=14/24,L$9&lt;20/24)</formula>
    </cfRule>
    <cfRule type="expression" dxfId="2857" priority="328">
      <formula>AND(L$9&gt;=8/24,L$9&lt;14/24)</formula>
    </cfRule>
    <cfRule type="expression" dxfId="2856" priority="329">
      <formula>L$9&lt;8/24</formula>
    </cfRule>
  </conditionalFormatting>
  <conditionalFormatting sqref="L49:V49">
    <cfRule type="expression" dxfId="2855" priority="322">
      <formula>L$9&gt;=20/24</formula>
    </cfRule>
    <cfRule type="expression" dxfId="2854" priority="323">
      <formula>AND(L$9&gt;=14/24,L$9&lt;20/24)</formula>
    </cfRule>
    <cfRule type="expression" dxfId="2853" priority="324">
      <formula>AND(L$9&gt;=8/24,L$9&lt;14/24)</formula>
    </cfRule>
    <cfRule type="expression" dxfId="2852" priority="325">
      <formula>L$9&lt;8/24</formula>
    </cfRule>
  </conditionalFormatting>
  <conditionalFormatting sqref="L44:V47">
    <cfRule type="expression" dxfId="2851" priority="318">
      <formula>L$9&gt;=20/24</formula>
    </cfRule>
    <cfRule type="expression" dxfId="2850" priority="319">
      <formula>AND(L$9&gt;=14/24,L$9&lt;20/24)</formula>
    </cfRule>
    <cfRule type="expression" dxfId="2849" priority="320">
      <formula>AND(L$9&gt;=8/24,L$9&lt;14/24)</formula>
    </cfRule>
    <cfRule type="expression" dxfId="2848" priority="321">
      <formula>L$9&lt;8/24</formula>
    </cfRule>
  </conditionalFormatting>
  <conditionalFormatting sqref="R36:AD36">
    <cfRule type="expression" dxfId="2847" priority="314">
      <formula>R$9&gt;=20/24</formula>
    </cfRule>
    <cfRule type="expression" dxfId="2846" priority="315">
      <formula>AND(R$9&gt;=14/24,R$9&lt;20/24)</formula>
    </cfRule>
    <cfRule type="expression" dxfId="2845" priority="316">
      <formula>AND(R$9&gt;=8/24,R$9&lt;14/24)</formula>
    </cfRule>
    <cfRule type="expression" dxfId="2844" priority="317">
      <formula>R$9&lt;8/24</formula>
    </cfRule>
  </conditionalFormatting>
  <conditionalFormatting sqref="W31:Z32 W34:AE34">
    <cfRule type="expression" dxfId="2843" priority="310">
      <formula>W$9&gt;=20/24</formula>
    </cfRule>
    <cfRule type="expression" dxfId="2842" priority="311">
      <formula>AND(W$9&gt;=14/24,W$9&lt;20/24)</formula>
    </cfRule>
    <cfRule type="expression" dxfId="2841" priority="312">
      <formula>AND(W$9&gt;=8/24,W$9&lt;14/24)</formula>
    </cfRule>
    <cfRule type="expression" dxfId="2840" priority="313">
      <formula>W$9&lt;8/24</formula>
    </cfRule>
  </conditionalFormatting>
  <conditionalFormatting sqref="R41:S42 T42:Z42 S44:AE47">
    <cfRule type="expression" dxfId="2839" priority="306">
      <formula>R$9&gt;=20/24</formula>
    </cfRule>
    <cfRule type="expression" dxfId="2838" priority="307">
      <formula>AND(R$9&gt;=14/24,R$9&lt;20/24)</formula>
    </cfRule>
    <cfRule type="expression" dxfId="2837" priority="308">
      <formula>AND(R$9&gt;=8/24,R$9&lt;14/24)</formula>
    </cfRule>
    <cfRule type="expression" dxfId="2836" priority="309">
      <formula>R$9&lt;8/24</formula>
    </cfRule>
  </conditionalFormatting>
  <conditionalFormatting sqref="S48:AE48">
    <cfRule type="expression" dxfId="2835" priority="302">
      <formula>S$9&gt;=20/24</formula>
    </cfRule>
    <cfRule type="expression" dxfId="2834" priority="303">
      <formula>AND(S$9&gt;=14/24,S$9&lt;20/24)</formula>
    </cfRule>
    <cfRule type="expression" dxfId="2833" priority="304">
      <formula>AND(S$9&gt;=8/24,S$9&lt;14/24)</formula>
    </cfRule>
    <cfRule type="expression" dxfId="2832" priority="305">
      <formula>S$9&lt;8/24</formula>
    </cfRule>
  </conditionalFormatting>
  <conditionalFormatting sqref="S49:AE49">
    <cfRule type="expression" dxfId="2831" priority="298">
      <formula>S$9&gt;=20/24</formula>
    </cfRule>
    <cfRule type="expression" dxfId="2830" priority="299">
      <formula>AND(S$9&gt;=14/24,S$9&lt;20/24)</formula>
    </cfRule>
    <cfRule type="expression" dxfId="2829" priority="300">
      <formula>AND(S$9&gt;=8/24,S$9&lt;14/24)</formula>
    </cfRule>
    <cfRule type="expression" dxfId="2828" priority="301">
      <formula>S$9&lt;8/24</formula>
    </cfRule>
  </conditionalFormatting>
  <conditionalFormatting sqref="AE66:AF66 S59:V61 W59:AD66 AF60:AF65 AE59:AE65">
    <cfRule type="expression" dxfId="2827" priority="294">
      <formula>S$9&gt;=20/24</formula>
    </cfRule>
    <cfRule type="expression" dxfId="2826" priority="295">
      <formula>AND(S$9&gt;=14/24,S$9&lt;20/24)</formula>
    </cfRule>
    <cfRule type="expression" dxfId="2825" priority="296">
      <formula>AND(S$9&gt;=8/24,S$9&lt;14/24)</formula>
    </cfRule>
    <cfRule type="expression" dxfId="2824" priority="297">
      <formula>S$9&lt;8/24</formula>
    </cfRule>
  </conditionalFormatting>
  <conditionalFormatting sqref="AA93:AF96">
    <cfRule type="expression" dxfId="2823" priority="290">
      <formula>AA$9&gt;=20/24</formula>
    </cfRule>
    <cfRule type="expression" dxfId="2822" priority="291">
      <formula>AND(AA$9&gt;=14/24,AA$9&lt;20/24)</formula>
    </cfRule>
    <cfRule type="expression" dxfId="2821" priority="292">
      <formula>AND(AA$9&gt;=8/24,AA$9&lt;14/24)</formula>
    </cfRule>
    <cfRule type="expression" dxfId="2820" priority="293">
      <formula>AA$9&lt;8/24</formula>
    </cfRule>
  </conditionalFormatting>
  <conditionalFormatting sqref="T93:Z96">
    <cfRule type="expression" dxfId="2819" priority="282">
      <formula>T$9&gt;=20/24</formula>
    </cfRule>
    <cfRule type="expression" dxfId="2818" priority="283">
      <formula>AND(T$9&gt;=14/24,T$9&lt;20/24)</formula>
    </cfRule>
    <cfRule type="expression" dxfId="2817" priority="284">
      <formula>AND(T$9&gt;=8/24,T$9&lt;14/24)</formula>
    </cfRule>
    <cfRule type="expression" dxfId="2816" priority="285">
      <formula>T$9&lt;8/24</formula>
    </cfRule>
  </conditionalFormatting>
  <conditionalFormatting sqref="AG50 B37:AF37 F44:H44 G11:K13 N11:R14 S11:AF11 S13:V14 N16:V32 W18:Y32 AA16:AA25 Z18:Z25 Z26:AA32 N36:AF36 AA12:AF14 F38:AF42 W35:AF35 N34:AF34 AB16:AF32 I44:AF49 B50:AF55">
    <cfRule type="expression" dxfId="2815" priority="281">
      <formula>B11&gt;$AG11</formula>
    </cfRule>
  </conditionalFormatting>
  <conditionalFormatting sqref="A99:A155 A83:A96 A11:A14 A16:A32 A44:A71 A79:A81 A73:A77 A34:A42 A168:A199">
    <cfRule type="expression" dxfId="2814" priority="280">
      <formula>$AH11=0</formula>
    </cfRule>
  </conditionalFormatting>
  <conditionalFormatting sqref="AA97:AF97">
    <cfRule type="expression" dxfId="2813" priority="276">
      <formula>AA$9&gt;=20/24</formula>
    </cfRule>
    <cfRule type="expression" dxfId="2812" priority="277">
      <formula>AND(AA$9&gt;=14/24,AA$9&lt;20/24)</formula>
    </cfRule>
    <cfRule type="expression" dxfId="2811" priority="278">
      <formula>AND(AA$9&gt;=8/24,AA$9&lt;14/24)</formula>
    </cfRule>
    <cfRule type="expression" dxfId="2810" priority="279">
      <formula>AA$9&lt;8/24</formula>
    </cfRule>
  </conditionalFormatting>
  <conditionalFormatting sqref="T97:Z97">
    <cfRule type="expression" dxfId="2809" priority="272">
      <formula>T$9&gt;=20/24</formula>
    </cfRule>
    <cfRule type="expression" dxfId="2808" priority="273">
      <formula>AND(T$9&gt;=14/24,T$9&lt;20/24)</formula>
    </cfRule>
    <cfRule type="expression" dxfId="2807" priority="274">
      <formula>AND(T$9&gt;=8/24,T$9&lt;14/24)</formula>
    </cfRule>
    <cfRule type="expression" dxfId="2806" priority="275">
      <formula>T$9&lt;8/24</formula>
    </cfRule>
  </conditionalFormatting>
  <conditionalFormatting sqref="A97">
    <cfRule type="expression" dxfId="2805" priority="271">
      <formula>$AH97=0</formula>
    </cfRule>
  </conditionalFormatting>
  <conditionalFormatting sqref="W35:AF35">
    <cfRule type="expression" dxfId="2804" priority="267">
      <formula>W$9&gt;=20/24</formula>
    </cfRule>
    <cfRule type="expression" dxfId="2803" priority="268">
      <formula>AND(W$9&gt;=14/24,W$9&lt;20/24)</formula>
    </cfRule>
    <cfRule type="expression" dxfId="2802" priority="269">
      <formula>AND(W$9&gt;=8/24,W$9&lt;14/24)</formula>
    </cfRule>
    <cfRule type="expression" dxfId="2801" priority="270">
      <formula>W$9&lt;8/24</formula>
    </cfRule>
  </conditionalFormatting>
  <conditionalFormatting sqref="W35:AF35">
    <cfRule type="expression" dxfId="2800" priority="263">
      <formula>W$9&gt;=20/24</formula>
    </cfRule>
    <cfRule type="expression" dxfId="2799" priority="264">
      <formula>AND(W$9&gt;=14/24,W$9&lt;20/24)</formula>
    </cfRule>
    <cfRule type="expression" dxfId="2798" priority="265">
      <formula>AND(W$9&gt;=8/24,W$9&lt;14/24)</formula>
    </cfRule>
    <cfRule type="expression" dxfId="2797" priority="266">
      <formula>W$9&lt;8/24</formula>
    </cfRule>
  </conditionalFormatting>
  <conditionalFormatting sqref="L61:L66">
    <cfRule type="expression" dxfId="2796" priority="251">
      <formula>L$9&gt;=20/24</formula>
    </cfRule>
    <cfRule type="expression" dxfId="2795" priority="252">
      <formula>AND(L$9&gt;=14/24,L$9&lt;20/24)</formula>
    </cfRule>
    <cfRule type="expression" dxfId="2794" priority="253">
      <formula>AND(L$9&gt;=8/24,L$9&lt;14/24)</formula>
    </cfRule>
    <cfRule type="expression" dxfId="2793" priority="254">
      <formula>L$9&lt;8/24</formula>
    </cfRule>
  </conditionalFormatting>
  <conditionalFormatting sqref="AL32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A33:AE33">
    <cfRule type="expression" dxfId="2792" priority="246">
      <formula>AA$9&gt;=20/24</formula>
    </cfRule>
    <cfRule type="expression" dxfId="2791" priority="247">
      <formula>AND(AA$9&gt;=14/24,AA$9&lt;20/24)</formula>
    </cfRule>
    <cfRule type="expression" dxfId="2790" priority="248">
      <formula>AND(AA$9&gt;=8/24,AA$9&lt;14/24)</formula>
    </cfRule>
    <cfRule type="expression" dxfId="2789" priority="249">
      <formula>AA$9&lt;8/24</formula>
    </cfRule>
  </conditionalFormatting>
  <conditionalFormatting sqref="N33:V33">
    <cfRule type="expression" dxfId="2788" priority="242">
      <formula>N$9&gt;=20/24</formula>
    </cfRule>
    <cfRule type="expression" dxfId="2787" priority="243">
      <formula>AND(N$9&gt;=14/24,N$9&lt;20/24)</formula>
    </cfRule>
    <cfRule type="expression" dxfId="2786" priority="244">
      <formula>AND(N$9&gt;=8/24,N$9&lt;14/24)</formula>
    </cfRule>
    <cfRule type="expression" dxfId="2785" priority="245">
      <formula>N$9&lt;8/24</formula>
    </cfRule>
  </conditionalFormatting>
  <conditionalFormatting sqref="W33:Z33">
    <cfRule type="expression" dxfId="2784" priority="238">
      <formula>W$9&gt;=20/24</formula>
    </cfRule>
    <cfRule type="expression" dxfId="2783" priority="239">
      <formula>AND(W$9&gt;=14/24,W$9&lt;20/24)</formula>
    </cfRule>
    <cfRule type="expression" dxfId="2782" priority="240">
      <formula>AND(W$9&gt;=8/24,W$9&lt;14/24)</formula>
    </cfRule>
    <cfRule type="expression" dxfId="2781" priority="241">
      <formula>W$9&lt;8/24</formula>
    </cfRule>
  </conditionalFormatting>
  <conditionalFormatting sqref="N33:AF33">
    <cfRule type="expression" dxfId="2780" priority="237">
      <formula>N33&gt;$AG33</formula>
    </cfRule>
  </conditionalFormatting>
  <conditionalFormatting sqref="A33">
    <cfRule type="expression" dxfId="2779" priority="236">
      <formula>$AH33=0</formula>
    </cfRule>
  </conditionalFormatting>
  <conditionalFormatting sqref="B82:AF82">
    <cfRule type="expression" dxfId="2778" priority="232">
      <formula>B$9&gt;=20/24</formula>
    </cfRule>
    <cfRule type="expression" dxfId="2777" priority="233">
      <formula>AND(B$9&gt;=14/24,B$9&lt;20/24)</formula>
    </cfRule>
    <cfRule type="expression" dxfId="2776" priority="234">
      <formula>AND(B$9&gt;=8/24,B$9&lt;14/24)</formula>
    </cfRule>
    <cfRule type="expression" dxfId="2775" priority="235">
      <formula>B$9&lt;8/24</formula>
    </cfRule>
  </conditionalFormatting>
  <conditionalFormatting sqref="A82">
    <cfRule type="expression" dxfId="2774" priority="231">
      <formula>$AH82=0</formula>
    </cfRule>
  </conditionalFormatting>
  <conditionalFormatting sqref="AA15:AD15">
    <cfRule type="expression" dxfId="2773" priority="227">
      <formula>AA$9&gt;=20/24</formula>
    </cfRule>
    <cfRule type="expression" dxfId="2772" priority="228">
      <formula>AND(AA$9&gt;=14/24,AA$9&lt;20/24)</formula>
    </cfRule>
    <cfRule type="expression" dxfId="2771" priority="229">
      <formula>AND(AA$9&gt;=8/24,AA$9&lt;14/24)</formula>
    </cfRule>
    <cfRule type="expression" dxfId="2770" priority="230">
      <formula>AA$9&lt;8/24</formula>
    </cfRule>
  </conditionalFormatting>
  <conditionalFormatting sqref="N15:V15">
    <cfRule type="expression" dxfId="2769" priority="223">
      <formula>N$9&gt;=20/24</formula>
    </cfRule>
    <cfRule type="expression" dxfId="2768" priority="224">
      <formula>AND(N$9&gt;=14/24,N$9&lt;20/24)</formula>
    </cfRule>
    <cfRule type="expression" dxfId="2767" priority="225">
      <formula>AND(N$9&gt;=8/24,N$9&lt;14/24)</formula>
    </cfRule>
    <cfRule type="expression" dxfId="2766" priority="226">
      <formula>N$9&lt;8/24</formula>
    </cfRule>
  </conditionalFormatting>
  <conditionalFormatting sqref="N15:V15 AA15:AF15">
    <cfRule type="expression" dxfId="2765" priority="222">
      <formula>N15&gt;$AG15</formula>
    </cfRule>
  </conditionalFormatting>
  <conditionalFormatting sqref="A15">
    <cfRule type="expression" dxfId="2764" priority="221">
      <formula>$AH15=0</formula>
    </cfRule>
  </conditionalFormatting>
  <conditionalFormatting sqref="A162:A167">
    <cfRule type="expression" dxfId="2763" priority="220">
      <formula>$AH162=0</formula>
    </cfRule>
  </conditionalFormatting>
  <conditionalFormatting sqref="A156:A161">
    <cfRule type="expression" dxfId="2762" priority="219">
      <formula>$AH156=0</formula>
    </cfRule>
  </conditionalFormatting>
  <conditionalFormatting sqref="AA43:AD43">
    <cfRule type="expression" dxfId="2761" priority="215">
      <formula>AA$9&gt;=20/24</formula>
    </cfRule>
    <cfRule type="expression" dxfId="2760" priority="216">
      <formula>AND(AA$9&gt;=14/24,AA$9&lt;20/24)</formula>
    </cfRule>
    <cfRule type="expression" dxfId="2759" priority="217">
      <formula>AND(AA$9&gt;=8/24,AA$9&lt;14/24)</formula>
    </cfRule>
    <cfRule type="expression" dxfId="2758" priority="218">
      <formula>AA$9&lt;8/24</formula>
    </cfRule>
  </conditionalFormatting>
  <conditionalFormatting sqref="L43:R43">
    <cfRule type="expression" dxfId="2757" priority="211">
      <formula>L$9&gt;=20/24</formula>
    </cfRule>
    <cfRule type="expression" dxfId="2756" priority="212">
      <formula>AND(L$9&gt;=14/24,L$9&lt;20/24)</formula>
    </cfRule>
    <cfRule type="expression" dxfId="2755" priority="213">
      <formula>AND(L$9&gt;=8/24,L$9&lt;14/24)</formula>
    </cfRule>
    <cfRule type="expression" dxfId="2754" priority="214">
      <formula>L$9&lt;8/24</formula>
    </cfRule>
  </conditionalFormatting>
  <conditionalFormatting sqref="S43:Z43">
    <cfRule type="expression" dxfId="2753" priority="207">
      <formula>S$9&gt;=20/24</formula>
    </cfRule>
    <cfRule type="expression" dxfId="2752" priority="208">
      <formula>AND(S$9&gt;=14/24,S$9&lt;20/24)</formula>
    </cfRule>
    <cfRule type="expression" dxfId="2751" priority="209">
      <formula>AND(S$9&gt;=8/24,S$9&lt;14/24)</formula>
    </cfRule>
    <cfRule type="expression" dxfId="2750" priority="210">
      <formula>S$9&lt;8/24</formula>
    </cfRule>
  </conditionalFormatting>
  <conditionalFormatting sqref="F43:AF43">
    <cfRule type="expression" dxfId="2749" priority="206">
      <formula>F43&gt;$AG43</formula>
    </cfRule>
  </conditionalFormatting>
  <conditionalFormatting sqref="A43">
    <cfRule type="expression" dxfId="2748" priority="205">
      <formula>$AH43=0</formula>
    </cfRule>
  </conditionalFormatting>
  <conditionalFormatting sqref="B78:AF78">
    <cfRule type="expression" dxfId="2747" priority="201">
      <formula>B$9&gt;=20/24</formula>
    </cfRule>
    <cfRule type="expression" dxfId="2746" priority="202">
      <formula>AND(B$9&gt;=14/24,B$9&lt;20/24)</formula>
    </cfRule>
    <cfRule type="expression" dxfId="2745" priority="203">
      <formula>AND(B$9&gt;=8/24,B$9&lt;14/24)</formula>
    </cfRule>
    <cfRule type="expression" dxfId="2744" priority="204">
      <formula>B$9&lt;8/24</formula>
    </cfRule>
  </conditionalFormatting>
  <conditionalFormatting sqref="A78">
    <cfRule type="expression" dxfId="2743" priority="200">
      <formula>$AH78=0</formula>
    </cfRule>
  </conditionalFormatting>
  <conditionalFormatting sqref="B72:AG72">
    <cfRule type="expression" dxfId="2742" priority="196">
      <formula>B$9&gt;=20/24</formula>
    </cfRule>
    <cfRule type="expression" dxfId="2741" priority="197">
      <formula>AND(B$9&gt;=14/24,B$9&lt;20/24)</formula>
    </cfRule>
    <cfRule type="expression" dxfId="2740" priority="198">
      <formula>AND(B$9&gt;=8/24,B$9&lt;14/24)</formula>
    </cfRule>
    <cfRule type="expression" dxfId="2739" priority="199">
      <formula>B$9&lt;8/24</formula>
    </cfRule>
  </conditionalFormatting>
  <conditionalFormatting sqref="A72">
    <cfRule type="expression" dxfId="2738" priority="195">
      <formula>$AH72=0</formula>
    </cfRule>
  </conditionalFormatting>
  <conditionalFormatting sqref="AL33:AL34 AL7:AL31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2737" priority="187">
      <formula>T$9&gt;=20/24</formula>
    </cfRule>
    <cfRule type="expression" dxfId="2736" priority="188">
      <formula>AND(T$9&gt;=14/24,T$9&lt;20/24)</formula>
    </cfRule>
    <cfRule type="expression" dxfId="2735" priority="189">
      <formula>AND(T$9&gt;=8/24,T$9&lt;14/24)</formula>
    </cfRule>
    <cfRule type="expression" dxfId="2734" priority="190">
      <formula>T$9&lt;8/24</formula>
    </cfRule>
  </conditionalFormatting>
  <conditionalFormatting sqref="R84:S90 F83:Q90">
    <cfRule type="expression" dxfId="2733" priority="183">
      <formula>F$9&gt;=20/24</formula>
    </cfRule>
    <cfRule type="expression" dxfId="2732" priority="184">
      <formula>AND(F$9&gt;=14/24,F$9&lt;20/24)</formula>
    </cfRule>
    <cfRule type="expression" dxfId="2731" priority="185">
      <formula>AND(F$9&gt;=8/24,F$9&lt;14/24)</formula>
    </cfRule>
    <cfRule type="expression" dxfId="2730" priority="186">
      <formula>F$9&lt;8/24</formula>
    </cfRule>
  </conditionalFormatting>
  <conditionalFormatting sqref="R83:S83">
    <cfRule type="expression" dxfId="2729" priority="179">
      <formula>R$9&gt;=20/24</formula>
    </cfRule>
    <cfRule type="expression" dxfId="2728" priority="180">
      <formula>AND(R$9&gt;=14/24,R$9&lt;20/24)</formula>
    </cfRule>
    <cfRule type="expression" dxfId="2727" priority="181">
      <formula>AND(R$9&gt;=8/24,R$9&lt;14/24)</formula>
    </cfRule>
    <cfRule type="expression" dxfId="2726" priority="182">
      <formula>R$9&lt;8/24</formula>
    </cfRule>
  </conditionalFormatting>
  <conditionalFormatting sqref="C93:E96 F94:L96">
    <cfRule type="expression" dxfId="2725" priority="175">
      <formula>C$9&gt;=20/24</formula>
    </cfRule>
    <cfRule type="expression" dxfId="2724" priority="176">
      <formula>AND(C$9&gt;=14/24,C$9&lt;20/24)</formula>
    </cfRule>
    <cfRule type="expression" dxfId="2723" priority="177">
      <formula>AND(C$9&gt;=8/24,C$9&lt;14/24)</formula>
    </cfRule>
    <cfRule type="expression" dxfId="2722" priority="178">
      <formula>C$9&lt;8/24</formula>
    </cfRule>
  </conditionalFormatting>
  <conditionalFormatting sqref="M94:Q96 N93:Q93">
    <cfRule type="expression" dxfId="2721" priority="171">
      <formula>M$9&gt;=20/24</formula>
    </cfRule>
    <cfRule type="expression" dxfId="2720" priority="172">
      <formula>AND(M$9&gt;=14/24,M$9&lt;20/24)</formula>
    </cfRule>
    <cfRule type="expression" dxfId="2719" priority="173">
      <formula>AND(M$9&gt;=8/24,M$9&lt;14/24)</formula>
    </cfRule>
    <cfRule type="expression" dxfId="2718" priority="174">
      <formula>M$9&lt;8/24</formula>
    </cfRule>
  </conditionalFormatting>
  <conditionalFormatting sqref="R93:S96">
    <cfRule type="expression" dxfId="2717" priority="167">
      <formula>R$9&gt;=20/24</formula>
    </cfRule>
    <cfRule type="expression" dxfId="2716" priority="168">
      <formula>AND(R$9&gt;=14/24,R$9&lt;20/24)</formula>
    </cfRule>
    <cfRule type="expression" dxfId="2715" priority="169">
      <formula>AND(R$9&gt;=8/24,R$9&lt;14/24)</formula>
    </cfRule>
    <cfRule type="expression" dxfId="2714" priority="170">
      <formula>R$9&lt;8/24</formula>
    </cfRule>
  </conditionalFormatting>
  <conditionalFormatting sqref="C97:L97">
    <cfRule type="expression" dxfId="2713" priority="163">
      <formula>C$9&gt;=20/24</formula>
    </cfRule>
    <cfRule type="expression" dxfId="2712" priority="164">
      <formula>AND(C$9&gt;=14/24,C$9&lt;20/24)</formula>
    </cfRule>
    <cfRule type="expression" dxfId="2711" priority="165">
      <formula>AND(C$9&gt;=8/24,C$9&lt;14/24)</formula>
    </cfRule>
    <cfRule type="expression" dxfId="2710" priority="166">
      <formula>C$9&lt;8/24</formula>
    </cfRule>
  </conditionalFormatting>
  <conditionalFormatting sqref="M97:Q97">
    <cfRule type="expression" dxfId="2709" priority="159">
      <formula>M$9&gt;=20/24</formula>
    </cfRule>
    <cfRule type="expression" dxfId="2708" priority="160">
      <formula>AND(M$9&gt;=14/24,M$9&lt;20/24)</formula>
    </cfRule>
    <cfRule type="expression" dxfId="2707" priority="161">
      <formula>AND(M$9&gt;=8/24,M$9&lt;14/24)</formula>
    </cfRule>
    <cfRule type="expression" dxfId="2706" priority="162">
      <formula>M$9&lt;8/24</formula>
    </cfRule>
  </conditionalFormatting>
  <conditionalFormatting sqref="R97:S97">
    <cfRule type="expression" dxfId="2705" priority="155">
      <formula>R$9&gt;=20/24</formula>
    </cfRule>
    <cfRule type="expression" dxfId="2704" priority="156">
      <formula>AND(R$9&gt;=14/24,R$9&lt;20/24)</formula>
    </cfRule>
    <cfRule type="expression" dxfId="2703" priority="157">
      <formula>AND(R$9&gt;=8/24,R$9&lt;14/24)</formula>
    </cfRule>
    <cfRule type="expression" dxfId="2702" priority="158">
      <formula>R$9&lt;8/24</formula>
    </cfRule>
  </conditionalFormatting>
  <conditionalFormatting sqref="L93:M93">
    <cfRule type="expression" dxfId="2701" priority="151">
      <formula>L$9&gt;=20/24</formula>
    </cfRule>
    <cfRule type="expression" dxfId="2700" priority="152">
      <formula>AND(L$9&gt;=14/24,L$9&lt;20/24)</formula>
    </cfRule>
    <cfRule type="expression" dxfId="2699" priority="153">
      <formula>AND(L$9&gt;=8/24,L$9&lt;14/24)</formula>
    </cfRule>
    <cfRule type="expression" dxfId="2698" priority="154">
      <formula>L$9&lt;8/24</formula>
    </cfRule>
  </conditionalFormatting>
  <conditionalFormatting sqref="F93:K93">
    <cfRule type="expression" dxfId="2697" priority="147">
      <formula>F$9&gt;=20/24</formula>
    </cfRule>
    <cfRule type="expression" dxfId="2696" priority="148">
      <formula>AND(F$9&gt;=14/24,F$9&lt;20/24)</formula>
    </cfRule>
    <cfRule type="expression" dxfId="2695" priority="149">
      <formula>AND(F$9&gt;=8/24,F$9&lt;14/24)</formula>
    </cfRule>
    <cfRule type="expression" dxfId="2694" priority="150">
      <formula>F$9&lt;8/24</formula>
    </cfRule>
  </conditionalFormatting>
  <conditionalFormatting sqref="T93:V93">
    <cfRule type="expression" dxfId="2693" priority="143">
      <formula>T$9&gt;=20/24</formula>
    </cfRule>
    <cfRule type="expression" dxfId="2692" priority="144">
      <formula>AND(T$9&gt;=14/24,T$9&lt;20/24)</formula>
    </cfRule>
    <cfRule type="expression" dxfId="2691" priority="145">
      <formula>AND(T$9&gt;=8/24,T$9&lt;14/24)</formula>
    </cfRule>
    <cfRule type="expression" dxfId="2690" priority="146">
      <formula>T$9&lt;8/24</formula>
    </cfRule>
  </conditionalFormatting>
  <conditionalFormatting sqref="M93:S93">
    <cfRule type="expression" dxfId="2689" priority="139">
      <formula>M$9&gt;=20/24</formula>
    </cfRule>
    <cfRule type="expression" dxfId="2688" priority="140">
      <formula>AND(M$9&gt;=14/24,M$9&lt;20/24)</formula>
    </cfRule>
    <cfRule type="expression" dxfId="2687" priority="141">
      <formula>AND(M$9&gt;=8/24,M$9&lt;14/24)</formula>
    </cfRule>
    <cfRule type="expression" dxfId="2686" priority="142">
      <formula>M$9&lt;8/24</formula>
    </cfRule>
  </conditionalFormatting>
  <conditionalFormatting sqref="AA98:AF98">
    <cfRule type="expression" dxfId="2685" priority="135">
      <formula>AA$9&gt;=20/24</formula>
    </cfRule>
    <cfRule type="expression" dxfId="2684" priority="136">
      <formula>AND(AA$9&gt;=14/24,AA$9&lt;20/24)</formula>
    </cfRule>
    <cfRule type="expression" dxfId="2683" priority="137">
      <formula>AND(AA$9&gt;=8/24,AA$9&lt;14/24)</formula>
    </cfRule>
    <cfRule type="expression" dxfId="2682" priority="138">
      <formula>AA$9&lt;8/24</formula>
    </cfRule>
  </conditionalFormatting>
  <conditionalFormatting sqref="T98:Z98">
    <cfRule type="expression" dxfId="2681" priority="131">
      <formula>T$9&gt;=20/24</formula>
    </cfRule>
    <cfRule type="expression" dxfId="2680" priority="132">
      <formula>AND(T$9&gt;=14/24,T$9&lt;20/24)</formula>
    </cfRule>
    <cfRule type="expression" dxfId="2679" priority="133">
      <formula>AND(T$9&gt;=8/24,T$9&lt;14/24)</formula>
    </cfRule>
    <cfRule type="expression" dxfId="2678" priority="134">
      <formula>T$9&lt;8/24</formula>
    </cfRule>
  </conditionalFormatting>
  <conditionalFormatting sqref="A98">
    <cfRule type="expression" dxfId="2677" priority="130">
      <formula>$AH98=0</formula>
    </cfRule>
  </conditionalFormatting>
  <conditionalFormatting sqref="C98:L98">
    <cfRule type="expression" dxfId="2676" priority="126">
      <formula>C$9&gt;=20/24</formula>
    </cfRule>
    <cfRule type="expression" dxfId="2675" priority="127">
      <formula>AND(C$9&gt;=14/24,C$9&lt;20/24)</formula>
    </cfRule>
    <cfRule type="expression" dxfId="2674" priority="128">
      <formula>AND(C$9&gt;=8/24,C$9&lt;14/24)</formula>
    </cfRule>
    <cfRule type="expression" dxfId="2673" priority="129">
      <formula>C$9&lt;8/24</formula>
    </cfRule>
  </conditionalFormatting>
  <conditionalFormatting sqref="M98:Q98">
    <cfRule type="expression" dxfId="2672" priority="122">
      <formula>M$9&gt;=20/24</formula>
    </cfRule>
    <cfRule type="expression" dxfId="2671" priority="123">
      <formula>AND(M$9&gt;=14/24,M$9&lt;20/24)</formula>
    </cfRule>
    <cfRule type="expression" dxfId="2670" priority="124">
      <formula>AND(M$9&gt;=8/24,M$9&lt;14/24)</formula>
    </cfRule>
    <cfRule type="expression" dxfId="2669" priority="125">
      <formula>M$9&lt;8/24</formula>
    </cfRule>
  </conditionalFormatting>
  <conditionalFormatting sqref="R98:S98">
    <cfRule type="expression" dxfId="2668" priority="118">
      <formula>R$9&gt;=20/24</formula>
    </cfRule>
    <cfRule type="expression" dxfId="2667" priority="119">
      <formula>AND(R$9&gt;=14/24,R$9&lt;20/24)</formula>
    </cfRule>
    <cfRule type="expression" dxfId="2666" priority="120">
      <formula>AND(R$9&gt;=8/24,R$9&lt;14/24)</formula>
    </cfRule>
    <cfRule type="expression" dxfId="2665" priority="121">
      <formula>R$9&lt;8/24</formula>
    </cfRule>
  </conditionalFormatting>
  <conditionalFormatting sqref="S12:V12 W12:Z16">
    <cfRule type="expression" dxfId="2664" priority="114">
      <formula>S$9&gt;=20/24</formula>
    </cfRule>
    <cfRule type="expression" dxfId="2663" priority="115">
      <formula>AND(S$9&gt;=14/24,S$9&lt;20/24)</formula>
    </cfRule>
    <cfRule type="expression" dxfId="2662" priority="116">
      <formula>AND(S$9&gt;=8/24,S$9&lt;14/24)</formula>
    </cfRule>
    <cfRule type="expression" dxfId="2661" priority="117">
      <formula>S$9&lt;8/24</formula>
    </cfRule>
  </conditionalFormatting>
  <conditionalFormatting sqref="W17:Z17">
    <cfRule type="expression" dxfId="2660" priority="110">
      <formula>W$9&gt;=20/24</formula>
    </cfRule>
    <cfRule type="expression" dxfId="2659" priority="111">
      <formula>AND(W$9&gt;=14/24,W$9&lt;20/24)</formula>
    </cfRule>
    <cfRule type="expression" dxfId="2658" priority="112">
      <formula>AND(W$9&gt;=8/24,W$9&lt;14/24)</formula>
    </cfRule>
    <cfRule type="expression" dxfId="2657" priority="113">
      <formula>W$9&lt;8/24</formula>
    </cfRule>
  </conditionalFormatting>
  <conditionalFormatting sqref="S12:V12 W12:Z13">
    <cfRule type="expression" dxfId="2656" priority="106">
      <formula>S$9&gt;=20/24</formula>
    </cfRule>
    <cfRule type="expression" dxfId="2655" priority="107">
      <formula>AND(S$9&gt;=14/24,S$9&lt;20/24)</formula>
    </cfRule>
    <cfRule type="expression" dxfId="2654" priority="108">
      <formula>AND(S$9&gt;=8/24,S$9&lt;14/24)</formula>
    </cfRule>
    <cfRule type="expression" dxfId="2653" priority="109">
      <formula>S$9&lt;8/24</formula>
    </cfRule>
  </conditionalFormatting>
  <conditionalFormatting sqref="AD57:AD58">
    <cfRule type="expression" dxfId="2652" priority="102">
      <formula>AD$9&gt;=20/24</formula>
    </cfRule>
    <cfRule type="expression" dxfId="2651" priority="103">
      <formula>AND(AD$9&gt;=14/24,AD$9&lt;20/24)</formula>
    </cfRule>
    <cfRule type="expression" dxfId="2650" priority="104">
      <formula>AND(AD$9&gt;=8/24,AD$9&lt;14/24)</formula>
    </cfRule>
    <cfRule type="expression" dxfId="2649" priority="105">
      <formula>AD$9&lt;8/24</formula>
    </cfRule>
  </conditionalFormatting>
  <conditionalFormatting sqref="B11:F11 B18:M30">
    <cfRule type="expression" dxfId="2648" priority="98">
      <formula>B$9&gt;=20/24</formula>
    </cfRule>
    <cfRule type="expression" dxfId="2647" priority="99">
      <formula>AND(B$9&gt;=14/24,B$9&lt;20/24)</formula>
    </cfRule>
    <cfRule type="expression" dxfId="2646" priority="100">
      <formula>AND(B$9&gt;=8/24,B$9&lt;14/24)</formula>
    </cfRule>
    <cfRule type="expression" dxfId="2645" priority="101">
      <formula>B$9&lt;8/24</formula>
    </cfRule>
  </conditionalFormatting>
  <conditionalFormatting sqref="B36:M36">
    <cfRule type="expression" dxfId="2644" priority="94">
      <formula>B$9&gt;=20/24</formula>
    </cfRule>
    <cfRule type="expression" dxfId="2643" priority="95">
      <formula>AND(B$9&gt;=14/24,B$9&lt;20/24)</formula>
    </cfRule>
    <cfRule type="expression" dxfId="2642" priority="96">
      <formula>AND(B$9&gt;=8/24,B$9&lt;14/24)</formula>
    </cfRule>
    <cfRule type="expression" dxfId="2641" priority="97">
      <formula>B$9&lt;8/24</formula>
    </cfRule>
  </conditionalFormatting>
  <conditionalFormatting sqref="B31:M32 B34:M34">
    <cfRule type="expression" dxfId="2640" priority="90">
      <formula>B$9&gt;=20/24</formula>
    </cfRule>
    <cfRule type="expression" dxfId="2639" priority="91">
      <formula>AND(B$9&gt;=14/24,B$9&lt;20/24)</formula>
    </cfRule>
    <cfRule type="expression" dxfId="2638" priority="92">
      <formula>AND(B$9&gt;=8/24,B$9&lt;14/24)</formula>
    </cfRule>
    <cfRule type="expression" dxfId="2637" priority="93">
      <formula>B$9&lt;8/24</formula>
    </cfRule>
  </conditionalFormatting>
  <conditionalFormatting sqref="B11:F11 B18:M32 B34:M36 N35:V35">
    <cfRule type="expression" dxfId="2636" priority="89">
      <formula>B11&gt;$AG11</formula>
    </cfRule>
  </conditionalFormatting>
  <conditionalFormatting sqref="B35:V35">
    <cfRule type="expression" dxfId="2635" priority="85">
      <formula>B$9&gt;=20/24</formula>
    </cfRule>
    <cfRule type="expression" dxfId="2634" priority="86">
      <formula>AND(B$9&gt;=14/24,B$9&lt;20/24)</formula>
    </cfRule>
    <cfRule type="expression" dxfId="2633" priority="87">
      <formula>AND(B$9&gt;=8/24,B$9&lt;14/24)</formula>
    </cfRule>
    <cfRule type="expression" dxfId="2632" priority="88">
      <formula>B$9&lt;8/24</formula>
    </cfRule>
  </conditionalFormatting>
  <conditionalFormatting sqref="B35:V35">
    <cfRule type="expression" dxfId="2631" priority="81">
      <formula>B$9&gt;=20/24</formula>
    </cfRule>
    <cfRule type="expression" dxfId="2630" priority="82">
      <formula>AND(B$9&gt;=14/24,B$9&lt;20/24)</formula>
    </cfRule>
    <cfRule type="expression" dxfId="2629" priority="83">
      <formula>AND(B$9&gt;=8/24,B$9&lt;14/24)</formula>
    </cfRule>
    <cfRule type="expression" dxfId="2628" priority="84">
      <formula>B$9&lt;8/24</formula>
    </cfRule>
  </conditionalFormatting>
  <conditionalFormatting sqref="B33:M33">
    <cfRule type="expression" dxfId="2627" priority="77">
      <formula>B$9&gt;=20/24</formula>
    </cfRule>
    <cfRule type="expression" dxfId="2626" priority="78">
      <formula>AND(B$9&gt;=14/24,B$9&lt;20/24)</formula>
    </cfRule>
    <cfRule type="expression" dxfId="2625" priority="79">
      <formula>AND(B$9&gt;=8/24,B$9&lt;14/24)</formula>
    </cfRule>
    <cfRule type="expression" dxfId="2624" priority="80">
      <formula>B$9&lt;8/24</formula>
    </cfRule>
  </conditionalFormatting>
  <conditionalFormatting sqref="B33:M33">
    <cfRule type="expression" dxfId="2623" priority="76">
      <formula>B33&gt;$AG33</formula>
    </cfRule>
  </conditionalFormatting>
  <conditionalFormatting sqref="B12:F16 G14:M16">
    <cfRule type="expression" dxfId="2622" priority="72">
      <formula>B$9&gt;=20/24</formula>
    </cfRule>
    <cfRule type="expression" dxfId="2621" priority="73">
      <formula>AND(B$9&gt;=14/24,B$9&lt;20/24)</formula>
    </cfRule>
    <cfRule type="expression" dxfId="2620" priority="74">
      <formula>AND(B$9&gt;=8/24,B$9&lt;14/24)</formula>
    </cfRule>
    <cfRule type="expression" dxfId="2619" priority="75">
      <formula>B$9&lt;8/24</formula>
    </cfRule>
  </conditionalFormatting>
  <conditionalFormatting sqref="B17:M17">
    <cfRule type="expression" dxfId="2618" priority="68">
      <formula>B$9&gt;=20/24</formula>
    </cfRule>
    <cfRule type="expression" dxfId="2617" priority="69">
      <formula>AND(B$9&gt;=14/24,B$9&lt;20/24)</formula>
    </cfRule>
    <cfRule type="expression" dxfId="2616" priority="70">
      <formula>AND(B$9&gt;=8/24,B$9&lt;14/24)</formula>
    </cfRule>
    <cfRule type="expression" dxfId="2615" priority="71">
      <formula>B$9&lt;8/24</formula>
    </cfRule>
  </conditionalFormatting>
  <conditionalFormatting sqref="B12:F13">
    <cfRule type="expression" dxfId="2614" priority="64">
      <formula>B$9&gt;=20/24</formula>
    </cfRule>
    <cfRule type="expression" dxfId="2613" priority="65">
      <formula>AND(B$9&gt;=14/24,B$9&lt;20/24)</formula>
    </cfRule>
    <cfRule type="expression" dxfId="2612" priority="66">
      <formula>AND(B$9&gt;=8/24,B$9&lt;14/24)</formula>
    </cfRule>
    <cfRule type="expression" dxfId="2611" priority="67">
      <formula>B$9&lt;8/24</formula>
    </cfRule>
  </conditionalFormatting>
  <conditionalFormatting sqref="B39:E41">
    <cfRule type="expression" dxfId="2610" priority="60">
      <formula>B$9&gt;=20/24</formula>
    </cfRule>
    <cfRule type="expression" dxfId="2609" priority="61">
      <formula>AND(B$9&gt;=14/24,B$9&lt;20/24)</formula>
    </cfRule>
    <cfRule type="expression" dxfId="2608" priority="62">
      <formula>AND(B$9&gt;=8/24,B$9&lt;14/24)</formula>
    </cfRule>
    <cfRule type="expression" dxfId="2607" priority="63">
      <formula>B$9&lt;8/24</formula>
    </cfRule>
  </conditionalFormatting>
  <conditionalFormatting sqref="B38:E38">
    <cfRule type="expression" dxfId="2606" priority="56">
      <formula>B$9&gt;=20/24</formula>
    </cfRule>
    <cfRule type="expression" dxfId="2605" priority="57">
      <formula>AND(B$9&gt;=14/24,B$9&lt;20/24)</formula>
    </cfRule>
    <cfRule type="expression" dxfId="2604" priority="58">
      <formula>AND(B$9&gt;=8/24,B$9&lt;14/24)</formula>
    </cfRule>
    <cfRule type="expression" dxfId="2603" priority="59">
      <formula>B$9&lt;8/24</formula>
    </cfRule>
  </conditionalFormatting>
  <conditionalFormatting sqref="B42:E42 B44:E47 F45:H47">
    <cfRule type="expression" dxfId="2602" priority="52">
      <formula>B$9&gt;=20/24</formula>
    </cfRule>
    <cfRule type="expression" dxfId="2601" priority="53">
      <formula>AND(B$9&gt;=14/24,B$9&lt;20/24)</formula>
    </cfRule>
    <cfRule type="expression" dxfId="2600" priority="54">
      <formula>AND(B$9&gt;=8/24,B$9&lt;14/24)</formula>
    </cfRule>
    <cfRule type="expression" dxfId="2599" priority="55">
      <formula>B$9&lt;8/24</formula>
    </cfRule>
  </conditionalFormatting>
  <conditionalFormatting sqref="B48:H48">
    <cfRule type="expression" dxfId="2598" priority="48">
      <formula>B$9&gt;=20/24</formula>
    </cfRule>
    <cfRule type="expression" dxfId="2597" priority="49">
      <formula>AND(B$9&gt;=14/24,B$9&lt;20/24)</formula>
    </cfRule>
    <cfRule type="expression" dxfId="2596" priority="50">
      <formula>AND(B$9&gt;=8/24,B$9&lt;14/24)</formula>
    </cfRule>
    <cfRule type="expression" dxfId="2595" priority="51">
      <formula>B$9&lt;8/24</formula>
    </cfRule>
  </conditionalFormatting>
  <conditionalFormatting sqref="B49:H49">
    <cfRule type="expression" dxfId="2594" priority="44">
      <formula>B$9&gt;=20/24</formula>
    </cfRule>
    <cfRule type="expression" dxfId="2593" priority="45">
      <formula>AND(B$9&gt;=14/24,B$9&lt;20/24)</formula>
    </cfRule>
    <cfRule type="expression" dxfId="2592" priority="46">
      <formula>AND(B$9&gt;=8/24,B$9&lt;14/24)</formula>
    </cfRule>
    <cfRule type="expression" dxfId="2591" priority="47">
      <formula>B$9&lt;8/24</formula>
    </cfRule>
  </conditionalFormatting>
  <conditionalFormatting sqref="B44:E49 B38:E42 F45:H49">
    <cfRule type="expression" dxfId="2590" priority="43">
      <formula>B38&gt;$AG38</formula>
    </cfRule>
  </conditionalFormatting>
  <conditionalFormatting sqref="B43:E43">
    <cfRule type="expression" dxfId="2589" priority="39">
      <formula>B$9&gt;=20/24</formula>
    </cfRule>
    <cfRule type="expression" dxfId="2588" priority="40">
      <formula>AND(B$9&gt;=14/24,B$9&lt;20/24)</formula>
    </cfRule>
    <cfRule type="expression" dxfId="2587" priority="41">
      <formula>AND(B$9&gt;=8/24,B$9&lt;14/24)</formula>
    </cfRule>
    <cfRule type="expression" dxfId="2586" priority="42">
      <formula>B$9&lt;8/24</formula>
    </cfRule>
  </conditionalFormatting>
  <conditionalFormatting sqref="B43:E43">
    <cfRule type="expression" dxfId="2585" priority="38">
      <formula>B43&gt;$AG43</formula>
    </cfRule>
  </conditionalFormatting>
  <conditionalFormatting sqref="B56:K56">
    <cfRule type="expression" dxfId="2584" priority="34">
      <formula>B$9&gt;=20/24</formula>
    </cfRule>
    <cfRule type="expression" dxfId="2583" priority="35">
      <formula>AND(B$9&gt;=14/24,B$9&lt;20/24)</formula>
    </cfRule>
    <cfRule type="expression" dxfId="2582" priority="36">
      <formula>AND(B$9&gt;=8/24,B$9&lt;14/24)</formula>
    </cfRule>
    <cfRule type="expression" dxfId="2581" priority="37">
      <formula>B$9&lt;8/24</formula>
    </cfRule>
  </conditionalFormatting>
  <conditionalFormatting sqref="B59:K66">
    <cfRule type="expression" dxfId="2580" priority="30">
      <formula>B$9&gt;=20/24</formula>
    </cfRule>
    <cfRule type="expression" dxfId="2579" priority="31">
      <formula>AND(B$9&gt;=14/24,B$9&lt;20/24)</formula>
    </cfRule>
    <cfRule type="expression" dxfId="2578" priority="32">
      <formula>AND(B$9&gt;=8/24,B$9&lt;14/24)</formula>
    </cfRule>
    <cfRule type="expression" dxfId="2577" priority="33">
      <formula>B$9&lt;8/24</formula>
    </cfRule>
  </conditionalFormatting>
  <conditionalFormatting sqref="B57:K58">
    <cfRule type="expression" dxfId="2576" priority="26">
      <formula>B$9&gt;=20/24</formula>
    </cfRule>
    <cfRule type="expression" dxfId="2575" priority="27">
      <formula>AND(B$9&gt;=14/24,B$9&lt;20/24)</formula>
    </cfRule>
    <cfRule type="expression" dxfId="2574" priority="28">
      <formula>AND(B$9&gt;=8/24,B$9&lt;14/24)</formula>
    </cfRule>
    <cfRule type="expression" dxfId="2573" priority="29">
      <formula>B$9&lt;8/24</formula>
    </cfRule>
  </conditionalFormatting>
  <conditionalFormatting sqref="B83:E90">
    <cfRule type="expression" dxfId="2572" priority="22">
      <formula>B$9&gt;=20/24</formula>
    </cfRule>
    <cfRule type="expression" dxfId="2571" priority="23">
      <formula>AND(B$9&gt;=14/24,B$9&lt;20/24)</formula>
    </cfRule>
    <cfRule type="expression" dxfId="2570" priority="24">
      <formula>AND(B$9&gt;=8/24,B$9&lt;14/24)</formula>
    </cfRule>
    <cfRule type="expression" dxfId="2569" priority="25">
      <formula>B$9&lt;8/24</formula>
    </cfRule>
  </conditionalFormatting>
  <conditionalFormatting sqref="B93:B96">
    <cfRule type="expression" dxfId="2568" priority="18">
      <formula>B$9&gt;=20/24</formula>
    </cfRule>
    <cfRule type="expression" dxfId="2567" priority="19">
      <formula>AND(B$9&gt;=14/24,B$9&lt;20/24)</formula>
    </cfRule>
    <cfRule type="expression" dxfId="2566" priority="20">
      <formula>AND(B$9&gt;=8/24,B$9&lt;14/24)</formula>
    </cfRule>
    <cfRule type="expression" dxfId="2565" priority="21">
      <formula>B$9&lt;8/24</formula>
    </cfRule>
  </conditionalFormatting>
  <conditionalFormatting sqref="B97">
    <cfRule type="expression" dxfId="2564" priority="14">
      <formula>B$9&gt;=20/24</formula>
    </cfRule>
    <cfRule type="expression" dxfId="2563" priority="15">
      <formula>AND(B$9&gt;=14/24,B$9&lt;20/24)</formula>
    </cfRule>
    <cfRule type="expression" dxfId="2562" priority="16">
      <formula>AND(B$9&gt;=8/24,B$9&lt;14/24)</formula>
    </cfRule>
    <cfRule type="expression" dxfId="2561" priority="17">
      <formula>B$9&lt;8/24</formula>
    </cfRule>
  </conditionalFormatting>
  <conditionalFormatting sqref="B98">
    <cfRule type="expression" dxfId="2560" priority="10">
      <formula>B$9&gt;=20/24</formula>
    </cfRule>
    <cfRule type="expression" dxfId="2559" priority="11">
      <formula>AND(B$9&gt;=14/24,B$9&lt;20/24)</formula>
    </cfRule>
    <cfRule type="expression" dxfId="2558" priority="12">
      <formula>AND(B$9&gt;=8/24,B$9&lt;14/24)</formula>
    </cfRule>
    <cfRule type="expression" dxfId="2557" priority="13">
      <formula>B$9&lt;8/24</formula>
    </cfRule>
  </conditionalFormatting>
  <conditionalFormatting sqref="L11:M13">
    <cfRule type="expression" dxfId="2556" priority="6">
      <formula>L$9&gt;=20/24</formula>
    </cfRule>
    <cfRule type="expression" dxfId="2555" priority="7">
      <formula>AND(L$9&gt;=14/24,L$9&lt;20/24)</formula>
    </cfRule>
    <cfRule type="expression" dxfId="2554" priority="8">
      <formula>AND(L$9&gt;=8/24,L$9&lt;14/24)</formula>
    </cfRule>
    <cfRule type="expression" dxfId="2553" priority="9">
      <formula>L$9&lt;8/24</formula>
    </cfRule>
  </conditionalFormatting>
  <conditionalFormatting sqref="L11:M13">
    <cfRule type="expression" dxfId="2552" priority="5">
      <formula>L11&gt;$AG11</formula>
    </cfRule>
  </conditionalFormatting>
  <conditionalFormatting sqref="W84:W90">
    <cfRule type="expression" dxfId="2551" priority="1">
      <formula>W$9&gt;=20/24</formula>
    </cfRule>
    <cfRule type="expression" dxfId="2550" priority="2">
      <formula>AND(W$9&gt;=14/24,W$9&lt;20/24)</formula>
    </cfRule>
    <cfRule type="expression" dxfId="2549" priority="3">
      <formula>AND(W$9&gt;=8/24,W$9&lt;14/24)</formula>
    </cfRule>
    <cfRule type="expression" dxfId="2548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39" sqref="AK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2078/07/25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-84.5</v>
      </c>
      <c r="C5" s="32">
        <f t="shared" ref="C5:AF5" si="0">C67</f>
        <v>-110</v>
      </c>
      <c r="D5" s="32">
        <f t="shared" si="0"/>
        <v>-102.5</v>
      </c>
      <c r="E5" s="32">
        <f t="shared" si="0"/>
        <v>-96</v>
      </c>
      <c r="F5" s="32">
        <f t="shared" si="0"/>
        <v>-56</v>
      </c>
      <c r="G5" s="32">
        <f t="shared" si="0"/>
        <v>-56</v>
      </c>
      <c r="H5" s="32">
        <f t="shared" si="0"/>
        <v>-50</v>
      </c>
      <c r="I5" s="32">
        <f t="shared" si="0"/>
        <v>-82.6</v>
      </c>
      <c r="J5" s="32">
        <f t="shared" si="0"/>
        <v>-44</v>
      </c>
      <c r="K5" s="32">
        <f t="shared" si="0"/>
        <v>-47</v>
      </c>
      <c r="L5" s="32">
        <f t="shared" si="0"/>
        <v>-76.5</v>
      </c>
      <c r="M5" s="32">
        <f t="shared" si="0"/>
        <v>-36.299999999999997</v>
      </c>
      <c r="N5" s="32">
        <f t="shared" si="0"/>
        <v>-52.8</v>
      </c>
      <c r="O5" s="32">
        <f t="shared" si="0"/>
        <v>-51.6</v>
      </c>
      <c r="P5" s="32">
        <f t="shared" si="0"/>
        <v>-58.6</v>
      </c>
      <c r="Q5" s="32">
        <f t="shared" si="0"/>
        <v>-44.4</v>
      </c>
      <c r="R5" s="32">
        <f t="shared" si="0"/>
        <v>-47.9</v>
      </c>
      <c r="S5" s="32">
        <f t="shared" si="0"/>
        <v>-58.3</v>
      </c>
      <c r="T5" s="32">
        <f t="shared" si="0"/>
        <v>-44.5</v>
      </c>
      <c r="U5" s="32">
        <f t="shared" si="0"/>
        <v>-53</v>
      </c>
      <c r="V5" s="32">
        <f t="shared" si="0"/>
        <v>-57.9</v>
      </c>
      <c r="W5" s="32">
        <f t="shared" si="0"/>
        <v>-40</v>
      </c>
      <c r="X5" s="32">
        <f t="shared" si="0"/>
        <v>-51.7</v>
      </c>
      <c r="Y5" s="32">
        <f t="shared" si="0"/>
        <v>-41</v>
      </c>
      <c r="Z5" s="32">
        <f t="shared" si="0"/>
        <v>-50</v>
      </c>
      <c r="AA5" s="32">
        <f t="shared" si="0"/>
        <v>-61.7</v>
      </c>
      <c r="AB5" s="32">
        <f t="shared" si="0"/>
        <v>-46.4</v>
      </c>
      <c r="AC5" s="32">
        <f t="shared" si="0"/>
        <v>-55.1</v>
      </c>
      <c r="AD5" s="32">
        <f t="shared" si="0"/>
        <v>-45</v>
      </c>
      <c r="AE5" s="32">
        <f t="shared" si="0"/>
        <v>-52</v>
      </c>
      <c r="AF5" s="32">
        <f t="shared" si="0"/>
        <v>-72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941MW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Load=642</v>
      </c>
      <c r="B7" s="37">
        <f t="shared" ref="B7:AF7" si="1">B74</f>
        <v>667.54</v>
      </c>
      <c r="C7" s="37">
        <f t="shared" si="1"/>
        <v>642.04</v>
      </c>
      <c r="D7" s="37">
        <f t="shared" si="1"/>
        <v>649.24</v>
      </c>
      <c r="E7" s="37">
        <f t="shared" si="1"/>
        <v>655.64</v>
      </c>
      <c r="F7" s="37">
        <f t="shared" si="1"/>
        <v>731.64</v>
      </c>
      <c r="G7" s="37">
        <f t="shared" si="1"/>
        <v>731.64</v>
      </c>
      <c r="H7" s="37">
        <f t="shared" si="1"/>
        <v>822.93999999999994</v>
      </c>
      <c r="I7" s="37">
        <f t="shared" si="1"/>
        <v>848.44</v>
      </c>
      <c r="J7" s="37">
        <f t="shared" si="1"/>
        <v>905.54</v>
      </c>
      <c r="K7" s="37">
        <f t="shared" si="1"/>
        <v>939.54</v>
      </c>
      <c r="L7" s="37">
        <f>L74</f>
        <v>940.64</v>
      </c>
      <c r="M7" s="37">
        <f t="shared" si="1"/>
        <v>910.24</v>
      </c>
      <c r="N7" s="37">
        <f t="shared" si="1"/>
        <v>896.7399999999999</v>
      </c>
      <c r="O7" s="37">
        <f t="shared" si="1"/>
        <v>873.63999999999987</v>
      </c>
      <c r="P7" s="37">
        <f t="shared" si="1"/>
        <v>833.63999999999987</v>
      </c>
      <c r="Q7" s="37">
        <f t="shared" si="1"/>
        <v>862.93999999999994</v>
      </c>
      <c r="R7" s="37">
        <f t="shared" si="1"/>
        <v>877.93999999999994</v>
      </c>
      <c r="S7" s="37">
        <f t="shared" si="1"/>
        <v>857.74</v>
      </c>
      <c r="T7" s="37">
        <f t="shared" si="1"/>
        <v>855.03999999999985</v>
      </c>
      <c r="U7" s="37">
        <f t="shared" si="1"/>
        <v>956.7399999999999</v>
      </c>
      <c r="V7" s="37">
        <f t="shared" si="1"/>
        <v>1115.94</v>
      </c>
      <c r="W7" s="37">
        <f t="shared" si="1"/>
        <v>1263.04</v>
      </c>
      <c r="X7" s="37">
        <f t="shared" si="1"/>
        <v>1186.0400000000002</v>
      </c>
      <c r="Y7" s="37">
        <f t="shared" si="1"/>
        <v>1129.54</v>
      </c>
      <c r="Z7" s="37">
        <f t="shared" si="1"/>
        <v>1058.54</v>
      </c>
      <c r="AA7" s="37">
        <f t="shared" si="1"/>
        <v>1023.3399999999999</v>
      </c>
      <c r="AB7" s="37">
        <f t="shared" si="1"/>
        <v>968.74</v>
      </c>
      <c r="AC7" s="37">
        <f t="shared" si="1"/>
        <v>895.74</v>
      </c>
      <c r="AD7" s="37">
        <f t="shared" si="1"/>
        <v>779.33999999999992</v>
      </c>
      <c r="AE7" s="37">
        <f t="shared" si="1"/>
        <v>747.14</v>
      </c>
      <c r="AF7" s="37">
        <f t="shared" si="1"/>
        <v>727.74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60</v>
      </c>
      <c r="C11" s="49">
        <v>60</v>
      </c>
      <c r="D11" s="49">
        <v>60</v>
      </c>
      <c r="E11" s="49">
        <v>60</v>
      </c>
      <c r="F11" s="49">
        <v>60</v>
      </c>
      <c r="G11" s="49">
        <v>60</v>
      </c>
      <c r="H11" s="49">
        <v>60</v>
      </c>
      <c r="I11" s="49">
        <v>80</v>
      </c>
      <c r="J11" s="49">
        <v>100</v>
      </c>
      <c r="K11" s="49">
        <v>120</v>
      </c>
      <c r="L11" s="50">
        <v>120</v>
      </c>
      <c r="M11" s="50">
        <v>105</v>
      </c>
      <c r="N11" s="50">
        <v>100</v>
      </c>
      <c r="O11" s="50">
        <v>100</v>
      </c>
      <c r="P11" s="50">
        <v>100</v>
      </c>
      <c r="Q11" s="50">
        <v>120</v>
      </c>
      <c r="R11" s="52">
        <v>120</v>
      </c>
      <c r="S11" s="52">
        <v>110</v>
      </c>
      <c r="T11" s="52">
        <v>110</v>
      </c>
      <c r="U11" s="52">
        <v>120</v>
      </c>
      <c r="V11" s="52">
        <v>180</v>
      </c>
      <c r="W11" s="52">
        <v>280</v>
      </c>
      <c r="X11" s="52">
        <v>260</v>
      </c>
      <c r="Y11" s="53">
        <v>200</v>
      </c>
      <c r="Z11" s="54">
        <v>200</v>
      </c>
      <c r="AA11" s="54">
        <v>170</v>
      </c>
      <c r="AB11" s="54">
        <v>110</v>
      </c>
      <c r="AC11" s="54">
        <v>80</v>
      </c>
      <c r="AD11" s="54">
        <v>60</v>
      </c>
      <c r="AE11" s="54">
        <v>60</v>
      </c>
      <c r="AF11" s="54">
        <v>60</v>
      </c>
      <c r="AG11" s="55">
        <v>456</v>
      </c>
      <c r="AH11" s="56">
        <f>MAX(B11:AF11)</f>
        <v>280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40</v>
      </c>
      <c r="C12" s="49">
        <v>40</v>
      </c>
      <c r="D12" s="49">
        <v>40</v>
      </c>
      <c r="E12" s="49">
        <v>40</v>
      </c>
      <c r="F12" s="49">
        <v>40</v>
      </c>
      <c r="G12" s="49">
        <v>40</v>
      </c>
      <c r="H12" s="49">
        <v>40</v>
      </c>
      <c r="I12" s="49">
        <v>40</v>
      </c>
      <c r="J12" s="49">
        <v>40</v>
      </c>
      <c r="K12" s="49">
        <v>40</v>
      </c>
      <c r="L12" s="50">
        <v>50</v>
      </c>
      <c r="M12" s="50">
        <v>50</v>
      </c>
      <c r="N12" s="49">
        <v>50</v>
      </c>
      <c r="O12" s="49">
        <v>50</v>
      </c>
      <c r="P12" s="49">
        <v>60</v>
      </c>
      <c r="Q12" s="49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50">
        <v>60</v>
      </c>
      <c r="AA12" s="50">
        <v>60</v>
      </c>
      <c r="AB12" s="50">
        <v>60</v>
      </c>
      <c r="AC12" s="50">
        <v>60</v>
      </c>
      <c r="AD12" s="50">
        <v>40</v>
      </c>
      <c r="AE12" s="50">
        <v>60</v>
      </c>
      <c r="AF12" s="50">
        <v>60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20</v>
      </c>
      <c r="C13" s="49">
        <v>20</v>
      </c>
      <c r="D13" s="49">
        <v>20</v>
      </c>
      <c r="E13" s="49">
        <v>20</v>
      </c>
      <c r="F13" s="49">
        <v>20</v>
      </c>
      <c r="G13" s="49">
        <v>20</v>
      </c>
      <c r="H13" s="49">
        <v>20</v>
      </c>
      <c r="I13" s="49">
        <v>42</v>
      </c>
      <c r="J13" s="49">
        <v>42</v>
      </c>
      <c r="K13" s="49">
        <v>42</v>
      </c>
      <c r="L13" s="50">
        <v>42</v>
      </c>
      <c r="M13" s="50">
        <v>42</v>
      </c>
      <c r="N13" s="49">
        <v>42</v>
      </c>
      <c r="O13" s="49">
        <v>42</v>
      </c>
      <c r="P13" s="49">
        <v>42</v>
      </c>
      <c r="Q13" s="49">
        <v>42</v>
      </c>
      <c r="R13" s="49">
        <v>42</v>
      </c>
      <c r="S13" s="60">
        <v>42</v>
      </c>
      <c r="T13" s="60">
        <v>42</v>
      </c>
      <c r="U13" s="60">
        <v>42</v>
      </c>
      <c r="V13" s="60">
        <v>42</v>
      </c>
      <c r="W13" s="60">
        <v>42</v>
      </c>
      <c r="X13" s="60">
        <v>42</v>
      </c>
      <c r="Y13" s="60">
        <v>42</v>
      </c>
      <c r="Z13" s="50">
        <v>42</v>
      </c>
      <c r="AA13" s="50">
        <v>42</v>
      </c>
      <c r="AB13" s="50">
        <v>42</v>
      </c>
      <c r="AC13" s="50">
        <v>42</v>
      </c>
      <c r="AD13" s="50">
        <v>42</v>
      </c>
      <c r="AE13" s="50">
        <v>42</v>
      </c>
      <c r="AF13" s="50">
        <v>42</v>
      </c>
      <c r="AG13" s="61">
        <v>52.4</v>
      </c>
      <c r="AH13" s="56">
        <f t="shared" si="2"/>
        <v>42</v>
      </c>
      <c r="AI13" s="57">
        <f t="shared" si="3"/>
        <v>20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25.4</v>
      </c>
      <c r="C14" s="49">
        <v>25.4</v>
      </c>
      <c r="D14" s="49">
        <v>25.4</v>
      </c>
      <c r="E14" s="49">
        <v>25.4</v>
      </c>
      <c r="F14" s="49">
        <v>25.4</v>
      </c>
      <c r="G14" s="49">
        <v>25.4</v>
      </c>
      <c r="H14" s="49">
        <v>25.4</v>
      </c>
      <c r="I14" s="49">
        <v>25.4</v>
      </c>
      <c r="J14" s="49">
        <v>25.4</v>
      </c>
      <c r="K14" s="49">
        <v>25.4</v>
      </c>
      <c r="L14" s="50">
        <v>25.4</v>
      </c>
      <c r="M14" s="50">
        <v>25.4</v>
      </c>
      <c r="N14" s="50">
        <v>25.4</v>
      </c>
      <c r="O14" s="50">
        <v>25.4</v>
      </c>
      <c r="P14" s="50">
        <v>25.4</v>
      </c>
      <c r="Q14" s="50">
        <v>25.4</v>
      </c>
      <c r="R14" s="50">
        <v>25.4</v>
      </c>
      <c r="S14" s="50">
        <v>25.4</v>
      </c>
      <c r="T14" s="62">
        <v>0</v>
      </c>
      <c r="U14" s="62">
        <v>25</v>
      </c>
      <c r="V14" s="62">
        <v>25</v>
      </c>
      <c r="W14" s="62">
        <v>25</v>
      </c>
      <c r="X14" s="62">
        <v>25</v>
      </c>
      <c r="Y14" s="62">
        <v>25</v>
      </c>
      <c r="Z14" s="50">
        <v>25</v>
      </c>
      <c r="AA14" s="50">
        <v>25</v>
      </c>
      <c r="AB14" s="50">
        <v>25</v>
      </c>
      <c r="AC14" s="50">
        <v>25</v>
      </c>
      <c r="AD14" s="50">
        <v>25</v>
      </c>
      <c r="AE14" s="50">
        <v>25</v>
      </c>
      <c r="AF14" s="50">
        <v>25.4</v>
      </c>
      <c r="AG14" s="61">
        <v>50</v>
      </c>
      <c r="AH14" s="56">
        <f t="shared" si="2"/>
        <v>25.4</v>
      </c>
      <c r="AI14" s="57">
        <f t="shared" si="3"/>
        <v>0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37.200000000000003</v>
      </c>
      <c r="C15" s="63">
        <v>37.200000000000003</v>
      </c>
      <c r="D15" s="63">
        <v>37.200000000000003</v>
      </c>
      <c r="E15" s="63">
        <v>37.200000000000003</v>
      </c>
      <c r="F15" s="63">
        <v>37.200000000000003</v>
      </c>
      <c r="G15" s="63">
        <v>37.200000000000003</v>
      </c>
      <c r="H15" s="63">
        <v>37.200000000000003</v>
      </c>
      <c r="I15" s="63">
        <v>37.200000000000003</v>
      </c>
      <c r="J15" s="63">
        <v>37.200000000000003</v>
      </c>
      <c r="K15" s="63">
        <v>37.200000000000003</v>
      </c>
      <c r="L15" s="50">
        <v>41.7</v>
      </c>
      <c r="M15" s="50">
        <v>41.7</v>
      </c>
      <c r="N15" s="50">
        <v>41</v>
      </c>
      <c r="O15" s="50">
        <v>41</v>
      </c>
      <c r="P15" s="50">
        <v>41</v>
      </c>
      <c r="Q15" s="50">
        <v>41</v>
      </c>
      <c r="R15" s="50">
        <v>41</v>
      </c>
      <c r="S15" s="50">
        <v>41</v>
      </c>
      <c r="T15" s="62">
        <v>41.7</v>
      </c>
      <c r="U15" s="62">
        <v>41.7</v>
      </c>
      <c r="V15" s="62">
        <v>41.8</v>
      </c>
      <c r="W15" s="62">
        <v>41.8</v>
      </c>
      <c r="X15" s="62">
        <v>41.8</v>
      </c>
      <c r="Y15" s="62">
        <v>41.8</v>
      </c>
      <c r="Z15" s="50">
        <v>41.7</v>
      </c>
      <c r="AA15" s="50">
        <v>41.7</v>
      </c>
      <c r="AB15" s="50">
        <v>41.7</v>
      </c>
      <c r="AC15" s="50">
        <v>41.7</v>
      </c>
      <c r="AD15" s="50">
        <v>41.8</v>
      </c>
      <c r="AE15" s="50">
        <v>41.8</v>
      </c>
      <c r="AF15" s="50">
        <v>41.8</v>
      </c>
      <c r="AG15" s="64">
        <v>45</v>
      </c>
      <c r="AH15" s="56">
        <f t="shared" si="2"/>
        <v>41.8</v>
      </c>
      <c r="AI15" s="57">
        <f t="shared" si="3"/>
        <v>37.200000000000003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23</v>
      </c>
      <c r="J16" s="49">
        <v>23</v>
      </c>
      <c r="K16" s="49">
        <v>23</v>
      </c>
      <c r="L16" s="50">
        <v>23</v>
      </c>
      <c r="M16" s="50">
        <v>23</v>
      </c>
      <c r="N16" s="50">
        <v>23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65">
        <v>0</v>
      </c>
      <c r="U16" s="65">
        <v>23</v>
      </c>
      <c r="V16" s="65">
        <v>23</v>
      </c>
      <c r="W16" s="65">
        <v>23</v>
      </c>
      <c r="X16" s="65">
        <v>23</v>
      </c>
      <c r="Y16" s="65">
        <v>23</v>
      </c>
      <c r="Z16" s="50">
        <v>23</v>
      </c>
      <c r="AA16" s="50">
        <v>23</v>
      </c>
      <c r="AB16" s="50">
        <v>23</v>
      </c>
      <c r="AC16" s="50">
        <v>23</v>
      </c>
      <c r="AD16" s="50">
        <v>23</v>
      </c>
      <c r="AE16" s="50">
        <v>23</v>
      </c>
      <c r="AF16" s="50">
        <v>23</v>
      </c>
      <c r="AG16" s="61">
        <v>45</v>
      </c>
      <c r="AH16" s="56">
        <f t="shared" si="2"/>
        <v>23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23</v>
      </c>
      <c r="C17" s="49">
        <v>23</v>
      </c>
      <c r="D17" s="49">
        <v>23</v>
      </c>
      <c r="E17" s="49">
        <v>23</v>
      </c>
      <c r="F17" s="49">
        <v>23</v>
      </c>
      <c r="G17" s="49">
        <v>23</v>
      </c>
      <c r="H17" s="49">
        <v>23</v>
      </c>
      <c r="I17" s="49">
        <v>23</v>
      </c>
      <c r="J17" s="49">
        <v>23</v>
      </c>
      <c r="K17" s="49">
        <v>23</v>
      </c>
      <c r="L17" s="50">
        <v>23</v>
      </c>
      <c r="M17" s="50">
        <v>23</v>
      </c>
      <c r="N17" s="50">
        <v>23</v>
      </c>
      <c r="O17" s="50">
        <v>23</v>
      </c>
      <c r="P17" s="50">
        <v>23</v>
      </c>
      <c r="Q17" s="50">
        <v>23</v>
      </c>
      <c r="R17" s="50">
        <v>23</v>
      </c>
      <c r="S17" s="50">
        <v>23</v>
      </c>
      <c r="T17" s="50">
        <v>23</v>
      </c>
      <c r="U17" s="50">
        <v>23</v>
      </c>
      <c r="V17" s="62">
        <v>23</v>
      </c>
      <c r="W17" s="62">
        <v>23</v>
      </c>
      <c r="X17" s="62">
        <v>23</v>
      </c>
      <c r="Y17" s="62">
        <v>23</v>
      </c>
      <c r="Z17" s="50">
        <v>23</v>
      </c>
      <c r="AA17" s="50">
        <v>23</v>
      </c>
      <c r="AB17" s="50">
        <v>23</v>
      </c>
      <c r="AC17" s="50">
        <v>23</v>
      </c>
      <c r="AD17" s="50">
        <v>23</v>
      </c>
      <c r="AE17" s="50">
        <v>23</v>
      </c>
      <c r="AF17" s="50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23.8</v>
      </c>
      <c r="C19" s="49">
        <v>23.8</v>
      </c>
      <c r="D19" s="49">
        <v>23.8</v>
      </c>
      <c r="E19" s="49">
        <v>23.8</v>
      </c>
      <c r="F19" s="49">
        <v>23.8</v>
      </c>
      <c r="G19" s="49">
        <v>23.8</v>
      </c>
      <c r="H19" s="49">
        <v>23.8</v>
      </c>
      <c r="I19" s="49">
        <v>23.8</v>
      </c>
      <c r="J19" s="49">
        <v>23.8</v>
      </c>
      <c r="K19" s="49">
        <v>23.8</v>
      </c>
      <c r="L19" s="50">
        <v>23.8</v>
      </c>
      <c r="M19" s="50">
        <v>23.8</v>
      </c>
      <c r="N19" s="50">
        <v>23.8</v>
      </c>
      <c r="O19" s="50">
        <v>23.8</v>
      </c>
      <c r="P19" s="50">
        <v>23.8</v>
      </c>
      <c r="Q19" s="50">
        <v>23.8</v>
      </c>
      <c r="R19" s="50">
        <v>23.8</v>
      </c>
      <c r="S19" s="50">
        <v>23.8</v>
      </c>
      <c r="T19" s="50">
        <v>23.8</v>
      </c>
      <c r="U19" s="50">
        <v>23.8</v>
      </c>
      <c r="V19" s="50">
        <v>23.8</v>
      </c>
      <c r="W19" s="50">
        <v>23.8</v>
      </c>
      <c r="X19" s="50">
        <v>23.8</v>
      </c>
      <c r="Y19" s="50">
        <v>23.8</v>
      </c>
      <c r="Z19" s="50">
        <v>23.8</v>
      </c>
      <c r="AA19" s="50">
        <v>23.8</v>
      </c>
      <c r="AB19" s="50">
        <v>23.8</v>
      </c>
      <c r="AC19" s="50">
        <v>23.8</v>
      </c>
      <c r="AD19" s="50">
        <v>23.8</v>
      </c>
      <c r="AE19" s="50">
        <v>23.8</v>
      </c>
      <c r="AF19" s="50">
        <v>23.8</v>
      </c>
      <c r="AG19" s="61">
        <v>30</v>
      </c>
      <c r="AH19" s="56">
        <f t="shared" si="2"/>
        <v>23.8</v>
      </c>
      <c r="AI19" s="57">
        <f t="shared" si="3"/>
        <v>23.8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84">
        <v>22</v>
      </c>
      <c r="S22" s="84">
        <v>22</v>
      </c>
      <c r="T22" s="84">
        <v>22</v>
      </c>
      <c r="U22" s="84">
        <v>22</v>
      </c>
      <c r="V22" s="50">
        <v>23.7</v>
      </c>
      <c r="W22" s="50">
        <v>23.7</v>
      </c>
      <c r="X22" s="50">
        <v>23.7</v>
      </c>
      <c r="Y22" s="50">
        <v>23.7</v>
      </c>
      <c r="Z22" s="50">
        <v>23.3</v>
      </c>
      <c r="AA22" s="50">
        <v>23.3</v>
      </c>
      <c r="AB22" s="50">
        <v>23.3</v>
      </c>
      <c r="AC22" s="50">
        <v>23.3</v>
      </c>
      <c r="AD22" s="50">
        <v>23.3</v>
      </c>
      <c r="AE22" s="50">
        <v>23.3</v>
      </c>
      <c r="AF22" s="50">
        <v>23.3</v>
      </c>
      <c r="AG22" s="61">
        <v>25</v>
      </c>
      <c r="AH22" s="56">
        <f t="shared" si="2"/>
        <v>23.7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13</v>
      </c>
      <c r="C23" s="49">
        <v>13</v>
      </c>
      <c r="D23" s="49">
        <v>13</v>
      </c>
      <c r="E23" s="49">
        <v>13</v>
      </c>
      <c r="F23" s="49">
        <v>13</v>
      </c>
      <c r="G23" s="49">
        <v>13</v>
      </c>
      <c r="H23" s="49">
        <v>13</v>
      </c>
      <c r="I23" s="49">
        <v>13</v>
      </c>
      <c r="J23" s="49">
        <v>13</v>
      </c>
      <c r="K23" s="49">
        <v>13</v>
      </c>
      <c r="L23" s="211">
        <v>13</v>
      </c>
      <c r="M23" s="211">
        <v>13</v>
      </c>
      <c r="N23" s="211">
        <v>13</v>
      </c>
      <c r="O23" s="211">
        <v>13</v>
      </c>
      <c r="P23" s="211">
        <v>13</v>
      </c>
      <c r="Q23" s="211">
        <v>13</v>
      </c>
      <c r="R23" s="84">
        <v>13</v>
      </c>
      <c r="S23" s="84">
        <v>13</v>
      </c>
      <c r="T23" s="84">
        <v>13</v>
      </c>
      <c r="U23" s="84">
        <v>13</v>
      </c>
      <c r="V23" s="50">
        <v>13</v>
      </c>
      <c r="W23" s="50">
        <v>13</v>
      </c>
      <c r="X23" s="50">
        <v>13</v>
      </c>
      <c r="Y23" s="50">
        <v>13</v>
      </c>
      <c r="Z23" s="50">
        <v>13</v>
      </c>
      <c r="AA23" s="50">
        <v>13</v>
      </c>
      <c r="AB23" s="50">
        <v>13</v>
      </c>
      <c r="AC23" s="50">
        <v>13</v>
      </c>
      <c r="AD23" s="50">
        <v>13</v>
      </c>
      <c r="AE23" s="50">
        <v>13</v>
      </c>
      <c r="AF23" s="50">
        <v>13</v>
      </c>
      <c r="AG23" s="61">
        <v>25</v>
      </c>
      <c r="AH23" s="56">
        <f t="shared" si="2"/>
        <v>13</v>
      </c>
      <c r="AI23" s="57">
        <f t="shared" si="3"/>
        <v>13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19.399999999999999</v>
      </c>
      <c r="C24" s="49">
        <v>19.399999999999999</v>
      </c>
      <c r="D24" s="49">
        <v>19.399999999999999</v>
      </c>
      <c r="E24" s="49">
        <v>19.399999999999999</v>
      </c>
      <c r="F24" s="49">
        <v>19.399999999999999</v>
      </c>
      <c r="G24" s="49">
        <v>19.399999999999999</v>
      </c>
      <c r="H24" s="49">
        <v>19.399999999999999</v>
      </c>
      <c r="I24" s="49">
        <v>19.399999999999999</v>
      </c>
      <c r="J24" s="49">
        <v>19.399999999999999</v>
      </c>
      <c r="K24" s="49">
        <v>19.399999999999999</v>
      </c>
      <c r="L24" s="50">
        <v>19.399999999999999</v>
      </c>
      <c r="M24" s="50">
        <v>19.399999999999999</v>
      </c>
      <c r="N24" s="50">
        <v>17</v>
      </c>
      <c r="O24" s="50">
        <v>17</v>
      </c>
      <c r="P24" s="50">
        <v>17</v>
      </c>
      <c r="Q24" s="50">
        <v>17</v>
      </c>
      <c r="R24" s="84">
        <v>17</v>
      </c>
      <c r="S24" s="84">
        <v>17</v>
      </c>
      <c r="T24" s="84">
        <v>17</v>
      </c>
      <c r="U24" s="84">
        <v>17</v>
      </c>
      <c r="V24" s="50">
        <v>17</v>
      </c>
      <c r="W24" s="50">
        <v>18</v>
      </c>
      <c r="X24" s="50">
        <v>18</v>
      </c>
      <c r="Y24" s="50">
        <v>18</v>
      </c>
      <c r="Z24" s="50">
        <v>18</v>
      </c>
      <c r="AA24" s="50">
        <v>18</v>
      </c>
      <c r="AB24" s="50">
        <v>18</v>
      </c>
      <c r="AC24" s="50">
        <v>18</v>
      </c>
      <c r="AD24" s="50">
        <v>18</v>
      </c>
      <c r="AE24" s="50">
        <v>18</v>
      </c>
      <c r="AF24" s="50">
        <v>18</v>
      </c>
      <c r="AG24" s="61">
        <v>25</v>
      </c>
      <c r="AH24" s="56">
        <f t="shared" si="2"/>
        <v>19.399999999999999</v>
      </c>
      <c r="AI24" s="57">
        <f t="shared" si="3"/>
        <v>17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20</v>
      </c>
      <c r="C25" s="49">
        <v>20</v>
      </c>
      <c r="D25" s="49">
        <v>20</v>
      </c>
      <c r="E25" s="49">
        <v>20</v>
      </c>
      <c r="F25" s="49">
        <v>20</v>
      </c>
      <c r="G25" s="49">
        <v>20</v>
      </c>
      <c r="H25" s="49">
        <v>20</v>
      </c>
      <c r="I25" s="49">
        <v>20</v>
      </c>
      <c r="J25" s="49">
        <v>20</v>
      </c>
      <c r="K25" s="49">
        <v>20</v>
      </c>
      <c r="L25" s="50">
        <v>20</v>
      </c>
      <c r="M25" s="50">
        <v>20</v>
      </c>
      <c r="N25" s="50">
        <v>20</v>
      </c>
      <c r="O25" s="50">
        <v>6</v>
      </c>
      <c r="P25" s="50">
        <v>6</v>
      </c>
      <c r="Q25" s="50">
        <v>21.5</v>
      </c>
      <c r="R25" s="84">
        <v>21.5</v>
      </c>
      <c r="S25" s="84">
        <v>21.5</v>
      </c>
      <c r="T25" s="84">
        <v>21.5</v>
      </c>
      <c r="U25" s="84">
        <v>21.5</v>
      </c>
      <c r="V25" s="50">
        <v>21.5</v>
      </c>
      <c r="W25" s="50">
        <v>21.5</v>
      </c>
      <c r="X25" s="50">
        <v>21.5</v>
      </c>
      <c r="Y25" s="50">
        <v>21.5</v>
      </c>
      <c r="Z25" s="50">
        <v>21.5</v>
      </c>
      <c r="AA25" s="50">
        <v>21.5</v>
      </c>
      <c r="AB25" s="50">
        <v>21.5</v>
      </c>
      <c r="AC25" s="50">
        <v>21.5</v>
      </c>
      <c r="AD25" s="50">
        <v>21.5</v>
      </c>
      <c r="AE25" s="50">
        <v>21.5</v>
      </c>
      <c r="AF25" s="50">
        <v>21.5</v>
      </c>
      <c r="AG25" s="61">
        <v>24.2</v>
      </c>
      <c r="AH25" s="56">
        <f t="shared" si="2"/>
        <v>21.5</v>
      </c>
      <c r="AI25" s="57">
        <f t="shared" si="3"/>
        <v>6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84">
        <v>4</v>
      </c>
      <c r="S26" s="84">
        <v>4</v>
      </c>
      <c r="T26" s="84">
        <v>4</v>
      </c>
      <c r="U26" s="84">
        <v>4</v>
      </c>
      <c r="V26" s="50">
        <v>4</v>
      </c>
      <c r="W26" s="50">
        <v>10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10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11</v>
      </c>
      <c r="C27" s="49">
        <v>11</v>
      </c>
      <c r="D27" s="49">
        <v>11</v>
      </c>
      <c r="E27" s="49">
        <v>11</v>
      </c>
      <c r="F27" s="49">
        <v>11</v>
      </c>
      <c r="G27" s="49">
        <v>11</v>
      </c>
      <c r="H27" s="49">
        <v>11</v>
      </c>
      <c r="I27" s="49">
        <v>11</v>
      </c>
      <c r="J27" s="49">
        <v>11</v>
      </c>
      <c r="K27" s="49">
        <v>11</v>
      </c>
      <c r="L27" s="211">
        <v>11</v>
      </c>
      <c r="M27" s="211">
        <v>11</v>
      </c>
      <c r="N27" s="211">
        <v>11</v>
      </c>
      <c r="O27" s="211">
        <v>11</v>
      </c>
      <c r="P27" s="211">
        <v>11</v>
      </c>
      <c r="Q27" s="211">
        <v>11</v>
      </c>
      <c r="R27" s="84">
        <v>11</v>
      </c>
      <c r="S27" s="84">
        <v>11</v>
      </c>
      <c r="T27" s="84">
        <v>11</v>
      </c>
      <c r="U27" s="84">
        <v>11</v>
      </c>
      <c r="V27" s="50">
        <v>11</v>
      </c>
      <c r="W27" s="50">
        <v>11</v>
      </c>
      <c r="X27" s="50">
        <v>11</v>
      </c>
      <c r="Y27" s="50">
        <v>11</v>
      </c>
      <c r="Z27" s="50">
        <v>11</v>
      </c>
      <c r="AA27" s="50">
        <v>11</v>
      </c>
      <c r="AB27" s="50">
        <v>11</v>
      </c>
      <c r="AC27" s="50">
        <v>11</v>
      </c>
      <c r="AD27" s="50">
        <v>11</v>
      </c>
      <c r="AE27" s="50">
        <v>11</v>
      </c>
      <c r="AF27" s="50">
        <v>11</v>
      </c>
      <c r="AG27" s="61">
        <v>23.5</v>
      </c>
      <c r="AH27" s="56">
        <f t="shared" si="2"/>
        <v>11</v>
      </c>
      <c r="AI27" s="57">
        <f t="shared" si="3"/>
        <v>11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84">
        <v>5</v>
      </c>
      <c r="S28" s="84">
        <v>5</v>
      </c>
      <c r="T28" s="84">
        <v>5</v>
      </c>
      <c r="U28" s="84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84">
        <v>0</v>
      </c>
      <c r="S29" s="84">
        <v>0</v>
      </c>
      <c r="T29" s="84">
        <v>0</v>
      </c>
      <c r="U29" s="84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9.9</v>
      </c>
      <c r="C33" s="63">
        <v>9.9</v>
      </c>
      <c r="D33" s="63">
        <v>9.9</v>
      </c>
      <c r="E33" s="63">
        <v>9.9</v>
      </c>
      <c r="F33" s="63">
        <v>9.9</v>
      </c>
      <c r="G33" s="63">
        <v>9.9</v>
      </c>
      <c r="H33" s="63">
        <v>9.9</v>
      </c>
      <c r="I33" s="63">
        <v>9.9</v>
      </c>
      <c r="J33" s="63">
        <v>9.9</v>
      </c>
      <c r="K33" s="63">
        <v>9.9</v>
      </c>
      <c r="L33" s="50">
        <v>9.9</v>
      </c>
      <c r="M33" s="50">
        <v>9.9</v>
      </c>
      <c r="N33" s="50">
        <v>9.9</v>
      </c>
      <c r="O33" s="50">
        <v>9.9</v>
      </c>
      <c r="P33" s="50">
        <v>9.9</v>
      </c>
      <c r="Q33" s="50">
        <v>9.9</v>
      </c>
      <c r="R33" s="50">
        <v>9.9</v>
      </c>
      <c r="S33" s="50">
        <v>9.9</v>
      </c>
      <c r="T33" s="50">
        <v>9.9</v>
      </c>
      <c r="U33" s="50">
        <v>9.9</v>
      </c>
      <c r="V33" s="50">
        <v>9.9</v>
      </c>
      <c r="W33" s="50">
        <v>9.9</v>
      </c>
      <c r="X33" s="50">
        <v>9.9</v>
      </c>
      <c r="Y33" s="50">
        <v>9.9</v>
      </c>
      <c r="Z33" s="50">
        <v>9.9</v>
      </c>
      <c r="AA33" s="50">
        <v>9.9</v>
      </c>
      <c r="AB33" s="50">
        <v>9.9</v>
      </c>
      <c r="AC33" s="50">
        <v>9.9</v>
      </c>
      <c r="AD33" s="50">
        <v>9.9</v>
      </c>
      <c r="AE33" s="50">
        <v>9.9</v>
      </c>
      <c r="AF33" s="50">
        <v>9.9</v>
      </c>
      <c r="AG33" s="69">
        <v>20</v>
      </c>
      <c r="AH33" s="56">
        <f t="shared" si="2"/>
        <v>9.9</v>
      </c>
      <c r="AI33" s="57">
        <f t="shared" si="3"/>
        <v>9.9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50">
        <v>220</v>
      </c>
      <c r="M35" s="50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63">
        <v>123</v>
      </c>
      <c r="C36" s="63">
        <v>123</v>
      </c>
      <c r="D36" s="63">
        <v>122.4</v>
      </c>
      <c r="E36" s="63">
        <f>65.2+57.2</f>
        <v>122.4</v>
      </c>
      <c r="F36" s="63">
        <v>121</v>
      </c>
      <c r="G36" s="63">
        <v>121</v>
      </c>
      <c r="H36" s="63">
        <v>121</v>
      </c>
      <c r="I36" s="63">
        <v>122</v>
      </c>
      <c r="J36" s="63">
        <v>121</v>
      </c>
      <c r="K36" s="63">
        <f>64.2+55.3</f>
        <v>119.5</v>
      </c>
      <c r="L36" s="50">
        <f>55.3+64.1</f>
        <v>119.39999999999999</v>
      </c>
      <c r="M36" s="50">
        <f>55.3+64.1</f>
        <v>119.39999999999999</v>
      </c>
      <c r="N36" s="72">
        <f>50.9+56</f>
        <v>106.9</v>
      </c>
      <c r="O36" s="72">
        <v>91</v>
      </c>
      <c r="P36" s="72">
        <v>91</v>
      </c>
      <c r="Q36" s="72">
        <f>54+53.8</f>
        <v>107.8</v>
      </c>
      <c r="R36" s="72">
        <f>54.7+59</f>
        <v>113.7</v>
      </c>
      <c r="S36" s="72">
        <f>64.9+54.6</f>
        <v>119.5</v>
      </c>
      <c r="T36" s="72">
        <f>54+64.5</f>
        <v>118.5</v>
      </c>
      <c r="U36" s="72">
        <f>62.8+53.3</f>
        <v>116.1</v>
      </c>
      <c r="V36" s="72">
        <f>52.6+61.1</f>
        <v>113.7</v>
      </c>
      <c r="W36" s="72">
        <v>112.5</v>
      </c>
      <c r="X36" s="72">
        <f>58.8+51.8</f>
        <v>110.6</v>
      </c>
      <c r="Y36" s="72">
        <f>58.8+51.8</f>
        <v>110.6</v>
      </c>
      <c r="Z36" s="72">
        <f>62.2+52.4</f>
        <v>114.6</v>
      </c>
      <c r="AA36" s="72">
        <v>114.5</v>
      </c>
      <c r="AB36" s="72">
        <v>114.6</v>
      </c>
      <c r="AC36" s="72">
        <v>115.6</v>
      </c>
      <c r="AD36" s="72">
        <f>53.3+64.4</f>
        <v>117.7</v>
      </c>
      <c r="AE36" s="72">
        <f>53.6+61.7</f>
        <v>115.30000000000001</v>
      </c>
      <c r="AF36" s="72">
        <f>54.1+64.2</f>
        <v>118.30000000000001</v>
      </c>
      <c r="AG36" s="69">
        <v>240</v>
      </c>
      <c r="AH36" s="56">
        <f t="shared" si="2"/>
        <v>123</v>
      </c>
      <c r="AI36" s="57">
        <f t="shared" si="3"/>
        <v>91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625.9</v>
      </c>
      <c r="C37" s="74">
        <f t="shared" si="4"/>
        <v>625.9</v>
      </c>
      <c r="D37" s="74">
        <f t="shared" si="4"/>
        <v>625.9</v>
      </c>
      <c r="E37" s="74">
        <f t="shared" si="4"/>
        <v>625.9</v>
      </c>
      <c r="F37" s="74">
        <f t="shared" si="4"/>
        <v>625.9</v>
      </c>
      <c r="G37" s="74">
        <f t="shared" si="4"/>
        <v>625.9</v>
      </c>
      <c r="H37" s="74">
        <f t="shared" si="4"/>
        <v>625.9</v>
      </c>
      <c r="I37" s="74">
        <f t="shared" si="4"/>
        <v>667.9</v>
      </c>
      <c r="J37" s="74">
        <f t="shared" si="4"/>
        <v>687.9</v>
      </c>
      <c r="K37" s="74">
        <f t="shared" si="4"/>
        <v>707.9</v>
      </c>
      <c r="L37" s="74">
        <f t="shared" si="4"/>
        <v>722.4</v>
      </c>
      <c r="M37" s="74">
        <f t="shared" si="4"/>
        <v>707.4</v>
      </c>
      <c r="N37" s="74">
        <f t="shared" si="4"/>
        <v>699.3</v>
      </c>
      <c r="O37" s="74">
        <f t="shared" si="4"/>
        <v>685.3</v>
      </c>
      <c r="P37" s="74">
        <f t="shared" si="4"/>
        <v>695.3</v>
      </c>
      <c r="Q37" s="74">
        <f t="shared" si="4"/>
        <v>730.8</v>
      </c>
      <c r="R37" s="74">
        <f t="shared" si="4"/>
        <v>730.8</v>
      </c>
      <c r="S37" s="74">
        <f t="shared" si="4"/>
        <v>720.8</v>
      </c>
      <c r="T37" s="74">
        <f t="shared" si="4"/>
        <v>673.09999999999991</v>
      </c>
      <c r="U37" s="74">
        <f t="shared" si="4"/>
        <v>731.09999999999991</v>
      </c>
      <c r="V37" s="74">
        <f t="shared" si="4"/>
        <v>792.9</v>
      </c>
      <c r="W37" s="74">
        <f t="shared" si="4"/>
        <v>899.9</v>
      </c>
      <c r="X37" s="74">
        <f t="shared" si="4"/>
        <v>873.90000000000009</v>
      </c>
      <c r="Y37" s="74">
        <f t="shared" si="4"/>
        <v>813.9</v>
      </c>
      <c r="Z37" s="74">
        <f t="shared" si="4"/>
        <v>813.4</v>
      </c>
      <c r="AA37" s="74">
        <f t="shared" si="4"/>
        <v>783.4</v>
      </c>
      <c r="AB37" s="74">
        <f t="shared" si="4"/>
        <v>723.4</v>
      </c>
      <c r="AC37" s="74">
        <f t="shared" si="4"/>
        <v>693.4</v>
      </c>
      <c r="AD37" s="74">
        <f t="shared" si="4"/>
        <v>653.5</v>
      </c>
      <c r="AE37" s="74">
        <f t="shared" si="4"/>
        <v>673.5</v>
      </c>
      <c r="AF37" s="74">
        <f t="shared" si="4"/>
        <v>673.9</v>
      </c>
      <c r="AG37" s="69">
        <f>SUM(AG11:AG36)</f>
        <v>1481.8299999999997</v>
      </c>
      <c r="AH37" s="56">
        <f t="shared" si="2"/>
        <v>899.9</v>
      </c>
      <c r="AI37" s="57">
        <f t="shared" si="3"/>
        <v>625.9</v>
      </c>
      <c r="AK37" s="58"/>
    </row>
    <row r="38" spans="1:88" x14ac:dyDescent="0.25">
      <c r="A38" s="59" t="s">
        <v>45</v>
      </c>
      <c r="B38" s="49">
        <v>35.700000000000003</v>
      </c>
      <c r="C38" s="49">
        <v>35.700000000000003</v>
      </c>
      <c r="D38" s="63">
        <v>35.5</v>
      </c>
      <c r="E38" s="63">
        <v>36</v>
      </c>
      <c r="F38" s="63">
        <v>44</v>
      </c>
      <c r="G38" s="63">
        <v>44</v>
      </c>
      <c r="H38" s="63">
        <v>71</v>
      </c>
      <c r="I38" s="63">
        <v>100</v>
      </c>
      <c r="J38" s="63">
        <v>97</v>
      </c>
      <c r="K38" s="63">
        <v>111.8</v>
      </c>
      <c r="L38" s="52">
        <v>111.2</v>
      </c>
      <c r="M38" s="52">
        <v>101.5</v>
      </c>
      <c r="N38" s="50">
        <v>112.3</v>
      </c>
      <c r="O38" s="50">
        <v>94.9</v>
      </c>
      <c r="P38" s="50">
        <v>78</v>
      </c>
      <c r="Q38" s="50">
        <v>66.400000000000006</v>
      </c>
      <c r="R38" s="50">
        <v>76</v>
      </c>
      <c r="S38" s="50">
        <v>76</v>
      </c>
      <c r="T38" s="50">
        <v>80.8</v>
      </c>
      <c r="U38" s="50">
        <v>104.6</v>
      </c>
      <c r="V38" s="50">
        <v>144</v>
      </c>
      <c r="W38" s="50">
        <v>144.69999999999999</v>
      </c>
      <c r="X38" s="50">
        <v>145.80000000000001</v>
      </c>
      <c r="Y38" s="50">
        <v>145.80000000000001</v>
      </c>
      <c r="Z38" s="50">
        <v>127</v>
      </c>
      <c r="AA38" s="50">
        <v>121.6</v>
      </c>
      <c r="AB38" s="50">
        <v>111.7</v>
      </c>
      <c r="AC38" s="50">
        <v>91.6</v>
      </c>
      <c r="AD38" s="50">
        <v>60</v>
      </c>
      <c r="AE38" s="49">
        <v>30.9</v>
      </c>
      <c r="AF38" s="49">
        <v>30.7</v>
      </c>
      <c r="AG38" s="64">
        <v>144</v>
      </c>
      <c r="AH38" s="56">
        <f t="shared" si="2"/>
        <v>145.80000000000001</v>
      </c>
      <c r="AI38" s="57">
        <f t="shared" si="3"/>
        <v>30.7</v>
      </c>
      <c r="AK38" s="58"/>
    </row>
    <row r="39" spans="1:88" x14ac:dyDescent="0.25">
      <c r="A39" s="68" t="s">
        <v>46</v>
      </c>
      <c r="B39" s="63">
        <v>25.4</v>
      </c>
      <c r="C39" s="63">
        <v>25.4</v>
      </c>
      <c r="D39" s="63">
        <v>25</v>
      </c>
      <c r="E39" s="63">
        <v>25</v>
      </c>
      <c r="F39" s="63">
        <v>33</v>
      </c>
      <c r="G39" s="63">
        <v>33</v>
      </c>
      <c r="H39" s="63">
        <v>35.299999999999997</v>
      </c>
      <c r="I39" s="63">
        <v>42.4</v>
      </c>
      <c r="J39" s="63">
        <v>43.9</v>
      </c>
      <c r="K39" s="63">
        <v>47</v>
      </c>
      <c r="L39" s="52">
        <v>61.6</v>
      </c>
      <c r="M39" s="52">
        <v>44.2</v>
      </c>
      <c r="N39" s="52">
        <v>42.9</v>
      </c>
      <c r="O39" s="52">
        <v>49.8</v>
      </c>
      <c r="P39" s="52">
        <v>32</v>
      </c>
      <c r="Q39" s="52">
        <v>25</v>
      </c>
      <c r="R39" s="52">
        <v>22.6</v>
      </c>
      <c r="S39" s="52">
        <v>22.5</v>
      </c>
      <c r="T39" s="52">
        <v>34.9</v>
      </c>
      <c r="U39" s="52">
        <v>52.5</v>
      </c>
      <c r="V39" s="52">
        <v>70.8</v>
      </c>
      <c r="W39" s="52">
        <v>70.2</v>
      </c>
      <c r="X39" s="52">
        <v>69.599999999999994</v>
      </c>
      <c r="Y39" s="52">
        <v>69.599999999999994</v>
      </c>
      <c r="Z39" s="52">
        <v>49.1</v>
      </c>
      <c r="AA39" s="52">
        <v>49.1</v>
      </c>
      <c r="AB39" s="52">
        <v>49.1</v>
      </c>
      <c r="AC39" s="52">
        <v>49.9</v>
      </c>
      <c r="AD39" s="52">
        <v>22.1</v>
      </c>
      <c r="AE39" s="63">
        <v>22.2</v>
      </c>
      <c r="AF39" s="63">
        <v>22.8</v>
      </c>
      <c r="AG39" s="69">
        <v>70</v>
      </c>
      <c r="AH39" s="56">
        <f t="shared" si="2"/>
        <v>70.8</v>
      </c>
      <c r="AI39" s="57">
        <f t="shared" si="3"/>
        <v>22.1</v>
      </c>
      <c r="AK39" s="1">
        <f>450-SUM(O38:O50)</f>
        <v>210.06000000000003</v>
      </c>
    </row>
    <row r="40" spans="1:88" x14ac:dyDescent="0.25">
      <c r="A40" s="68" t="s">
        <v>47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63">
        <v>0</v>
      </c>
      <c r="AF40" s="63">
        <v>0</v>
      </c>
      <c r="AG40" s="69">
        <v>69</v>
      </c>
      <c r="AH40" s="56">
        <f t="shared" si="2"/>
        <v>0</v>
      </c>
      <c r="AI40" s="57">
        <f t="shared" si="3"/>
        <v>0</v>
      </c>
      <c r="AK40" s="58"/>
    </row>
    <row r="41" spans="1:88" x14ac:dyDescent="0.25">
      <c r="A41" s="68" t="s">
        <v>48</v>
      </c>
      <c r="B41" s="63">
        <v>10.6</v>
      </c>
      <c r="C41" s="63">
        <v>10.6</v>
      </c>
      <c r="D41" s="63">
        <v>10.6</v>
      </c>
      <c r="E41" s="63">
        <v>10</v>
      </c>
      <c r="F41" s="63">
        <v>30</v>
      </c>
      <c r="G41" s="63">
        <v>30</v>
      </c>
      <c r="H41" s="63">
        <v>60</v>
      </c>
      <c r="I41" s="63">
        <v>40</v>
      </c>
      <c r="J41" s="63">
        <v>40</v>
      </c>
      <c r="K41" s="63">
        <v>39.1</v>
      </c>
      <c r="L41" s="52">
        <v>39.1</v>
      </c>
      <c r="M41" s="52">
        <v>10.8</v>
      </c>
      <c r="N41" s="52">
        <v>21.2</v>
      </c>
      <c r="O41" s="52">
        <v>20</v>
      </c>
      <c r="P41" s="52">
        <v>10.8</v>
      </c>
      <c r="Q41" s="52">
        <v>9.6</v>
      </c>
      <c r="R41" s="52">
        <v>20.9</v>
      </c>
      <c r="S41" s="52">
        <v>20.9</v>
      </c>
      <c r="T41" s="52">
        <v>30.7</v>
      </c>
      <c r="U41" s="52">
        <v>41.5</v>
      </c>
      <c r="V41" s="52">
        <v>61.4</v>
      </c>
      <c r="W41" s="52">
        <v>61.4</v>
      </c>
      <c r="X41" s="52">
        <v>61.4</v>
      </c>
      <c r="Y41" s="52">
        <v>61.4</v>
      </c>
      <c r="Z41" s="52">
        <v>39.299999999999997</v>
      </c>
      <c r="AA41" s="52">
        <v>39.1</v>
      </c>
      <c r="AB41" s="52">
        <v>39.1</v>
      </c>
      <c r="AC41" s="52">
        <v>39.1</v>
      </c>
      <c r="AD41" s="52">
        <v>10.8</v>
      </c>
      <c r="AE41" s="63">
        <v>9.8000000000000007</v>
      </c>
      <c r="AF41" s="63">
        <v>9.6</v>
      </c>
      <c r="AG41" s="69">
        <v>60</v>
      </c>
      <c r="AH41" s="56">
        <f t="shared" si="2"/>
        <v>61.4</v>
      </c>
      <c r="AI41" s="57">
        <f t="shared" si="3"/>
        <v>9.6</v>
      </c>
      <c r="AK41" s="1">
        <f>400-100</f>
        <v>300</v>
      </c>
    </row>
    <row r="42" spans="1:88" x14ac:dyDescent="0.25">
      <c r="A42" s="68" t="s">
        <v>49</v>
      </c>
      <c r="B42" s="63">
        <v>13.9</v>
      </c>
      <c r="C42" s="63">
        <v>13.9</v>
      </c>
      <c r="D42" s="63">
        <v>14</v>
      </c>
      <c r="E42" s="63">
        <v>14</v>
      </c>
      <c r="F42" s="63">
        <v>14</v>
      </c>
      <c r="G42" s="63">
        <v>14</v>
      </c>
      <c r="H42" s="63">
        <v>30</v>
      </c>
      <c r="I42" s="63">
        <v>30</v>
      </c>
      <c r="J42" s="63">
        <v>30</v>
      </c>
      <c r="K42" s="63">
        <v>30</v>
      </c>
      <c r="L42" s="52">
        <v>24.1</v>
      </c>
      <c r="M42" s="52">
        <v>23.9</v>
      </c>
      <c r="N42" s="50">
        <v>23.1</v>
      </c>
      <c r="O42" s="50">
        <v>24.5</v>
      </c>
      <c r="P42" s="50">
        <v>25.4</v>
      </c>
      <c r="Q42" s="50">
        <v>24.8</v>
      </c>
      <c r="R42" s="50">
        <v>24.8</v>
      </c>
      <c r="S42" s="50">
        <v>25.1</v>
      </c>
      <c r="T42" s="50">
        <v>29.3</v>
      </c>
      <c r="U42" s="50">
        <v>29.3</v>
      </c>
      <c r="V42" s="50">
        <v>29.2</v>
      </c>
      <c r="W42" s="50">
        <v>29.2</v>
      </c>
      <c r="X42" s="50">
        <v>29.1</v>
      </c>
      <c r="Y42" s="50">
        <v>29.1</v>
      </c>
      <c r="Z42" s="52">
        <v>29</v>
      </c>
      <c r="AA42" s="52">
        <v>29.1</v>
      </c>
      <c r="AB42" s="52">
        <v>29.1</v>
      </c>
      <c r="AC42" s="52">
        <v>14.1</v>
      </c>
      <c r="AD42" s="52">
        <v>15.2</v>
      </c>
      <c r="AE42" s="63">
        <v>0</v>
      </c>
      <c r="AF42" s="63">
        <v>0</v>
      </c>
      <c r="AG42" s="69">
        <v>30</v>
      </c>
      <c r="AH42" s="56">
        <f t="shared" si="2"/>
        <v>30</v>
      </c>
      <c r="AI42" s="57">
        <f t="shared" si="3"/>
        <v>0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2">
        <v>0</v>
      </c>
      <c r="M43" s="52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10</v>
      </c>
      <c r="C44" s="63">
        <v>10</v>
      </c>
      <c r="D44" s="75">
        <v>10</v>
      </c>
      <c r="E44" s="75">
        <v>10</v>
      </c>
      <c r="F44" s="75">
        <v>10</v>
      </c>
      <c r="G44" s="75">
        <v>10</v>
      </c>
      <c r="H44" s="75">
        <v>10</v>
      </c>
      <c r="I44" s="75">
        <v>10</v>
      </c>
      <c r="J44" s="75">
        <v>10</v>
      </c>
      <c r="K44" s="75">
        <v>10</v>
      </c>
      <c r="L44" s="52">
        <v>18</v>
      </c>
      <c r="M44" s="52">
        <v>18</v>
      </c>
      <c r="N44" s="50">
        <v>10</v>
      </c>
      <c r="O44" s="50">
        <v>10</v>
      </c>
      <c r="P44" s="50">
        <v>10</v>
      </c>
      <c r="Q44" s="50">
        <v>10</v>
      </c>
      <c r="R44" s="50">
        <v>10</v>
      </c>
      <c r="S44" s="50">
        <v>10</v>
      </c>
      <c r="T44" s="50">
        <v>10</v>
      </c>
      <c r="U44" s="50">
        <v>10</v>
      </c>
      <c r="V44" s="50">
        <v>10</v>
      </c>
      <c r="W44" s="50">
        <v>10</v>
      </c>
      <c r="X44" s="50">
        <v>10</v>
      </c>
      <c r="Y44" s="50">
        <v>10</v>
      </c>
      <c r="Z44" s="50">
        <v>10</v>
      </c>
      <c r="AA44" s="50">
        <v>17</v>
      </c>
      <c r="AB44" s="50">
        <v>17</v>
      </c>
      <c r="AC44" s="50">
        <v>17</v>
      </c>
      <c r="AD44" s="50">
        <v>17</v>
      </c>
      <c r="AE44" s="50">
        <v>17</v>
      </c>
      <c r="AF44" s="63">
        <v>17</v>
      </c>
      <c r="AG44" s="69">
        <v>24</v>
      </c>
      <c r="AH44" s="56">
        <f t="shared" si="2"/>
        <v>18</v>
      </c>
      <c r="AI44" s="57">
        <f t="shared" si="3"/>
        <v>10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2">
        <v>0</v>
      </c>
      <c r="M45" s="52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63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8</v>
      </c>
      <c r="C46" s="63">
        <v>8</v>
      </c>
      <c r="D46" s="63">
        <v>8</v>
      </c>
      <c r="E46" s="63">
        <v>8</v>
      </c>
      <c r="F46" s="63">
        <v>8</v>
      </c>
      <c r="G46" s="63">
        <v>8</v>
      </c>
      <c r="H46" s="63">
        <v>8</v>
      </c>
      <c r="I46" s="63">
        <v>8</v>
      </c>
      <c r="J46" s="63">
        <v>8</v>
      </c>
      <c r="K46" s="63">
        <v>8</v>
      </c>
      <c r="L46" s="52">
        <v>8</v>
      </c>
      <c r="M46" s="52">
        <v>8</v>
      </c>
      <c r="N46" s="50">
        <v>8</v>
      </c>
      <c r="O46" s="50">
        <v>8</v>
      </c>
      <c r="P46" s="50">
        <v>8</v>
      </c>
      <c r="Q46" s="50">
        <v>8</v>
      </c>
      <c r="R46" s="50">
        <v>8</v>
      </c>
      <c r="S46" s="50">
        <v>8</v>
      </c>
      <c r="T46" s="50">
        <v>8</v>
      </c>
      <c r="U46" s="50">
        <v>8</v>
      </c>
      <c r="V46" s="50">
        <v>8</v>
      </c>
      <c r="W46" s="50">
        <v>8</v>
      </c>
      <c r="X46" s="50">
        <v>8</v>
      </c>
      <c r="Y46" s="50">
        <v>8</v>
      </c>
      <c r="Z46" s="50">
        <v>8</v>
      </c>
      <c r="AA46" s="50">
        <v>13</v>
      </c>
      <c r="AB46" s="50">
        <v>13</v>
      </c>
      <c r="AC46" s="50">
        <v>13</v>
      </c>
      <c r="AD46" s="50">
        <v>13</v>
      </c>
      <c r="AE46" s="63">
        <v>13</v>
      </c>
      <c r="AF46" s="63">
        <v>13</v>
      </c>
      <c r="AG46" s="69">
        <v>14.1</v>
      </c>
      <c r="AH46" s="56">
        <f t="shared" si="2"/>
        <v>13</v>
      </c>
      <c r="AI46" s="57">
        <f t="shared" si="3"/>
        <v>8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63">
        <v>4</v>
      </c>
      <c r="C47" s="63">
        <v>4</v>
      </c>
      <c r="D47" s="75">
        <v>4</v>
      </c>
      <c r="E47" s="75">
        <v>4</v>
      </c>
      <c r="F47" s="75">
        <v>4</v>
      </c>
      <c r="G47" s="75">
        <v>4</v>
      </c>
      <c r="H47" s="75">
        <v>14</v>
      </c>
      <c r="I47" s="75">
        <v>14</v>
      </c>
      <c r="J47" s="75">
        <v>14</v>
      </c>
      <c r="K47" s="75">
        <v>14</v>
      </c>
      <c r="L47" s="52">
        <v>14</v>
      </c>
      <c r="M47" s="52">
        <v>14</v>
      </c>
      <c r="N47" s="50">
        <v>14</v>
      </c>
      <c r="O47" s="50">
        <v>14</v>
      </c>
      <c r="P47" s="50">
        <v>14</v>
      </c>
      <c r="Q47" s="50">
        <v>14</v>
      </c>
      <c r="R47" s="50">
        <v>14</v>
      </c>
      <c r="S47" s="50">
        <v>14</v>
      </c>
      <c r="T47" s="50">
        <v>14</v>
      </c>
      <c r="U47" s="50">
        <v>14</v>
      </c>
      <c r="V47" s="50">
        <v>14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63">
        <v>14</v>
      </c>
      <c r="AF47" s="63">
        <v>14</v>
      </c>
      <c r="AG47" s="69">
        <v>14</v>
      </c>
      <c r="AH47" s="56">
        <f t="shared" si="2"/>
        <v>14</v>
      </c>
      <c r="AI47" s="57">
        <f t="shared" si="3"/>
        <v>4</v>
      </c>
      <c r="AK47" s="58"/>
    </row>
    <row r="48" spans="1:88" x14ac:dyDescent="0.25">
      <c r="A48" s="68" t="s">
        <v>55</v>
      </c>
      <c r="B48" s="63">
        <v>8.8000000000000007</v>
      </c>
      <c r="C48" s="63">
        <v>8.8000000000000007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2">
        <v>9</v>
      </c>
      <c r="M48" s="52">
        <v>9</v>
      </c>
      <c r="N48" s="50">
        <v>9</v>
      </c>
      <c r="O48" s="50">
        <v>9</v>
      </c>
      <c r="P48" s="50">
        <v>9</v>
      </c>
      <c r="Q48" s="50">
        <v>9</v>
      </c>
      <c r="R48" s="50">
        <v>9</v>
      </c>
      <c r="S48" s="50">
        <v>9</v>
      </c>
      <c r="T48" s="50">
        <v>9</v>
      </c>
      <c r="U48" s="50">
        <v>9</v>
      </c>
      <c r="V48" s="50">
        <v>9</v>
      </c>
      <c r="W48" s="50">
        <v>9</v>
      </c>
      <c r="X48" s="50">
        <v>9</v>
      </c>
      <c r="Y48" s="50">
        <v>9</v>
      </c>
      <c r="Z48" s="50">
        <v>9</v>
      </c>
      <c r="AA48" s="50">
        <v>9</v>
      </c>
      <c r="AB48" s="50">
        <v>9</v>
      </c>
      <c r="AC48" s="50">
        <v>9</v>
      </c>
      <c r="AD48" s="50">
        <v>9</v>
      </c>
      <c r="AE48" s="63">
        <v>9</v>
      </c>
      <c r="AF48" s="63">
        <v>9</v>
      </c>
      <c r="AG48" s="69">
        <v>10.050000000000001</v>
      </c>
      <c r="AH48" s="56">
        <f t="shared" si="2"/>
        <v>9</v>
      </c>
      <c r="AI48" s="57">
        <f t="shared" si="3"/>
        <v>8.8000000000000007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2">
        <v>6.2</v>
      </c>
      <c r="M49" s="52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63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f t="shared" si="5"/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>SUM(B38:B50)</f>
        <v>126.14000000000001</v>
      </c>
      <c r="C51" s="74">
        <f t="shared" ref="C51:AF51" si="6">SUM(C38:C50)</f>
        <v>126.14000000000001</v>
      </c>
      <c r="D51" s="74">
        <f t="shared" si="6"/>
        <v>125.84</v>
      </c>
      <c r="E51" s="74">
        <f t="shared" si="6"/>
        <v>125.74000000000001</v>
      </c>
      <c r="F51" s="74">
        <f t="shared" si="6"/>
        <v>161.73999999999998</v>
      </c>
      <c r="G51" s="74">
        <f t="shared" si="6"/>
        <v>161.73999999999998</v>
      </c>
      <c r="H51" s="74">
        <f t="shared" si="6"/>
        <v>247.04</v>
      </c>
      <c r="I51" s="74">
        <f t="shared" si="6"/>
        <v>263.14000000000004</v>
      </c>
      <c r="J51" s="74">
        <f t="shared" si="6"/>
        <v>261.64000000000004</v>
      </c>
      <c r="K51" s="74">
        <f t="shared" si="6"/>
        <v>278.64</v>
      </c>
      <c r="L51" s="74">
        <f t="shared" si="6"/>
        <v>294.74</v>
      </c>
      <c r="M51" s="74">
        <f t="shared" si="6"/>
        <v>239.14</v>
      </c>
      <c r="N51" s="74">
        <f t="shared" si="6"/>
        <v>250.23999999999995</v>
      </c>
      <c r="O51" s="74">
        <f t="shared" si="6"/>
        <v>239.93999999999997</v>
      </c>
      <c r="P51" s="74">
        <f t="shared" si="6"/>
        <v>196.93999999999997</v>
      </c>
      <c r="Q51" s="74">
        <f t="shared" si="6"/>
        <v>176.54</v>
      </c>
      <c r="R51" s="74">
        <f t="shared" si="6"/>
        <v>195.04</v>
      </c>
      <c r="S51" s="74">
        <f t="shared" si="6"/>
        <v>195.23999999999998</v>
      </c>
      <c r="T51" s="74">
        <f t="shared" si="6"/>
        <v>226.43999999999997</v>
      </c>
      <c r="U51" s="74">
        <f t="shared" si="6"/>
        <v>278.64</v>
      </c>
      <c r="V51" s="74">
        <f t="shared" si="6"/>
        <v>356.14</v>
      </c>
      <c r="W51" s="74">
        <f t="shared" si="6"/>
        <v>356.23999999999995</v>
      </c>
      <c r="X51" s="74">
        <f t="shared" si="6"/>
        <v>356.64000000000004</v>
      </c>
      <c r="Y51" s="74">
        <f t="shared" si="6"/>
        <v>356.64000000000004</v>
      </c>
      <c r="Z51" s="74">
        <f t="shared" si="6"/>
        <v>295.14</v>
      </c>
      <c r="AA51" s="74">
        <f t="shared" si="6"/>
        <v>301.64</v>
      </c>
      <c r="AB51" s="74">
        <f t="shared" si="6"/>
        <v>291.74</v>
      </c>
      <c r="AC51" s="74">
        <f t="shared" si="6"/>
        <v>257.44</v>
      </c>
      <c r="AD51" s="74">
        <f t="shared" si="6"/>
        <v>170.83999999999997</v>
      </c>
      <c r="AE51" s="74">
        <f t="shared" si="6"/>
        <v>125.64</v>
      </c>
      <c r="AF51" s="74">
        <f t="shared" si="6"/>
        <v>125.84</v>
      </c>
      <c r="AG51" s="79">
        <f>SUM(AG38:AG50)</f>
        <v>489.91</v>
      </c>
      <c r="AH51" s="56">
        <f t="shared" si="2"/>
        <v>356.64000000000004</v>
      </c>
      <c r="AI51" s="57">
        <f t="shared" si="3"/>
        <v>125.64</v>
      </c>
      <c r="AK51" s="58"/>
    </row>
    <row r="52" spans="1:37" x14ac:dyDescent="0.25">
      <c r="A52" s="59" t="s">
        <v>59</v>
      </c>
      <c r="B52" s="50">
        <v>0</v>
      </c>
      <c r="C52" s="50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10.7</v>
      </c>
      <c r="W52" s="50">
        <v>30</v>
      </c>
      <c r="X52" s="50">
        <v>0.4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30</v>
      </c>
      <c r="AI52" s="57">
        <f t="shared" si="3"/>
        <v>0</v>
      </c>
      <c r="AK52" s="58"/>
    </row>
    <row r="53" spans="1:37" x14ac:dyDescent="0.25">
      <c r="A53" s="68" t="s">
        <v>60</v>
      </c>
      <c r="B53" s="52">
        <v>0</v>
      </c>
      <c r="C53" s="52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0">
        <v>0</v>
      </c>
      <c r="S53" s="50">
        <v>0</v>
      </c>
      <c r="T53" s="50">
        <v>0</v>
      </c>
      <c r="U53" s="52">
        <v>0</v>
      </c>
      <c r="V53" s="52">
        <v>3.7</v>
      </c>
      <c r="W53" s="52">
        <v>12.4</v>
      </c>
      <c r="X53" s="52">
        <v>5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12.4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82">
        <v>0</v>
      </c>
      <c r="C54" s="82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50">
        <v>0</v>
      </c>
      <c r="S54" s="50">
        <v>0</v>
      </c>
      <c r="T54" s="50">
        <v>0</v>
      </c>
      <c r="U54" s="82">
        <v>0</v>
      </c>
      <c r="V54" s="82">
        <v>1.4</v>
      </c>
      <c r="W54" s="82">
        <v>4.5</v>
      </c>
      <c r="X54" s="82">
        <v>1.8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4.5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15.799999999999999</v>
      </c>
      <c r="W55" s="74">
        <f t="shared" si="7"/>
        <v>46.9</v>
      </c>
      <c r="X55" s="74">
        <f t="shared" si="7"/>
        <v>7.2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46.9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-84.5</v>
      </c>
      <c r="C58" s="52">
        <v>-110</v>
      </c>
      <c r="D58" s="52">
        <v>-102.5</v>
      </c>
      <c r="E58" s="52">
        <v>-96</v>
      </c>
      <c r="F58" s="52">
        <v>-56</v>
      </c>
      <c r="G58" s="52">
        <v>-56</v>
      </c>
      <c r="H58" s="52">
        <v>-50</v>
      </c>
      <c r="I58" s="52">
        <v>-82.6</v>
      </c>
      <c r="J58" s="52">
        <v>-44</v>
      </c>
      <c r="K58" s="52">
        <v>-47</v>
      </c>
      <c r="L58" s="52">
        <v>-76.5</v>
      </c>
      <c r="M58" s="52">
        <v>-36.299999999999997</v>
      </c>
      <c r="N58" s="52">
        <v>-52.8</v>
      </c>
      <c r="O58" s="52">
        <v>-51.6</v>
      </c>
      <c r="P58" s="52">
        <v>-58.6</v>
      </c>
      <c r="Q58" s="52">
        <v>-44.4</v>
      </c>
      <c r="R58" s="52">
        <v>-47.9</v>
      </c>
      <c r="S58" s="52">
        <v>-58.3</v>
      </c>
      <c r="T58" s="52">
        <v>-44.5</v>
      </c>
      <c r="U58" s="52">
        <v>-53</v>
      </c>
      <c r="V58" s="52">
        <v>-57.9</v>
      </c>
      <c r="W58" s="85">
        <v>-40</v>
      </c>
      <c r="X58" s="85">
        <v>-51.7</v>
      </c>
      <c r="Y58" s="85">
        <v>-41</v>
      </c>
      <c r="Z58" s="85">
        <v>-50</v>
      </c>
      <c r="AA58" s="85">
        <v>-61.7</v>
      </c>
      <c r="AB58" s="85">
        <v>-46.4</v>
      </c>
      <c r="AC58" s="85">
        <v>-55.1</v>
      </c>
      <c r="AD58" s="52">
        <v>-45</v>
      </c>
      <c r="AE58" s="52">
        <v>-52</v>
      </c>
      <c r="AF58" s="52">
        <v>-72</v>
      </c>
      <c r="AG58" s="86"/>
      <c r="AH58" s="56">
        <f t="shared" si="2"/>
        <v>-36.299999999999997</v>
      </c>
      <c r="AI58" s="57">
        <f t="shared" si="3"/>
        <v>-110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60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2">
        <v>0</v>
      </c>
      <c r="O60" s="52">
        <v>0</v>
      </c>
      <c r="P60" s="52">
        <v>0</v>
      </c>
      <c r="Q60" s="52">
        <v>0</v>
      </c>
      <c r="R60" s="50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52">
        <v>0</v>
      </c>
      <c r="O61" s="52">
        <v>0</v>
      </c>
      <c r="P61" s="52">
        <v>0</v>
      </c>
      <c r="Q61" s="52">
        <v>0</v>
      </c>
      <c r="R61" s="6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-84.5</v>
      </c>
      <c r="C67" s="74">
        <f t="shared" ref="C67:AF67" si="8">SUM(C56:C66)</f>
        <v>-110</v>
      </c>
      <c r="D67" s="74">
        <f t="shared" si="8"/>
        <v>-102.5</v>
      </c>
      <c r="E67" s="74">
        <f t="shared" si="8"/>
        <v>-96</v>
      </c>
      <c r="F67" s="74">
        <f t="shared" si="8"/>
        <v>-56</v>
      </c>
      <c r="G67" s="74">
        <f t="shared" si="8"/>
        <v>-56</v>
      </c>
      <c r="H67" s="74">
        <f t="shared" si="8"/>
        <v>-50</v>
      </c>
      <c r="I67" s="74">
        <f t="shared" si="8"/>
        <v>-82.6</v>
      </c>
      <c r="J67" s="74">
        <f t="shared" si="8"/>
        <v>-44</v>
      </c>
      <c r="K67" s="74">
        <f t="shared" si="8"/>
        <v>-47</v>
      </c>
      <c r="L67" s="74">
        <f t="shared" si="8"/>
        <v>-76.5</v>
      </c>
      <c r="M67" s="74">
        <f t="shared" si="8"/>
        <v>-36.299999999999997</v>
      </c>
      <c r="N67" s="74">
        <f t="shared" si="8"/>
        <v>-52.8</v>
      </c>
      <c r="O67" s="74">
        <f t="shared" si="8"/>
        <v>-51.6</v>
      </c>
      <c r="P67" s="74">
        <f t="shared" si="8"/>
        <v>-58.6</v>
      </c>
      <c r="Q67" s="74">
        <f t="shared" si="8"/>
        <v>-44.4</v>
      </c>
      <c r="R67" s="74">
        <f t="shared" si="8"/>
        <v>-47.9</v>
      </c>
      <c r="S67" s="74">
        <f t="shared" si="8"/>
        <v>-58.3</v>
      </c>
      <c r="T67" s="74">
        <f t="shared" si="8"/>
        <v>-44.5</v>
      </c>
      <c r="U67" s="74">
        <f t="shared" si="8"/>
        <v>-53</v>
      </c>
      <c r="V67" s="74">
        <f t="shared" si="8"/>
        <v>-57.9</v>
      </c>
      <c r="W67" s="74">
        <f t="shared" si="8"/>
        <v>-40</v>
      </c>
      <c r="X67" s="74">
        <f t="shared" si="8"/>
        <v>-51.7</v>
      </c>
      <c r="Y67" s="74">
        <f t="shared" si="8"/>
        <v>-41</v>
      </c>
      <c r="Z67" s="74">
        <f t="shared" si="8"/>
        <v>-50</v>
      </c>
      <c r="AA67" s="74">
        <f t="shared" si="8"/>
        <v>-61.7</v>
      </c>
      <c r="AB67" s="74">
        <f t="shared" si="8"/>
        <v>-46.4</v>
      </c>
      <c r="AC67" s="74">
        <f t="shared" si="8"/>
        <v>-55.1</v>
      </c>
      <c r="AD67" s="74">
        <f t="shared" si="8"/>
        <v>-45</v>
      </c>
      <c r="AE67" s="74">
        <f t="shared" si="8"/>
        <v>-52</v>
      </c>
      <c r="AF67" s="74">
        <f t="shared" si="8"/>
        <v>-72</v>
      </c>
      <c r="AG67" s="79">
        <f>SUM(AG56:AG66)</f>
        <v>0</v>
      </c>
      <c r="AH67" s="56">
        <f t="shared" si="2"/>
        <v>-36.299999999999997</v>
      </c>
      <c r="AI67" s="57">
        <f t="shared" si="3"/>
        <v>-110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9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9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5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9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9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667.54</v>
      </c>
      <c r="C72" s="90">
        <f t="shared" ref="C72:AG72" si="10">C67+C55+C51+C37+C71</f>
        <v>642.04</v>
      </c>
      <c r="D72" s="90">
        <f t="shared" si="10"/>
        <v>649.24</v>
      </c>
      <c r="E72" s="90">
        <f t="shared" si="10"/>
        <v>655.64</v>
      </c>
      <c r="F72" s="90">
        <f t="shared" si="10"/>
        <v>731.64</v>
      </c>
      <c r="G72" s="90">
        <f t="shared" si="10"/>
        <v>731.64</v>
      </c>
      <c r="H72" s="90">
        <f t="shared" si="10"/>
        <v>822.93999999999994</v>
      </c>
      <c r="I72" s="90">
        <f t="shared" si="10"/>
        <v>848.44</v>
      </c>
      <c r="J72" s="90">
        <f t="shared" si="10"/>
        <v>905.54</v>
      </c>
      <c r="K72" s="90">
        <f t="shared" si="10"/>
        <v>939.54</v>
      </c>
      <c r="L72" s="90">
        <f t="shared" si="10"/>
        <v>940.64</v>
      </c>
      <c r="M72" s="90">
        <f t="shared" si="10"/>
        <v>910.24</v>
      </c>
      <c r="N72" s="90">
        <f t="shared" si="10"/>
        <v>896.7399999999999</v>
      </c>
      <c r="O72" s="90">
        <f t="shared" si="10"/>
        <v>873.63999999999987</v>
      </c>
      <c r="P72" s="90">
        <f t="shared" si="10"/>
        <v>833.63999999999987</v>
      </c>
      <c r="Q72" s="90">
        <f t="shared" si="10"/>
        <v>862.93999999999994</v>
      </c>
      <c r="R72" s="90">
        <f t="shared" si="10"/>
        <v>877.93999999999994</v>
      </c>
      <c r="S72" s="90">
        <f t="shared" si="10"/>
        <v>857.74</v>
      </c>
      <c r="T72" s="90">
        <f t="shared" si="10"/>
        <v>855.03999999999985</v>
      </c>
      <c r="U72" s="90">
        <f t="shared" si="10"/>
        <v>956.7399999999999</v>
      </c>
      <c r="V72" s="90">
        <f t="shared" si="10"/>
        <v>1115.94</v>
      </c>
      <c r="W72" s="90">
        <f t="shared" si="10"/>
        <v>1263.04</v>
      </c>
      <c r="X72" s="90">
        <f t="shared" si="10"/>
        <v>1186.0400000000002</v>
      </c>
      <c r="Y72" s="90">
        <f t="shared" si="10"/>
        <v>1129.54</v>
      </c>
      <c r="Z72" s="90">
        <f t="shared" si="10"/>
        <v>1058.54</v>
      </c>
      <c r="AA72" s="90">
        <f t="shared" si="10"/>
        <v>1023.3399999999999</v>
      </c>
      <c r="AB72" s="90">
        <f t="shared" si="10"/>
        <v>968.74</v>
      </c>
      <c r="AC72" s="90">
        <f t="shared" si="10"/>
        <v>895.74</v>
      </c>
      <c r="AD72" s="90">
        <f t="shared" si="10"/>
        <v>779.33999999999992</v>
      </c>
      <c r="AE72" s="90">
        <f t="shared" si="10"/>
        <v>747.14</v>
      </c>
      <c r="AF72" s="90">
        <f t="shared" si="10"/>
        <v>727.74</v>
      </c>
      <c r="AG72" s="90">
        <f t="shared" si="10"/>
        <v>2133.14</v>
      </c>
      <c r="AH72" s="56">
        <f t="shared" si="2"/>
        <v>1263.04</v>
      </c>
      <c r="AI72" s="57">
        <f t="shared" si="3"/>
        <v>642.04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B71+B67+B55+B51+B37+B73</f>
        <v>667.54</v>
      </c>
      <c r="C74" s="90">
        <f t="shared" ref="C74:AF74" si="11">C71+C67+C55+C51+C37+C73</f>
        <v>642.04</v>
      </c>
      <c r="D74" s="90">
        <f t="shared" si="11"/>
        <v>649.24</v>
      </c>
      <c r="E74" s="90">
        <f t="shared" si="11"/>
        <v>655.64</v>
      </c>
      <c r="F74" s="90">
        <f t="shared" si="11"/>
        <v>731.64</v>
      </c>
      <c r="G74" s="90">
        <f t="shared" si="11"/>
        <v>731.64</v>
      </c>
      <c r="H74" s="90">
        <f t="shared" si="11"/>
        <v>822.93999999999994</v>
      </c>
      <c r="I74" s="90">
        <f t="shared" si="11"/>
        <v>848.44</v>
      </c>
      <c r="J74" s="90">
        <f t="shared" si="11"/>
        <v>905.54</v>
      </c>
      <c r="K74" s="90">
        <f t="shared" si="11"/>
        <v>939.54</v>
      </c>
      <c r="L74" s="90">
        <f t="shared" si="11"/>
        <v>940.64</v>
      </c>
      <c r="M74" s="90">
        <f t="shared" si="11"/>
        <v>910.24</v>
      </c>
      <c r="N74" s="90">
        <f t="shared" si="11"/>
        <v>896.7399999999999</v>
      </c>
      <c r="O74" s="90">
        <f t="shared" si="11"/>
        <v>873.63999999999987</v>
      </c>
      <c r="P74" s="90">
        <f t="shared" si="11"/>
        <v>833.63999999999987</v>
      </c>
      <c r="Q74" s="90">
        <f t="shared" si="11"/>
        <v>862.93999999999994</v>
      </c>
      <c r="R74" s="90">
        <f t="shared" si="11"/>
        <v>877.93999999999994</v>
      </c>
      <c r="S74" s="90">
        <f t="shared" si="11"/>
        <v>857.74</v>
      </c>
      <c r="T74" s="90">
        <f t="shared" si="11"/>
        <v>855.03999999999985</v>
      </c>
      <c r="U74" s="90">
        <f t="shared" si="11"/>
        <v>956.7399999999999</v>
      </c>
      <c r="V74" s="90">
        <f t="shared" si="11"/>
        <v>1115.94</v>
      </c>
      <c r="W74" s="90">
        <f t="shared" si="11"/>
        <v>1263.04</v>
      </c>
      <c r="X74" s="90">
        <f t="shared" si="11"/>
        <v>1186.0400000000002</v>
      </c>
      <c r="Y74" s="90">
        <f t="shared" si="11"/>
        <v>1129.54</v>
      </c>
      <c r="Z74" s="90">
        <f t="shared" si="11"/>
        <v>1058.54</v>
      </c>
      <c r="AA74" s="90">
        <f t="shared" si="11"/>
        <v>1023.3399999999999</v>
      </c>
      <c r="AB74" s="90">
        <f t="shared" si="11"/>
        <v>968.74</v>
      </c>
      <c r="AC74" s="90">
        <f t="shared" si="11"/>
        <v>895.74</v>
      </c>
      <c r="AD74" s="90">
        <f t="shared" si="11"/>
        <v>779.33999999999992</v>
      </c>
      <c r="AE74" s="90">
        <f t="shared" si="11"/>
        <v>747.14</v>
      </c>
      <c r="AF74" s="90">
        <f t="shared" si="11"/>
        <v>727.74</v>
      </c>
      <c r="AG74" s="79">
        <f>AG71+AG67+AG55+AG51+AG37+AG73</f>
        <v>2133.14</v>
      </c>
      <c r="AH74" s="56">
        <f t="shared" si="2"/>
        <v>1263.04</v>
      </c>
      <c r="AI74" s="57">
        <f t="shared" si="3"/>
        <v>642.04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84.5</v>
      </c>
      <c r="C78" s="60">
        <f t="shared" ref="C78:AF78" si="15">IF(C58&lt;0,C58*-1,0)</f>
        <v>110</v>
      </c>
      <c r="D78" s="60">
        <f t="shared" si="15"/>
        <v>102.5</v>
      </c>
      <c r="E78" s="60">
        <f t="shared" si="15"/>
        <v>96</v>
      </c>
      <c r="F78" s="60">
        <f t="shared" si="15"/>
        <v>56</v>
      </c>
      <c r="G78" s="60">
        <f t="shared" si="15"/>
        <v>56</v>
      </c>
      <c r="H78" s="60">
        <f t="shared" si="15"/>
        <v>50</v>
      </c>
      <c r="I78" s="60">
        <f t="shared" si="15"/>
        <v>82.6</v>
      </c>
      <c r="J78" s="60">
        <f t="shared" si="15"/>
        <v>44</v>
      </c>
      <c r="K78" s="60">
        <f t="shared" si="15"/>
        <v>47</v>
      </c>
      <c r="L78" s="60">
        <f t="shared" si="15"/>
        <v>76.5</v>
      </c>
      <c r="M78" s="60">
        <f t="shared" si="15"/>
        <v>36.299999999999997</v>
      </c>
      <c r="N78" s="60">
        <f t="shared" si="15"/>
        <v>52.8</v>
      </c>
      <c r="O78" s="60">
        <f t="shared" si="15"/>
        <v>51.6</v>
      </c>
      <c r="P78" s="60">
        <f t="shared" si="15"/>
        <v>58.6</v>
      </c>
      <c r="Q78" s="60">
        <f t="shared" si="15"/>
        <v>44.4</v>
      </c>
      <c r="R78" s="60">
        <f t="shared" si="15"/>
        <v>47.9</v>
      </c>
      <c r="S78" s="60">
        <f t="shared" si="15"/>
        <v>58.3</v>
      </c>
      <c r="T78" s="60">
        <f t="shared" si="15"/>
        <v>44.5</v>
      </c>
      <c r="U78" s="60">
        <f t="shared" si="15"/>
        <v>53</v>
      </c>
      <c r="V78" s="60">
        <f t="shared" si="15"/>
        <v>57.9</v>
      </c>
      <c r="W78" s="60">
        <v>40</v>
      </c>
      <c r="X78" s="60">
        <f t="shared" si="15"/>
        <v>51.7</v>
      </c>
      <c r="Y78" s="60">
        <f t="shared" si="15"/>
        <v>41</v>
      </c>
      <c r="Z78" s="60">
        <f t="shared" si="15"/>
        <v>50</v>
      </c>
      <c r="AA78" s="60">
        <f t="shared" si="15"/>
        <v>61.7</v>
      </c>
      <c r="AB78" s="60">
        <f t="shared" si="15"/>
        <v>46.4</v>
      </c>
      <c r="AC78" s="60">
        <f t="shared" si="15"/>
        <v>55.1</v>
      </c>
      <c r="AD78" s="60">
        <f t="shared" si="15"/>
        <v>45</v>
      </c>
      <c r="AE78" s="60">
        <f t="shared" si="15"/>
        <v>52</v>
      </c>
      <c r="AF78" s="60">
        <f t="shared" si="15"/>
        <v>72</v>
      </c>
      <c r="AG78" s="93"/>
      <c r="AH78" s="56">
        <f t="shared" ref="AH78:AH90" si="16">MAX(B78:AF78)</f>
        <v>110</v>
      </c>
      <c r="AI78" s="57">
        <f t="shared" ref="AI78:AI90" si="17">MIN(B78:AF78)</f>
        <v>36.299999999999997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>SUM(B75:B80)</f>
        <v>84.5</v>
      </c>
      <c r="C81" s="74">
        <f t="shared" ref="C81:AG81" si="19">SUM(C75:C80)</f>
        <v>110</v>
      </c>
      <c r="D81" s="74">
        <f t="shared" si="19"/>
        <v>102.5</v>
      </c>
      <c r="E81" s="74">
        <f t="shared" si="19"/>
        <v>96</v>
      </c>
      <c r="F81" s="74">
        <f t="shared" si="19"/>
        <v>56</v>
      </c>
      <c r="G81" s="74">
        <f t="shared" si="19"/>
        <v>56</v>
      </c>
      <c r="H81" s="74">
        <f t="shared" si="19"/>
        <v>50</v>
      </c>
      <c r="I81" s="74">
        <f t="shared" si="19"/>
        <v>82.6</v>
      </c>
      <c r="J81" s="74">
        <f t="shared" si="19"/>
        <v>44</v>
      </c>
      <c r="K81" s="74">
        <f t="shared" si="19"/>
        <v>47</v>
      </c>
      <c r="L81" s="74">
        <f t="shared" si="19"/>
        <v>76.5</v>
      </c>
      <c r="M81" s="74">
        <f t="shared" si="19"/>
        <v>36.299999999999997</v>
      </c>
      <c r="N81" s="74">
        <f t="shared" si="19"/>
        <v>52.8</v>
      </c>
      <c r="O81" s="74">
        <f t="shared" si="19"/>
        <v>51.6</v>
      </c>
      <c r="P81" s="74">
        <f t="shared" si="19"/>
        <v>58.6</v>
      </c>
      <c r="Q81" s="74">
        <f t="shared" si="19"/>
        <v>44.4</v>
      </c>
      <c r="R81" s="74">
        <f t="shared" si="19"/>
        <v>47.9</v>
      </c>
      <c r="S81" s="74">
        <f t="shared" si="19"/>
        <v>58.3</v>
      </c>
      <c r="T81" s="74">
        <f t="shared" si="19"/>
        <v>44.5</v>
      </c>
      <c r="U81" s="74">
        <f t="shared" si="19"/>
        <v>53</v>
      </c>
      <c r="V81" s="74">
        <f t="shared" si="19"/>
        <v>57.9</v>
      </c>
      <c r="W81" s="74">
        <f t="shared" si="19"/>
        <v>40</v>
      </c>
      <c r="X81" s="74">
        <f t="shared" si="19"/>
        <v>51.7</v>
      </c>
      <c r="Y81" s="74">
        <f t="shared" si="19"/>
        <v>41</v>
      </c>
      <c r="Z81" s="74">
        <f t="shared" si="19"/>
        <v>50</v>
      </c>
      <c r="AA81" s="74">
        <f t="shared" si="19"/>
        <v>61.7</v>
      </c>
      <c r="AB81" s="74">
        <f t="shared" si="19"/>
        <v>46.4</v>
      </c>
      <c r="AC81" s="74">
        <f t="shared" si="19"/>
        <v>55.1</v>
      </c>
      <c r="AD81" s="74">
        <f t="shared" si="19"/>
        <v>45</v>
      </c>
      <c r="AE81" s="74">
        <f t="shared" si="19"/>
        <v>52</v>
      </c>
      <c r="AF81" s="74">
        <f t="shared" si="19"/>
        <v>72</v>
      </c>
      <c r="AG81" s="79">
        <f t="shared" si="19"/>
        <v>0</v>
      </c>
      <c r="AH81" s="56">
        <f t="shared" si="16"/>
        <v>110</v>
      </c>
      <c r="AI81" s="57">
        <f t="shared" si="17"/>
        <v>36.299999999999997</v>
      </c>
      <c r="AK81" s="58"/>
    </row>
    <row r="82" spans="1:88" s="1" customFormat="1" ht="15.75" thickBot="1" x14ac:dyDescent="0.3">
      <c r="A82" s="73" t="s">
        <v>86</v>
      </c>
      <c r="B82" s="74">
        <f>SUM(B69:B81)</f>
        <v>1504.08</v>
      </c>
      <c r="C82" s="74">
        <f t="shared" ref="C82:AG82" si="20">SUM(C69:C81)</f>
        <v>1504.08</v>
      </c>
      <c r="D82" s="74">
        <f t="shared" si="20"/>
        <v>1503.48</v>
      </c>
      <c r="E82" s="74">
        <f t="shared" si="20"/>
        <v>1503.28</v>
      </c>
      <c r="F82" s="74">
        <f t="shared" si="20"/>
        <v>1575.28</v>
      </c>
      <c r="G82" s="74">
        <f t="shared" si="20"/>
        <v>1575.28</v>
      </c>
      <c r="H82" s="74">
        <f t="shared" si="20"/>
        <v>1745.8799999999999</v>
      </c>
      <c r="I82" s="74">
        <f t="shared" si="20"/>
        <v>1862.08</v>
      </c>
      <c r="J82" s="74">
        <f t="shared" si="20"/>
        <v>1899.08</v>
      </c>
      <c r="K82" s="74">
        <f t="shared" si="20"/>
        <v>1973.08</v>
      </c>
      <c r="L82" s="74">
        <f t="shared" si="20"/>
        <v>2034.28</v>
      </c>
      <c r="M82" s="74">
        <f t="shared" si="20"/>
        <v>1893.08</v>
      </c>
      <c r="N82" s="74">
        <f t="shared" si="20"/>
        <v>1899.0799999999997</v>
      </c>
      <c r="O82" s="74">
        <f t="shared" si="20"/>
        <v>1850.4799999999996</v>
      </c>
      <c r="P82" s="74">
        <f t="shared" si="20"/>
        <v>1784.4799999999996</v>
      </c>
      <c r="Q82" s="74">
        <f t="shared" si="20"/>
        <v>1814.68</v>
      </c>
      <c r="R82" s="74">
        <f t="shared" si="20"/>
        <v>1851.68</v>
      </c>
      <c r="S82" s="74">
        <f t="shared" si="20"/>
        <v>1832.08</v>
      </c>
      <c r="T82" s="74">
        <f t="shared" si="20"/>
        <v>1799.0799999999997</v>
      </c>
      <c r="U82" s="74">
        <f t="shared" si="20"/>
        <v>2019.4799999999998</v>
      </c>
      <c r="V82" s="74">
        <f t="shared" si="20"/>
        <v>2365.6800000000003</v>
      </c>
      <c r="W82" s="74">
        <f t="shared" si="20"/>
        <v>2606.08</v>
      </c>
      <c r="X82" s="74">
        <f t="shared" si="20"/>
        <v>2475.48</v>
      </c>
      <c r="Y82" s="74">
        <f t="shared" si="20"/>
        <v>2341.08</v>
      </c>
      <c r="Z82" s="74">
        <f t="shared" si="20"/>
        <v>2217.08</v>
      </c>
      <c r="AA82" s="74">
        <f t="shared" si="20"/>
        <v>2170.0799999999995</v>
      </c>
      <c r="AB82" s="74">
        <f t="shared" si="20"/>
        <v>2030.2800000000002</v>
      </c>
      <c r="AC82" s="74">
        <f t="shared" si="20"/>
        <v>1901.6799999999998</v>
      </c>
      <c r="AD82" s="74">
        <f t="shared" si="20"/>
        <v>1648.6799999999998</v>
      </c>
      <c r="AE82" s="74">
        <f t="shared" si="20"/>
        <v>1598.28</v>
      </c>
      <c r="AF82" s="74">
        <f t="shared" si="20"/>
        <v>1599.48</v>
      </c>
      <c r="AG82" s="79">
        <f t="shared" si="20"/>
        <v>4338.08</v>
      </c>
      <c r="AH82" s="56">
        <f t="shared" si="16"/>
        <v>2606.08</v>
      </c>
      <c r="AI82" s="57">
        <f t="shared" si="17"/>
        <v>1503.28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7">
        <v>49.948</v>
      </c>
      <c r="C83" s="96">
        <v>49.978999999999999</v>
      </c>
      <c r="D83" s="96">
        <v>49.970999999999997</v>
      </c>
      <c r="E83" s="96">
        <v>49.973999999999997</v>
      </c>
      <c r="F83" s="96">
        <v>49.95</v>
      </c>
      <c r="G83" s="96">
        <v>49.95</v>
      </c>
      <c r="H83" s="96">
        <v>49.95</v>
      </c>
      <c r="I83" s="96">
        <v>50.085000000000001</v>
      </c>
      <c r="J83" s="96">
        <v>49.957000000000001</v>
      </c>
      <c r="K83" s="96">
        <v>49.786999999999999</v>
      </c>
      <c r="L83" s="96">
        <v>49.85</v>
      </c>
      <c r="M83" s="96">
        <v>50.09</v>
      </c>
      <c r="N83" s="96">
        <v>50.027000000000001</v>
      </c>
      <c r="O83" s="96">
        <v>50.029000000000003</v>
      </c>
      <c r="P83" s="96">
        <v>50.03</v>
      </c>
      <c r="Q83" s="96">
        <v>50.1</v>
      </c>
      <c r="R83" s="96">
        <v>50.057000000000002</v>
      </c>
      <c r="S83" s="96">
        <v>50.005000000000003</v>
      </c>
      <c r="T83" s="96">
        <v>50.027000000000001</v>
      </c>
      <c r="U83" s="96">
        <v>49.968000000000004</v>
      </c>
      <c r="V83" s="96">
        <v>49.892000000000003</v>
      </c>
      <c r="W83" s="96">
        <v>50.027000000000001</v>
      </c>
      <c r="X83" s="96">
        <v>50.033999999999999</v>
      </c>
      <c r="Y83" s="96">
        <v>50.01</v>
      </c>
      <c r="Z83" s="96">
        <v>50.058999999999997</v>
      </c>
      <c r="AA83" s="96">
        <v>50.088999999999999</v>
      </c>
      <c r="AB83" s="96">
        <v>50.012</v>
      </c>
      <c r="AC83" s="96">
        <v>49.975999999999999</v>
      </c>
      <c r="AD83" s="96">
        <v>50.09</v>
      </c>
      <c r="AE83" s="96">
        <v>50.04</v>
      </c>
      <c r="AF83" s="97">
        <v>50.01</v>
      </c>
      <c r="AG83" s="98"/>
      <c r="AH83" s="56">
        <f t="shared" si="16"/>
        <v>50.1</v>
      </c>
      <c r="AI83" s="57">
        <f t="shared" si="17"/>
        <v>49.786999999999999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101">
        <v>130.4</v>
      </c>
      <c r="C84" s="52">
        <v>130.9</v>
      </c>
      <c r="D84" s="52">
        <v>131</v>
      </c>
      <c r="E84" s="52">
        <v>130.5</v>
      </c>
      <c r="F84" s="52">
        <v>129.30000000000001</v>
      </c>
      <c r="G84" s="52">
        <v>129.30000000000001</v>
      </c>
      <c r="H84" s="52">
        <v>129.30000000000001</v>
      </c>
      <c r="I84" s="52">
        <v>128.69999999999999</v>
      </c>
      <c r="J84" s="52">
        <v>126.8</v>
      </c>
      <c r="K84" s="52">
        <v>126.5</v>
      </c>
      <c r="L84" s="52">
        <v>127.1</v>
      </c>
      <c r="M84" s="52">
        <v>126.3</v>
      </c>
      <c r="N84" s="52">
        <v>127</v>
      </c>
      <c r="O84" s="52">
        <v>127</v>
      </c>
      <c r="P84" s="52">
        <v>127.7</v>
      </c>
      <c r="Q84" s="52">
        <v>126.4</v>
      </c>
      <c r="R84" s="52">
        <v>127.1</v>
      </c>
      <c r="S84" s="52">
        <v>127.1</v>
      </c>
      <c r="T84" s="100">
        <v>127.3</v>
      </c>
      <c r="U84" s="100">
        <v>127.1</v>
      </c>
      <c r="V84" s="100">
        <v>126.8</v>
      </c>
      <c r="W84" s="100">
        <v>126.1</v>
      </c>
      <c r="X84" s="100">
        <v>126.3</v>
      </c>
      <c r="Y84" s="100">
        <v>126.3</v>
      </c>
      <c r="Z84" s="100">
        <v>128.4</v>
      </c>
      <c r="AA84" s="52">
        <v>128.69999999999999</v>
      </c>
      <c r="AB84" s="52">
        <v>129.1</v>
      </c>
      <c r="AC84" s="52">
        <v>129.1</v>
      </c>
      <c r="AD84" s="52">
        <v>130.5</v>
      </c>
      <c r="AE84" s="52">
        <v>129.9</v>
      </c>
      <c r="AF84" s="101">
        <v>130.5</v>
      </c>
      <c r="AG84" s="102"/>
      <c r="AH84" s="56">
        <f t="shared" si="16"/>
        <v>131</v>
      </c>
      <c r="AI84" s="57">
        <f t="shared" si="17"/>
        <v>126.1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1">
        <v>132.9</v>
      </c>
      <c r="C85" s="52">
        <v>133.5</v>
      </c>
      <c r="D85" s="52">
        <v>133.5</v>
      </c>
      <c r="E85" s="52">
        <v>133.1</v>
      </c>
      <c r="F85" s="52">
        <v>131.4</v>
      </c>
      <c r="G85" s="52">
        <v>131.4</v>
      </c>
      <c r="H85" s="52">
        <v>131.4</v>
      </c>
      <c r="I85" s="52">
        <v>130.4</v>
      </c>
      <c r="J85" s="52">
        <v>128.30000000000001</v>
      </c>
      <c r="K85" s="52">
        <v>127.9</v>
      </c>
      <c r="L85" s="52">
        <v>128.5</v>
      </c>
      <c r="M85" s="52">
        <v>127.6</v>
      </c>
      <c r="N85" s="52">
        <v>128.5</v>
      </c>
      <c r="O85" s="52">
        <v>128.5</v>
      </c>
      <c r="P85" s="52">
        <v>129.19999999999999</v>
      </c>
      <c r="Q85" s="52">
        <v>128.19999999999999</v>
      </c>
      <c r="R85" s="52">
        <v>128.80000000000001</v>
      </c>
      <c r="S85" s="52">
        <v>129.4</v>
      </c>
      <c r="T85" s="100">
        <v>128.80000000000001</v>
      </c>
      <c r="U85" s="100">
        <v>129</v>
      </c>
      <c r="V85" s="100">
        <v>128.5</v>
      </c>
      <c r="W85" s="100">
        <v>127.3</v>
      </c>
      <c r="X85" s="100">
        <v>127.9</v>
      </c>
      <c r="Y85" s="100">
        <v>127.9</v>
      </c>
      <c r="Z85" s="100">
        <v>130.9</v>
      </c>
      <c r="AA85" s="52">
        <v>130.69999999999999</v>
      </c>
      <c r="AB85" s="52">
        <v>131</v>
      </c>
      <c r="AC85" s="52">
        <v>131.1</v>
      </c>
      <c r="AD85" s="52">
        <v>132.69999999999999</v>
      </c>
      <c r="AE85" s="52">
        <v>132.30000000000001</v>
      </c>
      <c r="AF85" s="101">
        <v>132.80000000000001</v>
      </c>
      <c r="AG85" s="102"/>
      <c r="AH85" s="56">
        <f t="shared" si="16"/>
        <v>133.5</v>
      </c>
      <c r="AI85" s="57">
        <f t="shared" si="17"/>
        <v>127.3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1">
        <v>130.5</v>
      </c>
      <c r="C86" s="52">
        <v>130.4</v>
      </c>
      <c r="D86" s="52">
        <v>130.19999999999999</v>
      </c>
      <c r="E86" s="52">
        <v>130.30000000000001</v>
      </c>
      <c r="F86" s="52">
        <v>128.69999999999999</v>
      </c>
      <c r="G86" s="52">
        <v>128.69999999999999</v>
      </c>
      <c r="H86" s="52">
        <v>128.69999999999999</v>
      </c>
      <c r="I86" s="52">
        <v>127.7</v>
      </c>
      <c r="J86" s="52">
        <v>129.4</v>
      </c>
      <c r="K86" s="52">
        <v>128.30000000000001</v>
      </c>
      <c r="L86" s="52">
        <v>128.30000000000001</v>
      </c>
      <c r="M86" s="52">
        <v>128</v>
      </c>
      <c r="N86" s="52">
        <v>130.19999999999999</v>
      </c>
      <c r="O86" s="52">
        <v>130.19999999999999</v>
      </c>
      <c r="P86" s="52">
        <v>128.80000000000001</v>
      </c>
      <c r="Q86" s="52">
        <v>129.30000000000001</v>
      </c>
      <c r="R86" s="52">
        <v>129.9</v>
      </c>
      <c r="S86" s="52">
        <v>127.5</v>
      </c>
      <c r="T86" s="52">
        <v>129.4</v>
      </c>
      <c r="U86" s="52">
        <v>131.69999999999999</v>
      </c>
      <c r="V86" s="52">
        <v>128.30000000000001</v>
      </c>
      <c r="W86" s="100">
        <v>129.30000000000001</v>
      </c>
      <c r="X86" s="100">
        <v>130</v>
      </c>
      <c r="Y86" s="100">
        <v>130</v>
      </c>
      <c r="Z86" s="100">
        <v>130.9</v>
      </c>
      <c r="AA86" s="52">
        <v>131.4</v>
      </c>
      <c r="AB86" s="52">
        <v>129.69999999999999</v>
      </c>
      <c r="AC86" s="52">
        <v>128.30000000000001</v>
      </c>
      <c r="AD86" s="52">
        <v>130</v>
      </c>
      <c r="AE86" s="52">
        <v>129.5</v>
      </c>
      <c r="AF86" s="101">
        <v>129.9</v>
      </c>
      <c r="AG86" s="102"/>
      <c r="AH86" s="56">
        <f t="shared" si="16"/>
        <v>131.69999999999999</v>
      </c>
      <c r="AI86" s="57">
        <f t="shared" si="17"/>
        <v>127.5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101">
        <v>133.1</v>
      </c>
      <c r="C87" s="52">
        <v>133.4</v>
      </c>
      <c r="D87" s="52">
        <v>133.30000000000001</v>
      </c>
      <c r="E87" s="52">
        <v>133.30000000000001</v>
      </c>
      <c r="F87" s="52">
        <v>131.19999999999999</v>
      </c>
      <c r="G87" s="52">
        <v>131.19999999999999</v>
      </c>
      <c r="H87" s="52">
        <v>131.19999999999999</v>
      </c>
      <c r="I87" s="52">
        <v>130.30000000000001</v>
      </c>
      <c r="J87" s="52">
        <v>132.6</v>
      </c>
      <c r="K87" s="52">
        <v>131.4</v>
      </c>
      <c r="L87" s="52">
        <v>131.1</v>
      </c>
      <c r="M87" s="52">
        <v>130.5</v>
      </c>
      <c r="N87" s="52">
        <v>131.9</v>
      </c>
      <c r="O87" s="52">
        <v>131.9</v>
      </c>
      <c r="P87" s="52">
        <v>131.6</v>
      </c>
      <c r="Q87" s="52">
        <v>131.9</v>
      </c>
      <c r="R87" s="52">
        <v>132.6</v>
      </c>
      <c r="S87" s="52">
        <v>130.19999999999999</v>
      </c>
      <c r="T87" s="52">
        <v>131.5</v>
      </c>
      <c r="U87" s="52">
        <v>133.4</v>
      </c>
      <c r="V87" s="52">
        <v>129.69999999999999</v>
      </c>
      <c r="W87" s="100">
        <v>132.6</v>
      </c>
      <c r="X87" s="100">
        <v>132.1</v>
      </c>
      <c r="Y87" s="100">
        <v>132.1</v>
      </c>
      <c r="Z87" s="100">
        <v>134.19999999999999</v>
      </c>
      <c r="AA87" s="52">
        <v>134.9</v>
      </c>
      <c r="AB87" s="52">
        <v>134.1</v>
      </c>
      <c r="AC87" s="52">
        <v>131.69999999999999</v>
      </c>
      <c r="AD87" s="52">
        <v>133.30000000000001</v>
      </c>
      <c r="AE87" s="52">
        <v>132.6</v>
      </c>
      <c r="AF87" s="101">
        <v>132.9</v>
      </c>
      <c r="AG87" s="102"/>
      <c r="AH87" s="56">
        <f t="shared" si="16"/>
        <v>134.9</v>
      </c>
      <c r="AI87" s="57">
        <f t="shared" si="17"/>
        <v>129.69999999999999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5">
        <v>131</v>
      </c>
      <c r="C88" s="104">
        <v>133.4</v>
      </c>
      <c r="D88" s="104">
        <v>133.6</v>
      </c>
      <c r="E88" s="104">
        <v>134.4</v>
      </c>
      <c r="F88" s="104">
        <v>132.6</v>
      </c>
      <c r="G88" s="104">
        <v>132.6</v>
      </c>
      <c r="H88" s="104">
        <v>132.6</v>
      </c>
      <c r="I88" s="104">
        <v>133.1</v>
      </c>
      <c r="J88" s="104">
        <v>131.19999999999999</v>
      </c>
      <c r="K88" s="104">
        <v>134.4</v>
      </c>
      <c r="L88" s="104">
        <v>134.19999999999999</v>
      </c>
      <c r="M88" s="104">
        <v>133.80000000000001</v>
      </c>
      <c r="N88" s="104">
        <v>133.6</v>
      </c>
      <c r="O88" s="104">
        <v>133.6</v>
      </c>
      <c r="P88" s="104">
        <v>136.4</v>
      </c>
      <c r="Q88" s="104">
        <v>132.80000000000001</v>
      </c>
      <c r="R88" s="104">
        <v>131.4</v>
      </c>
      <c r="S88" s="104">
        <v>132.80000000000001</v>
      </c>
      <c r="T88" s="104">
        <v>132.80000000000001</v>
      </c>
      <c r="U88" s="104">
        <v>133.69999999999999</v>
      </c>
      <c r="V88" s="104">
        <v>135.19999999999999</v>
      </c>
      <c r="W88" s="100">
        <v>132.4</v>
      </c>
      <c r="X88" s="100">
        <v>135.5</v>
      </c>
      <c r="Y88" s="100">
        <v>135.5</v>
      </c>
      <c r="Z88" s="100">
        <v>133.9</v>
      </c>
      <c r="AA88" s="104">
        <v>134.69999999999999</v>
      </c>
      <c r="AB88" s="104">
        <v>134.9</v>
      </c>
      <c r="AC88" s="104">
        <v>134.19999999999999</v>
      </c>
      <c r="AD88" s="104">
        <v>132.6</v>
      </c>
      <c r="AE88" s="104">
        <v>129.9</v>
      </c>
      <c r="AF88" s="105">
        <v>132.5</v>
      </c>
      <c r="AG88" s="106"/>
      <c r="AH88" s="56">
        <f t="shared" si="16"/>
        <v>136.4</v>
      </c>
      <c r="AI88" s="57">
        <f t="shared" si="17"/>
        <v>129.9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101">
        <v>131.4</v>
      </c>
      <c r="C89" s="52">
        <v>134.19999999999999</v>
      </c>
      <c r="D89" s="52">
        <v>134.30000000000001</v>
      </c>
      <c r="E89" s="52">
        <v>135.5</v>
      </c>
      <c r="F89" s="52">
        <v>131</v>
      </c>
      <c r="G89" s="52">
        <v>131</v>
      </c>
      <c r="H89" s="52">
        <v>131</v>
      </c>
      <c r="I89" s="52">
        <v>132.30000000000001</v>
      </c>
      <c r="J89" s="52">
        <v>128.19999999999999</v>
      </c>
      <c r="K89" s="52">
        <v>130.19999999999999</v>
      </c>
      <c r="L89" s="52">
        <v>129.9</v>
      </c>
      <c r="M89" s="52">
        <v>130.1</v>
      </c>
      <c r="N89" s="52">
        <v>129.9</v>
      </c>
      <c r="O89" s="52">
        <v>129.9</v>
      </c>
      <c r="P89" s="52">
        <v>134.9</v>
      </c>
      <c r="Q89" s="52">
        <v>130.9</v>
      </c>
      <c r="R89" s="52">
        <v>128</v>
      </c>
      <c r="S89" s="52">
        <v>131.5</v>
      </c>
      <c r="T89" s="52">
        <v>132.30000000000001</v>
      </c>
      <c r="U89" s="52">
        <v>131.4</v>
      </c>
      <c r="V89" s="52">
        <v>133.69999999999999</v>
      </c>
      <c r="W89" s="100">
        <v>130.4</v>
      </c>
      <c r="X89" s="100">
        <v>132.6</v>
      </c>
      <c r="Y89" s="100">
        <v>132.6</v>
      </c>
      <c r="Z89" s="100">
        <v>134.19999999999999</v>
      </c>
      <c r="AA89" s="52">
        <v>133.80000000000001</v>
      </c>
      <c r="AB89" s="52">
        <v>134.30000000000001</v>
      </c>
      <c r="AC89" s="52">
        <v>135</v>
      </c>
      <c r="AD89" s="52">
        <v>134.69999999999999</v>
      </c>
      <c r="AE89" s="52">
        <v>132.30000000000001</v>
      </c>
      <c r="AF89" s="101">
        <v>134.9</v>
      </c>
      <c r="AG89" s="102"/>
      <c r="AH89" s="56">
        <f t="shared" si="16"/>
        <v>135.5</v>
      </c>
      <c r="AI89" s="57">
        <f t="shared" si="17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8">
        <v>67.7</v>
      </c>
      <c r="C90" s="107">
        <v>67.8</v>
      </c>
      <c r="D90" s="107">
        <v>67.900000000000006</v>
      </c>
      <c r="E90" s="107">
        <v>67.7</v>
      </c>
      <c r="F90" s="107">
        <v>66.8</v>
      </c>
      <c r="G90" s="107">
        <v>66.8</v>
      </c>
      <c r="H90" s="107">
        <v>66.8</v>
      </c>
      <c r="I90" s="107">
        <v>66.2</v>
      </c>
      <c r="J90" s="107">
        <v>65.2</v>
      </c>
      <c r="K90" s="107">
        <v>64.900000000000006</v>
      </c>
      <c r="L90" s="107">
        <v>65.400000000000006</v>
      </c>
      <c r="M90" s="107">
        <v>64.900000000000006</v>
      </c>
      <c r="N90" s="107">
        <v>65.3</v>
      </c>
      <c r="O90" s="107">
        <v>65.3</v>
      </c>
      <c r="P90" s="107">
        <v>65.8</v>
      </c>
      <c r="Q90" s="107">
        <v>65.099999999999994</v>
      </c>
      <c r="R90" s="107">
        <v>65.5</v>
      </c>
      <c r="S90" s="107">
        <v>65.599999999999994</v>
      </c>
      <c r="T90" s="107">
        <v>65.5</v>
      </c>
      <c r="U90" s="107">
        <v>65.599999999999994</v>
      </c>
      <c r="V90" s="107">
        <v>65.400000000000006</v>
      </c>
      <c r="W90" s="107">
        <v>64.900000000000006</v>
      </c>
      <c r="X90" s="107">
        <v>65.2</v>
      </c>
      <c r="Y90" s="107">
        <v>65.2</v>
      </c>
      <c r="Z90" s="107">
        <v>66.599999999999994</v>
      </c>
      <c r="AA90" s="107">
        <v>66.7</v>
      </c>
      <c r="AB90" s="107">
        <v>66.8</v>
      </c>
      <c r="AC90" s="107">
        <v>66.8</v>
      </c>
      <c r="AD90" s="107">
        <v>67</v>
      </c>
      <c r="AE90" s="107">
        <v>67</v>
      </c>
      <c r="AF90" s="108">
        <v>67</v>
      </c>
      <c r="AG90" s="109"/>
      <c r="AH90" s="56">
        <f t="shared" si="16"/>
        <v>67.900000000000006</v>
      </c>
      <c r="AI90" s="57">
        <f t="shared" si="17"/>
        <v>64.900000000000006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5">
        <f>SUM(B15,B18,B21:B22,B41,B43:B44,B46,B48,B93:B96,B101,B107,B113,B122,B124,B136,B143,B146:B147,B154,B156,B158,B162:B164,B166:B168,B173,B179:B180,B182:B184,B192,B197)</f>
        <v>122.43999999999998</v>
      </c>
      <c r="C92" s="114">
        <f t="shared" ref="C92:AF92" si="21">SUM(C15,C18,C21:C22,C41,C43:C44,C46,C48,C93:C96,C101,C107,C113,C122,C124,C136,C143,C146:C147,C154,C156,C158,C162:C164,C166:C168,C173,C179:C180,C182:C184,C192,C197)</f>
        <v>144.33999999999997</v>
      </c>
      <c r="D92" s="114">
        <f t="shared" si="21"/>
        <v>121.03999999999998</v>
      </c>
      <c r="E92" s="114">
        <f t="shared" si="21"/>
        <v>123.53999999999998</v>
      </c>
      <c r="F92" s="115">
        <f t="shared" si="21"/>
        <v>143.53999999999996</v>
      </c>
      <c r="G92" s="115">
        <f t="shared" si="21"/>
        <v>159.03999999999996</v>
      </c>
      <c r="H92" s="115">
        <f t="shared" si="21"/>
        <v>189.03999999999996</v>
      </c>
      <c r="I92" s="115">
        <f t="shared" si="21"/>
        <v>231.33999999999997</v>
      </c>
      <c r="J92" s="115">
        <f t="shared" si="21"/>
        <v>268.64</v>
      </c>
      <c r="K92" s="115">
        <f t="shared" si="21"/>
        <v>257.84000000000003</v>
      </c>
      <c r="L92" s="115">
        <f t="shared" si="21"/>
        <v>281.84000000000003</v>
      </c>
      <c r="M92" s="115">
        <f t="shared" si="21"/>
        <v>262.14000000000004</v>
      </c>
      <c r="N92" s="115">
        <f t="shared" si="21"/>
        <v>253.43999999999994</v>
      </c>
      <c r="O92" s="115">
        <f t="shared" si="21"/>
        <v>240.43999999999997</v>
      </c>
      <c r="P92" s="115">
        <f t="shared" si="21"/>
        <v>221.64</v>
      </c>
      <c r="Q92" s="115">
        <f t="shared" si="21"/>
        <v>223.23999999999998</v>
      </c>
      <c r="R92" s="115">
        <f t="shared" si="21"/>
        <v>221.14</v>
      </c>
      <c r="S92" s="115">
        <f t="shared" si="21"/>
        <v>228.14</v>
      </c>
      <c r="T92" s="115">
        <f t="shared" si="21"/>
        <v>240.53999999999996</v>
      </c>
      <c r="U92" s="115">
        <f t="shared" si="21"/>
        <v>264.04000000000002</v>
      </c>
      <c r="V92" s="115">
        <f t="shared" si="21"/>
        <v>300.94000000000005</v>
      </c>
      <c r="W92" s="115">
        <f t="shared" si="21"/>
        <v>341.14000000000004</v>
      </c>
      <c r="X92" s="115">
        <f t="shared" si="21"/>
        <v>331.24000000000007</v>
      </c>
      <c r="Y92" s="115">
        <f t="shared" si="21"/>
        <v>331.24000000000007</v>
      </c>
      <c r="Z92" s="115">
        <f t="shared" si="21"/>
        <v>288.84000000000003</v>
      </c>
      <c r="AA92" s="115">
        <f t="shared" si="21"/>
        <v>279.44</v>
      </c>
      <c r="AB92" s="115">
        <f t="shared" si="21"/>
        <v>259.34000000000003</v>
      </c>
      <c r="AC92" s="115">
        <f t="shared" si="21"/>
        <v>243.83999999999995</v>
      </c>
      <c r="AD92" s="115">
        <f t="shared" si="21"/>
        <v>176.53999999999996</v>
      </c>
      <c r="AE92" s="115">
        <f t="shared" si="21"/>
        <v>152.23999999999998</v>
      </c>
      <c r="AF92" s="115">
        <f t="shared" si="21"/>
        <v>137.73999999999998</v>
      </c>
      <c r="AG92" s="116"/>
      <c r="AH92" s="56">
        <f>MAX(B92:AF92)</f>
        <v>341.14000000000004</v>
      </c>
      <c r="AI92" s="57">
        <f>MIN(B92:AF92)</f>
        <v>121.03999999999998</v>
      </c>
    </row>
    <row r="93" spans="1:88" x14ac:dyDescent="0.25">
      <c r="A93" s="117" t="s">
        <v>96</v>
      </c>
      <c r="B93" s="119">
        <v>14.5</v>
      </c>
      <c r="C93" s="60">
        <v>22.5</v>
      </c>
      <c r="D93" s="60">
        <v>22.9</v>
      </c>
      <c r="E93" s="60">
        <v>25.9</v>
      </c>
      <c r="F93" s="60">
        <v>25.9</v>
      </c>
      <c r="G93" s="118">
        <v>22.7</v>
      </c>
      <c r="H93" s="118">
        <v>22.7</v>
      </c>
      <c r="I93" s="118">
        <v>31.4</v>
      </c>
      <c r="J93" s="118">
        <v>26.2</v>
      </c>
      <c r="K93" s="118">
        <v>6</v>
      </c>
      <c r="L93" s="118">
        <v>28.1</v>
      </c>
      <c r="M93" s="118">
        <v>17.899999999999999</v>
      </c>
      <c r="N93" s="118">
        <v>29.2</v>
      </c>
      <c r="O93" s="118">
        <v>27.2</v>
      </c>
      <c r="P93" s="118">
        <v>17.600000000000001</v>
      </c>
      <c r="Q93" s="118">
        <v>8</v>
      </c>
      <c r="R93" s="118">
        <v>2.7</v>
      </c>
      <c r="S93" s="118">
        <v>5.7</v>
      </c>
      <c r="T93" s="54">
        <v>-0.9</v>
      </c>
      <c r="U93" s="54">
        <v>14.1</v>
      </c>
      <c r="V93" s="54">
        <v>27</v>
      </c>
      <c r="W93" s="118">
        <v>4.4000000000000004</v>
      </c>
      <c r="X93" s="118">
        <v>15.3</v>
      </c>
      <c r="Y93" s="118">
        <v>15.3</v>
      </c>
      <c r="Z93" s="118">
        <v>18.3</v>
      </c>
      <c r="AA93" s="54">
        <v>26.1</v>
      </c>
      <c r="AB93" s="54">
        <v>28.5</v>
      </c>
      <c r="AC93" s="54">
        <v>25.2</v>
      </c>
      <c r="AD93" s="54">
        <v>1.3</v>
      </c>
      <c r="AE93" s="54">
        <v>-5.0999999999999996</v>
      </c>
      <c r="AF93" s="119">
        <v>-7.7</v>
      </c>
      <c r="AG93" s="120">
        <v>75</v>
      </c>
      <c r="AH93" s="56">
        <f t="shared" ref="AH93:AH98" si="22">IF(ABS(MAX(B93:AF93))&gt;ABS(MIN(B93:AF93)),MAX(B93:AF93),MIN(B93:AF93))</f>
        <v>31.4</v>
      </c>
      <c r="AI93" s="121">
        <f t="shared" ref="AI93:AI98" si="23">INDEX($B$9:$AF$9,1,MATCH(AH93,B93:AF93,0))</f>
        <v>0.27083333333333331</v>
      </c>
    </row>
    <row r="94" spans="1:88" x14ac:dyDescent="0.25">
      <c r="A94" s="122" t="s">
        <v>97</v>
      </c>
      <c r="B94" s="123">
        <v>-50</v>
      </c>
      <c r="C94" s="62">
        <v>-52</v>
      </c>
      <c r="D94" s="62">
        <v>-54</v>
      </c>
      <c r="E94" s="62">
        <v>-52</v>
      </c>
      <c r="F94" s="62">
        <v>-52</v>
      </c>
      <c r="G94" s="62">
        <v>-55</v>
      </c>
      <c r="H94" s="62">
        <v>-55</v>
      </c>
      <c r="I94" s="62">
        <v>-22</v>
      </c>
      <c r="J94" s="62">
        <v>-7</v>
      </c>
      <c r="K94" s="62">
        <v>-6</v>
      </c>
      <c r="L94" s="62">
        <f>-4.3-5.5</f>
        <v>-9.8000000000000007</v>
      </c>
      <c r="M94" s="62">
        <f>-0.2-0</f>
        <v>-0.2</v>
      </c>
      <c r="N94" s="62">
        <v>-7.5</v>
      </c>
      <c r="O94" s="62">
        <v>-13.5</v>
      </c>
      <c r="P94" s="62">
        <v>-13.5</v>
      </c>
      <c r="Q94" s="62">
        <f>-5.7-7.4</f>
        <v>-13.100000000000001</v>
      </c>
      <c r="R94" s="62">
        <v>-19</v>
      </c>
      <c r="S94" s="62">
        <v>-14.1</v>
      </c>
      <c r="T94" s="62">
        <v>-11.1</v>
      </c>
      <c r="U94" s="62">
        <v>-17.3</v>
      </c>
      <c r="V94" s="62">
        <v>-19.600000000000001</v>
      </c>
      <c r="W94" s="62">
        <v>-3.9</v>
      </c>
      <c r="X94" s="62">
        <v>-6.9</v>
      </c>
      <c r="Y94" s="62">
        <v>-6.9</v>
      </c>
      <c r="Z94" s="62">
        <v>-10.8</v>
      </c>
      <c r="AA94" s="52">
        <v>-20.7</v>
      </c>
      <c r="AB94" s="52">
        <v>-26.8</v>
      </c>
      <c r="AC94" s="52">
        <v>-25.3</v>
      </c>
      <c r="AD94" s="52">
        <f>-14.8-18</f>
        <v>-32.799999999999997</v>
      </c>
      <c r="AE94" s="52">
        <f>-20.2-24.6</f>
        <v>-44.8</v>
      </c>
      <c r="AF94" s="123">
        <f>-22.6-27.2</f>
        <v>-49.8</v>
      </c>
      <c r="AG94" s="120">
        <v>240</v>
      </c>
      <c r="AH94" s="56">
        <f t="shared" si="22"/>
        <v>-55</v>
      </c>
      <c r="AI94" s="121">
        <f t="shared" si="23"/>
        <v>0.22916666666666666</v>
      </c>
    </row>
    <row r="95" spans="1:88" x14ac:dyDescent="0.25">
      <c r="A95" s="122" t="s">
        <v>98</v>
      </c>
      <c r="B95" s="123">
        <v>0.4</v>
      </c>
      <c r="C95" s="62">
        <v>22.5</v>
      </c>
      <c r="D95" s="62">
        <v>2.5</v>
      </c>
      <c r="E95" s="62">
        <v>-1.4</v>
      </c>
      <c r="F95" s="62">
        <v>-1.4</v>
      </c>
      <c r="G95" s="62">
        <v>4.8</v>
      </c>
      <c r="H95" s="62">
        <v>4.8</v>
      </c>
      <c r="I95" s="62">
        <v>15.9</v>
      </c>
      <c r="J95" s="62">
        <v>15.8</v>
      </c>
      <c r="K95" s="62">
        <v>17</v>
      </c>
      <c r="L95" s="62">
        <v>17.2</v>
      </c>
      <c r="M95" s="62">
        <v>15</v>
      </c>
      <c r="N95" s="62">
        <v>15.4</v>
      </c>
      <c r="O95" s="62">
        <v>14.9</v>
      </c>
      <c r="P95" s="62">
        <v>14.9</v>
      </c>
      <c r="Q95" s="62">
        <v>10.3</v>
      </c>
      <c r="R95" s="62">
        <v>11.3</v>
      </c>
      <c r="S95" s="62">
        <v>13</v>
      </c>
      <c r="T95" s="62">
        <v>26.7</v>
      </c>
      <c r="U95" s="62">
        <v>14.4</v>
      </c>
      <c r="V95" s="62">
        <v>22.3</v>
      </c>
      <c r="W95" s="62">
        <v>37.9</v>
      </c>
      <c r="X95" s="62">
        <v>21.8</v>
      </c>
      <c r="Y95" s="62">
        <v>21.8</v>
      </c>
      <c r="Z95" s="62">
        <v>17.8</v>
      </c>
      <c r="AA95" s="52">
        <v>14</v>
      </c>
      <c r="AB95" s="52">
        <v>11.7</v>
      </c>
      <c r="AC95" s="52">
        <v>8.9</v>
      </c>
      <c r="AD95" s="52">
        <v>11.3</v>
      </c>
      <c r="AE95" s="52">
        <v>2.2000000000000002</v>
      </c>
      <c r="AF95" s="123">
        <v>-1.1000000000000001</v>
      </c>
      <c r="AG95" s="120">
        <v>60</v>
      </c>
      <c r="AH95" s="56">
        <f t="shared" si="22"/>
        <v>37.9</v>
      </c>
      <c r="AI95" s="121">
        <f t="shared" si="23"/>
        <v>0.75</v>
      </c>
    </row>
    <row r="96" spans="1:88" x14ac:dyDescent="0.25">
      <c r="A96" s="124" t="s">
        <v>99</v>
      </c>
      <c r="B96" s="126">
        <v>-4.9000000000000004</v>
      </c>
      <c r="C96" s="65">
        <v>-11.1</v>
      </c>
      <c r="D96" s="65">
        <v>-13</v>
      </c>
      <c r="E96" s="65">
        <v>-11</v>
      </c>
      <c r="F96" s="65">
        <v>-11</v>
      </c>
      <c r="G96" s="65">
        <v>4.5</v>
      </c>
      <c r="H96" s="65">
        <v>4.5</v>
      </c>
      <c r="I96" s="65">
        <v>14</v>
      </c>
      <c r="J96" s="65">
        <v>41.6</v>
      </c>
      <c r="K96" s="65">
        <v>49.7</v>
      </c>
      <c r="L96" s="65">
        <v>42.7</v>
      </c>
      <c r="M96" s="65">
        <v>54.1</v>
      </c>
      <c r="N96" s="65">
        <v>39.299999999999997</v>
      </c>
      <c r="O96" s="65">
        <v>36</v>
      </c>
      <c r="P96" s="65">
        <v>36</v>
      </c>
      <c r="Q96" s="65">
        <v>52.6</v>
      </c>
      <c r="R96" s="65">
        <v>49.4</v>
      </c>
      <c r="S96" s="65">
        <v>46.8</v>
      </c>
      <c r="T96" s="65">
        <v>38.6</v>
      </c>
      <c r="U96" s="65">
        <v>54.8</v>
      </c>
      <c r="V96" s="65">
        <v>51.5</v>
      </c>
      <c r="W96" s="65">
        <v>83</v>
      </c>
      <c r="X96" s="65">
        <v>81.3</v>
      </c>
      <c r="Y96" s="65">
        <v>81.3</v>
      </c>
      <c r="Z96" s="65">
        <v>66.400000000000006</v>
      </c>
      <c r="AA96" s="125">
        <v>51.1</v>
      </c>
      <c r="AB96" s="125">
        <v>37</v>
      </c>
      <c r="AC96" s="125">
        <v>26.1</v>
      </c>
      <c r="AD96" s="125">
        <v>16</v>
      </c>
      <c r="AE96" s="125">
        <v>20.2</v>
      </c>
      <c r="AF96" s="126">
        <v>16.8</v>
      </c>
      <c r="AG96" s="127">
        <v>120</v>
      </c>
      <c r="AH96" s="56">
        <f t="shared" si="22"/>
        <v>83</v>
      </c>
      <c r="AI96" s="121">
        <f t="shared" si="23"/>
        <v>0.75</v>
      </c>
    </row>
    <row r="97" spans="1:37" x14ac:dyDescent="0.25">
      <c r="A97" s="124" t="s">
        <v>100</v>
      </c>
      <c r="B97" s="126">
        <v>13.2</v>
      </c>
      <c r="C97" s="65">
        <v>8.8000000000000007</v>
      </c>
      <c r="D97" s="65">
        <v>6.6</v>
      </c>
      <c r="E97" s="65">
        <v>8.4</v>
      </c>
      <c r="F97" s="65">
        <v>8.4</v>
      </c>
      <c r="G97" s="65">
        <v>16.7</v>
      </c>
      <c r="H97" s="65">
        <v>16.7</v>
      </c>
      <c r="I97" s="65">
        <v>23</v>
      </c>
      <c r="J97" s="65">
        <v>40.4</v>
      </c>
      <c r="K97" s="65">
        <v>46.3</v>
      </c>
      <c r="L97" s="65">
        <v>36.299999999999997</v>
      </c>
      <c r="M97" s="65">
        <v>49.3</v>
      </c>
      <c r="N97" s="65">
        <v>35.1</v>
      </c>
      <c r="O97" s="65">
        <v>33.200000000000003</v>
      </c>
      <c r="P97" s="65">
        <v>33.200000000000003</v>
      </c>
      <c r="Q97" s="65">
        <v>45.8</v>
      </c>
      <c r="R97" s="65">
        <v>43.7</v>
      </c>
      <c r="S97" s="65">
        <v>38.6</v>
      </c>
      <c r="T97" s="65">
        <v>33.799999999999997</v>
      </c>
      <c r="U97" s="65">
        <v>43.1</v>
      </c>
      <c r="V97" s="65">
        <v>35.4</v>
      </c>
      <c r="W97" s="65">
        <v>57.3</v>
      </c>
      <c r="X97" s="65">
        <v>56.9</v>
      </c>
      <c r="Y97" s="65">
        <v>56.9</v>
      </c>
      <c r="Z97" s="65">
        <v>48.2</v>
      </c>
      <c r="AA97" s="125">
        <v>40</v>
      </c>
      <c r="AB97" s="125">
        <v>30.9</v>
      </c>
      <c r="AC97" s="125">
        <v>25.2</v>
      </c>
      <c r="AD97" s="125">
        <v>29.7</v>
      </c>
      <c r="AE97" s="125">
        <v>26.3</v>
      </c>
      <c r="AF97" s="126">
        <v>23.8</v>
      </c>
      <c r="AG97" s="127"/>
      <c r="AH97" s="56">
        <f t="shared" si="22"/>
        <v>57.3</v>
      </c>
      <c r="AI97" s="121">
        <f t="shared" si="23"/>
        <v>0.75</v>
      </c>
    </row>
    <row r="98" spans="1:37" ht="15.75" thickBot="1" x14ac:dyDescent="0.3">
      <c r="A98" s="124" t="s">
        <v>101</v>
      </c>
      <c r="B98" s="126">
        <v>40.200000000000003</v>
      </c>
      <c r="C98" s="65">
        <v>30.6</v>
      </c>
      <c r="D98" s="65">
        <v>30</v>
      </c>
      <c r="E98" s="65">
        <v>26.5</v>
      </c>
      <c r="F98" s="65">
        <v>26.5</v>
      </c>
      <c r="G98" s="65">
        <v>32.4</v>
      </c>
      <c r="H98" s="65">
        <v>32.4</v>
      </c>
      <c r="I98" s="65">
        <v>23.9</v>
      </c>
      <c r="J98" s="65">
        <v>29.1</v>
      </c>
      <c r="K98" s="65">
        <v>31.2</v>
      </c>
      <c r="L98" s="65">
        <v>32.5</v>
      </c>
      <c r="M98" s="65">
        <v>43.3</v>
      </c>
      <c r="N98" s="65">
        <v>30.5</v>
      </c>
      <c r="O98" s="65">
        <v>41.3</v>
      </c>
      <c r="P98" s="65">
        <v>41.3</v>
      </c>
      <c r="Q98" s="65">
        <v>45.9</v>
      </c>
      <c r="R98" s="65">
        <v>49.1</v>
      </c>
      <c r="S98" s="65">
        <v>48.7</v>
      </c>
      <c r="T98" s="65">
        <v>37.9</v>
      </c>
      <c r="U98" s="65">
        <v>49.8</v>
      </c>
      <c r="V98" s="65">
        <v>41.7</v>
      </c>
      <c r="W98" s="65">
        <v>64.3</v>
      </c>
      <c r="X98" s="65">
        <v>53.3</v>
      </c>
      <c r="Y98" s="65">
        <v>53.3</v>
      </c>
      <c r="Z98" s="65">
        <v>45.2</v>
      </c>
      <c r="AA98" s="125">
        <v>35.200000000000003</v>
      </c>
      <c r="AB98" s="125">
        <v>33.799999999999997</v>
      </c>
      <c r="AC98" s="125">
        <v>40.299999999999997</v>
      </c>
      <c r="AD98" s="125">
        <v>55.3</v>
      </c>
      <c r="AE98" s="125">
        <v>64.5</v>
      </c>
      <c r="AF98" s="126">
        <v>64.8</v>
      </c>
      <c r="AG98" s="128"/>
      <c r="AH98" s="56">
        <f t="shared" si="22"/>
        <v>64.8</v>
      </c>
      <c r="AI98" s="121">
        <f t="shared" si="23"/>
        <v>1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940.64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25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2078/07/25)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2078/07/25)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667.54</v>
      </c>
      <c r="U212" s="173">
        <f t="shared" si="52"/>
        <v>642.04</v>
      </c>
      <c r="V212" s="173">
        <f t="shared" si="52"/>
        <v>649.24</v>
      </c>
      <c r="W212" s="173">
        <f t="shared" si="52"/>
        <v>655.64</v>
      </c>
      <c r="X212" s="173">
        <f t="shared" si="52"/>
        <v>731.64</v>
      </c>
      <c r="Y212" s="173">
        <f t="shared" si="52"/>
        <v>731.64</v>
      </c>
      <c r="Z212" s="173">
        <f t="shared" si="52"/>
        <v>822.93999999999994</v>
      </c>
      <c r="AA212" s="173">
        <f t="shared" si="52"/>
        <v>848.44</v>
      </c>
      <c r="AB212" s="173">
        <f t="shared" si="52"/>
        <v>905.54</v>
      </c>
      <c r="AC212" s="173">
        <f t="shared" si="52"/>
        <v>939.54</v>
      </c>
      <c r="AD212" s="173">
        <f t="shared" si="52"/>
        <v>940.64</v>
      </c>
      <c r="AE212" s="173">
        <f t="shared" si="52"/>
        <v>910.24</v>
      </c>
      <c r="AF212" s="173">
        <f t="shared" si="52"/>
        <v>896.7399999999999</v>
      </c>
      <c r="AG212" s="173">
        <f t="shared" si="52"/>
        <v>873.63999999999987</v>
      </c>
      <c r="AH212" s="173">
        <f t="shared" si="52"/>
        <v>833.63999999999987</v>
      </c>
      <c r="AI212" s="173">
        <f t="shared" si="52"/>
        <v>862.93999999999994</v>
      </c>
      <c r="AJ212" s="173">
        <f t="shared" si="52"/>
        <v>877.93999999999994</v>
      </c>
      <c r="AK212" s="173">
        <f t="shared" si="52"/>
        <v>857.74</v>
      </c>
      <c r="AL212" s="173">
        <f t="shared" si="52"/>
        <v>855.03999999999985</v>
      </c>
      <c r="AM212" s="173">
        <f t="shared" si="52"/>
        <v>956.7399999999999</v>
      </c>
      <c r="AN212" s="173">
        <f t="shared" si="52"/>
        <v>1115.94</v>
      </c>
      <c r="AO212" s="173">
        <f t="shared" si="52"/>
        <v>1263.04</v>
      </c>
      <c r="AP212" s="173">
        <f t="shared" si="52"/>
        <v>1186.0400000000002</v>
      </c>
      <c r="AQ212" s="173">
        <f t="shared" si="52"/>
        <v>1129.54</v>
      </c>
      <c r="AR212" s="173">
        <f t="shared" si="52"/>
        <v>1058.54</v>
      </c>
      <c r="AS212" s="173">
        <f t="shared" si="52"/>
        <v>1023.3399999999999</v>
      </c>
      <c r="AT212" s="173">
        <f t="shared" si="52"/>
        <v>968.74</v>
      </c>
      <c r="AU212" s="173">
        <f t="shared" si="52"/>
        <v>895.74</v>
      </c>
      <c r="AV212" s="173">
        <f t="shared" si="52"/>
        <v>779.33999999999992</v>
      </c>
      <c r="AW212" s="173">
        <f t="shared" si="52"/>
        <v>747.14</v>
      </c>
      <c r="AX212" s="173">
        <f t="shared" si="52"/>
        <v>727.74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9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47" priority="588">
      <formula>S$9&gt;=20/24</formula>
    </cfRule>
    <cfRule type="expression" dxfId="2546" priority="589">
      <formula>AND(S$9&gt;=14/24,S$9&lt;20/24)</formula>
    </cfRule>
    <cfRule type="expression" dxfId="2545" priority="590">
      <formula>AND(S$9&gt;=8/24,S$9&lt;14/24)</formula>
    </cfRule>
    <cfRule type="expression" dxfId="2544" priority="591">
      <formula>S$9&lt;8/24</formula>
    </cfRule>
  </conditionalFormatting>
  <conditionalFormatting sqref="B8:AF10 AA80:AF80 C80:Q80 C55:AF55 C81:AF81 C192:AF198 AE56:AF59 C67:AF71 T211:AX211 R39:S40 V26:X26 T39:X41 W84:X90 AA83:AF90 C73:AF77 C79:AF79 D56:M58 R11:AC11 R57:V58 N36:Q36 N11:Q14 N38:Q41 N57:Q66 N16:R16 R13:R14 N44:R47 R62:R66 V18:V25 V27:V30 X27 Z84:Z90 L52:AF54 Z39:AD42 Z12:AC14 Z16:AF23 AD11:AF14">
    <cfRule type="expression" dxfId="2543" priority="584">
      <formula>B$9&gt;=20/24</formula>
    </cfRule>
    <cfRule type="expression" dxfId="2542" priority="585">
      <formula>AND(B$9&gt;=14/24,B$9&lt;20/24)</formula>
    </cfRule>
    <cfRule type="expression" dxfId="2541" priority="586">
      <formula>AND(B$9&gt;=8/24,B$9&lt;14/24)</formula>
    </cfRule>
    <cfRule type="expression" dxfId="2540" priority="587">
      <formula>B$9&lt;8/24</formula>
    </cfRule>
  </conditionalFormatting>
  <conditionalFormatting sqref="B190:AF190">
    <cfRule type="expression" dxfId="2539" priority="580">
      <formula>B$9&gt;=20/24</formula>
    </cfRule>
    <cfRule type="expression" dxfId="2538" priority="581">
      <formula>AND(B$9&gt;=14/24,B$9&lt;20/24)</formula>
    </cfRule>
    <cfRule type="expression" dxfId="2537" priority="582">
      <formula>AND(B$9&gt;=8/24,B$9&lt;14/24)</formula>
    </cfRule>
    <cfRule type="expression" dxfId="2536" priority="583">
      <formula>B$9&lt;8/24</formula>
    </cfRule>
  </conditionalFormatting>
  <conditionalFormatting sqref="AL4:AL6">
    <cfRule type="iconSet" priority="579">
      <iconSet iconSet="3TrafficLights2" reverse="1">
        <cfvo type="percent" val="0"/>
        <cfvo type="num" val="1"/>
        <cfvo type="num" val="1"/>
      </iconSet>
    </cfRule>
  </conditionalFormatting>
  <conditionalFormatting sqref="N56:Q56">
    <cfRule type="expression" dxfId="2535" priority="575">
      <formula>N$9&gt;=20/24</formula>
    </cfRule>
    <cfRule type="expression" dxfId="2534" priority="576">
      <formula>AND(N$9&gt;=14/24,N$9&lt;20/24)</formula>
    </cfRule>
    <cfRule type="expression" dxfId="2533" priority="577">
      <formula>AND(N$9&gt;=8/24,N$9&lt;14/24)</formula>
    </cfRule>
    <cfRule type="expression" dxfId="2532" priority="578">
      <formula>N$9&lt;8/24</formula>
    </cfRule>
  </conditionalFormatting>
  <conditionalFormatting sqref="N42:R42">
    <cfRule type="expression" dxfId="2531" priority="571">
      <formula>N$9&gt;=20/24</formula>
    </cfRule>
    <cfRule type="expression" dxfId="2530" priority="572">
      <formula>AND(N$9&gt;=14/24,N$9&lt;20/24)</formula>
    </cfRule>
    <cfRule type="expression" dxfId="2529" priority="573">
      <formula>AND(N$9&gt;=8/24,N$9&lt;14/24)</formula>
    </cfRule>
    <cfRule type="expression" dxfId="2528" priority="574">
      <formula>N$9&lt;8/24</formula>
    </cfRule>
  </conditionalFormatting>
  <conditionalFormatting sqref="R38:X38 Z38:AD38">
    <cfRule type="expression" dxfId="2527" priority="563">
      <formula>R$9&gt;=20/24</formula>
    </cfRule>
    <cfRule type="expression" dxfId="2526" priority="564">
      <formula>AND(R$9&gt;=14/24,R$9&lt;20/24)</formula>
    </cfRule>
    <cfRule type="expression" dxfId="2525" priority="565">
      <formula>AND(R$9&gt;=8/24,R$9&lt;14/24)</formula>
    </cfRule>
    <cfRule type="expression" dxfId="2524" priority="566">
      <formula>R$9&lt;8/24</formula>
    </cfRule>
  </conditionalFormatting>
  <conditionalFormatting sqref="R56:AD56">
    <cfRule type="expression" dxfId="2523" priority="559">
      <formula>R$9&gt;=20/24</formula>
    </cfRule>
    <cfRule type="expression" dxfId="2522" priority="560">
      <formula>AND(R$9&gt;=14/24,R$9&lt;20/24)</formula>
    </cfRule>
    <cfRule type="expression" dxfId="2521" priority="561">
      <formula>AND(R$9&gt;=8/24,R$9&lt;14/24)</formula>
    </cfRule>
    <cfRule type="expression" dxfId="2520" priority="562">
      <formula>R$9&lt;8/24</formula>
    </cfRule>
  </conditionalFormatting>
  <conditionalFormatting sqref="R80:Z80">
    <cfRule type="expression" dxfId="2519" priority="555">
      <formula>R$9&gt;=20/24</formula>
    </cfRule>
    <cfRule type="expression" dxfId="2518" priority="556">
      <formula>AND(R$9&gt;=14/24,R$9&lt;20/24)</formula>
    </cfRule>
    <cfRule type="expression" dxfId="2517" priority="557">
      <formula>AND(R$9&gt;=8/24,R$9&lt;14/24)</formula>
    </cfRule>
    <cfRule type="expression" dxfId="2516" priority="558">
      <formula>R$9&lt;8/24</formula>
    </cfRule>
  </conditionalFormatting>
  <conditionalFormatting sqref="T83:X83 Z83">
    <cfRule type="expression" dxfId="2515" priority="551">
      <formula>T$9&gt;=20/24</formula>
    </cfRule>
    <cfRule type="expression" dxfId="2514" priority="552">
      <formula>AND(T$9&gt;=14/24,T$9&lt;20/24)</formula>
    </cfRule>
    <cfRule type="expression" dxfId="2513" priority="553">
      <formula>AND(T$9&gt;=8/24,T$9&lt;14/24)</formula>
    </cfRule>
    <cfRule type="expression" dxfId="2512" priority="554">
      <formula>T$9&lt;8/24</formula>
    </cfRule>
  </conditionalFormatting>
  <conditionalFormatting sqref="N48:S48">
    <cfRule type="expression" dxfId="2511" priority="543">
      <formula>N$9&gt;=20/24</formula>
    </cfRule>
    <cfRule type="expression" dxfId="2510" priority="544">
      <formula>AND(N$9&gt;=14/24,N$9&lt;20/24)</formula>
    </cfRule>
    <cfRule type="expression" dxfId="2509" priority="545">
      <formula>AND(N$9&gt;=8/24,N$9&lt;14/24)</formula>
    </cfRule>
    <cfRule type="expression" dxfId="2508" priority="546">
      <formula>N$9&lt;8/24</formula>
    </cfRule>
  </conditionalFormatting>
  <conditionalFormatting sqref="N49:R49">
    <cfRule type="expression" dxfId="2507" priority="539">
      <formula>N$9&gt;=20/24</formula>
    </cfRule>
    <cfRule type="expression" dxfId="2506" priority="540">
      <formula>AND(N$9&gt;=14/24,N$9&lt;20/24)</formula>
    </cfRule>
    <cfRule type="expression" dxfId="2505" priority="541">
      <formula>AND(N$9&gt;=8/24,N$9&lt;14/24)</formula>
    </cfRule>
    <cfRule type="expression" dxfId="2504" priority="542">
      <formula>N$9&lt;8/24</formula>
    </cfRule>
  </conditionalFormatting>
  <conditionalFormatting sqref="N44:R47">
    <cfRule type="expression" dxfId="2503" priority="535">
      <formula>N$9&gt;=20/24</formula>
    </cfRule>
    <cfRule type="expression" dxfId="2502" priority="536">
      <formula>AND(N$9&gt;=14/24,N$9&lt;20/24)</formula>
    </cfRule>
    <cfRule type="expression" dxfId="2501" priority="537">
      <formula>AND(N$9&gt;=8/24,N$9&lt;14/24)</formula>
    </cfRule>
    <cfRule type="expression" dxfId="2500" priority="538">
      <formula>N$9&lt;8/24</formula>
    </cfRule>
  </conditionalFormatting>
  <conditionalFormatting sqref="R36:X36 Z36:AF36">
    <cfRule type="expression" dxfId="2499" priority="531">
      <formula>R$9&gt;=20/24</formula>
    </cfRule>
    <cfRule type="expression" dxfId="2498" priority="532">
      <formula>AND(R$9&gt;=14/24,R$9&lt;20/24)</formula>
    </cfRule>
    <cfRule type="expression" dxfId="2497" priority="533">
      <formula>AND(R$9&gt;=8/24,R$9&lt;14/24)</formula>
    </cfRule>
    <cfRule type="expression" dxfId="2496" priority="534">
      <formula>R$9&lt;8/24</formula>
    </cfRule>
  </conditionalFormatting>
  <conditionalFormatting sqref="V31:V32 V34">
    <cfRule type="expression" dxfId="2495" priority="527">
      <formula>V$9&gt;=20/24</formula>
    </cfRule>
    <cfRule type="expression" dxfId="2494" priority="528">
      <formula>AND(V$9&gt;=14/24,V$9&lt;20/24)</formula>
    </cfRule>
    <cfRule type="expression" dxfId="2493" priority="529">
      <formula>AND(V$9&gt;=8/24,V$9&lt;14/24)</formula>
    </cfRule>
    <cfRule type="expression" dxfId="2492" priority="530">
      <formula>V$9&lt;8/24</formula>
    </cfRule>
  </conditionalFormatting>
  <conditionalFormatting sqref="R41:S41 S44:X47 S42:X42 AB44:AE44 Z44:AD47">
    <cfRule type="expression" dxfId="2491" priority="523">
      <formula>R$9&gt;=20/24</formula>
    </cfRule>
    <cfRule type="expression" dxfId="2490" priority="524">
      <formula>AND(R$9&gt;=14/24,R$9&lt;20/24)</formula>
    </cfRule>
    <cfRule type="expression" dxfId="2489" priority="525">
      <formula>AND(R$9&gt;=8/24,R$9&lt;14/24)</formula>
    </cfRule>
    <cfRule type="expression" dxfId="2488" priority="526">
      <formula>R$9&lt;8/24</formula>
    </cfRule>
  </conditionalFormatting>
  <conditionalFormatting sqref="S48:X48 Z48:AD48">
    <cfRule type="expression" dxfId="2487" priority="519">
      <formula>S$9&gt;=20/24</formula>
    </cfRule>
    <cfRule type="expression" dxfId="2486" priority="520">
      <formula>AND(S$9&gt;=14/24,S$9&lt;20/24)</formula>
    </cfRule>
    <cfRule type="expression" dxfId="2485" priority="521">
      <formula>AND(S$9&gt;=8/24,S$9&lt;14/24)</formula>
    </cfRule>
    <cfRule type="expression" dxfId="2484" priority="522">
      <formula>S$9&lt;8/24</formula>
    </cfRule>
  </conditionalFormatting>
  <conditionalFormatting sqref="S49:X49 Z49:AD49">
    <cfRule type="expression" dxfId="2483" priority="515">
      <formula>S$9&gt;=20/24</formula>
    </cfRule>
    <cfRule type="expression" dxfId="2482" priority="516">
      <formula>AND(S$9&gt;=14/24,S$9&lt;20/24)</formula>
    </cfRule>
    <cfRule type="expression" dxfId="2481" priority="517">
      <formula>AND(S$9&gt;=8/24,S$9&lt;14/24)</formula>
    </cfRule>
    <cfRule type="expression" dxfId="2480" priority="518">
      <formula>S$9&lt;8/24</formula>
    </cfRule>
  </conditionalFormatting>
  <conditionalFormatting sqref="AE60:AF66 R59:S59 R60:R61 S60:S66 W59:AD66">
    <cfRule type="expression" dxfId="2479" priority="511">
      <formula>R$9&gt;=20/24</formula>
    </cfRule>
    <cfRule type="expression" dxfId="2478" priority="512">
      <formula>AND(R$9&gt;=14/24,R$9&lt;20/24)</formula>
    </cfRule>
    <cfRule type="expression" dxfId="2477" priority="513">
      <formula>AND(R$9&gt;=8/24,R$9&lt;14/24)</formula>
    </cfRule>
    <cfRule type="expression" dxfId="2476" priority="514">
      <formula>R$9&lt;8/24</formula>
    </cfRule>
  </conditionalFormatting>
  <conditionalFormatting sqref="AA93:AF96">
    <cfRule type="expression" dxfId="2475" priority="507">
      <formula>AA$9&gt;=20/24</formula>
    </cfRule>
    <cfRule type="expression" dxfId="2474" priority="508">
      <formula>AND(AA$9&gt;=14/24,AA$9&lt;20/24)</formula>
    </cfRule>
    <cfRule type="expression" dxfId="2473" priority="509">
      <formula>AND(AA$9&gt;=8/24,AA$9&lt;14/24)</formula>
    </cfRule>
    <cfRule type="expression" dxfId="2472" priority="510">
      <formula>AA$9&lt;8/24</formula>
    </cfRule>
  </conditionalFormatting>
  <conditionalFormatting sqref="T93:X96 Z93:Z96">
    <cfRule type="expression" dxfId="2471" priority="499">
      <formula>T$9&gt;=20/24</formula>
    </cfRule>
    <cfRule type="expression" dxfId="2470" priority="500">
      <formula>AND(T$9&gt;=14/24,T$9&lt;20/24)</formula>
    </cfRule>
    <cfRule type="expression" dxfId="2469" priority="501">
      <formula>AND(T$9&gt;=8/24,T$9&lt;14/24)</formula>
    </cfRule>
    <cfRule type="expression" dxfId="2468" priority="502">
      <formula>T$9&lt;8/24</formula>
    </cfRule>
  </conditionalFormatting>
  <conditionalFormatting sqref="AG50 I13:K13 V26:X26 C50:AF51 B37:AF37 C55:AF55 E11:K11 J12:K12 J36:K36 D44:K49 D38:K42 R36:X36 R11:AC11 N35:Q36 N11:Q14 V34:V35 N16:R16 R35 R13:R14 N44:X49 N38:X42 V18:V25 V27:V32 X27 D52:AF54 Z38:AF42 Z12:AC14 Z44:AF49 Z36:AF36 Z16:AF23 AD11:AF14">
    <cfRule type="expression" dxfId="2467" priority="498">
      <formula>B11&gt;$AG11</formula>
    </cfRule>
  </conditionalFormatting>
  <conditionalFormatting sqref="A99:A155 A83:A96 A11:A14 A16:A32 A44:A71 A79:A81 A73:A77 A34:A42 A168:A199">
    <cfRule type="expression" dxfId="2466" priority="497">
      <formula>$AH11=0</formula>
    </cfRule>
  </conditionalFormatting>
  <conditionalFormatting sqref="AA97:AF97">
    <cfRule type="expression" dxfId="2465" priority="493">
      <formula>AA$9&gt;=20/24</formula>
    </cfRule>
    <cfRule type="expression" dxfId="2464" priority="494">
      <formula>AND(AA$9&gt;=14/24,AA$9&lt;20/24)</formula>
    </cfRule>
    <cfRule type="expression" dxfId="2463" priority="495">
      <formula>AND(AA$9&gt;=8/24,AA$9&lt;14/24)</formula>
    </cfRule>
    <cfRule type="expression" dxfId="2462" priority="496">
      <formula>AA$9&lt;8/24</formula>
    </cfRule>
  </conditionalFormatting>
  <conditionalFormatting sqref="T97:X97 Z97">
    <cfRule type="expression" dxfId="2461" priority="489">
      <formula>T$9&gt;=20/24</formula>
    </cfRule>
    <cfRule type="expression" dxfId="2460" priority="490">
      <formula>AND(T$9&gt;=14/24,T$9&lt;20/24)</formula>
    </cfRule>
    <cfRule type="expression" dxfId="2459" priority="491">
      <formula>AND(T$9&gt;=8/24,T$9&lt;14/24)</formula>
    </cfRule>
    <cfRule type="expression" dxfId="2458" priority="492">
      <formula>T$9&lt;8/24</formula>
    </cfRule>
  </conditionalFormatting>
  <conditionalFormatting sqref="A97">
    <cfRule type="expression" dxfId="2457" priority="488">
      <formula>$AH97=0</formula>
    </cfRule>
  </conditionalFormatting>
  <conditionalFormatting sqref="N35:R35 V35">
    <cfRule type="expression" dxfId="2456" priority="484">
      <formula>N$9&gt;=20/24</formula>
    </cfRule>
    <cfRule type="expression" dxfId="2455" priority="485">
      <formula>AND(N$9&gt;=14/24,N$9&lt;20/24)</formula>
    </cfRule>
    <cfRule type="expression" dxfId="2454" priority="486">
      <formula>AND(N$9&gt;=8/24,N$9&lt;14/24)</formula>
    </cfRule>
    <cfRule type="expression" dxfId="2453" priority="487">
      <formula>N$9&lt;8/24</formula>
    </cfRule>
  </conditionalFormatting>
  <conditionalFormatting sqref="V35">
    <cfRule type="expression" dxfId="2452" priority="480">
      <formula>V$9&gt;=20/24</formula>
    </cfRule>
    <cfRule type="expression" dxfId="2451" priority="481">
      <formula>AND(V$9&gt;=14/24,V$9&lt;20/24)</formula>
    </cfRule>
    <cfRule type="expression" dxfId="2450" priority="482">
      <formula>AND(V$9&gt;=8/24,V$9&lt;14/24)</formula>
    </cfRule>
    <cfRule type="expression" dxfId="2449" priority="483">
      <formula>V$9&lt;8/24</formula>
    </cfRule>
  </conditionalFormatting>
  <conditionalFormatting sqref="AL32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V33">
    <cfRule type="expression" dxfId="2448" priority="455">
      <formula>V$9&gt;=20/24</formula>
    </cfRule>
    <cfRule type="expression" dxfId="2447" priority="456">
      <formula>AND(V$9&gt;=14/24,V$9&lt;20/24)</formula>
    </cfRule>
    <cfRule type="expression" dxfId="2446" priority="457">
      <formula>AND(V$9&gt;=8/24,V$9&lt;14/24)</formula>
    </cfRule>
    <cfRule type="expression" dxfId="2445" priority="458">
      <formula>V$9&lt;8/24</formula>
    </cfRule>
  </conditionalFormatting>
  <conditionalFormatting sqref="V33">
    <cfRule type="expression" dxfId="2444" priority="454">
      <formula>V33&gt;$AG33</formula>
    </cfRule>
  </conditionalFormatting>
  <conditionalFormatting sqref="A33">
    <cfRule type="expression" dxfId="2443" priority="453">
      <formula>$AH33=0</formula>
    </cfRule>
  </conditionalFormatting>
  <conditionalFormatting sqref="C82:AF82">
    <cfRule type="expression" dxfId="2442" priority="449">
      <formula>C$9&gt;=20/24</formula>
    </cfRule>
    <cfRule type="expression" dxfId="2441" priority="450">
      <formula>AND(C$9&gt;=14/24,C$9&lt;20/24)</formula>
    </cfRule>
    <cfRule type="expression" dxfId="2440" priority="451">
      <formula>AND(C$9&gt;=8/24,C$9&lt;14/24)</formula>
    </cfRule>
    <cfRule type="expression" dxfId="2439" priority="452">
      <formula>C$9&lt;8/24</formula>
    </cfRule>
  </conditionalFormatting>
  <conditionalFormatting sqref="A82">
    <cfRule type="expression" dxfId="2438" priority="448">
      <formula>$AH82=0</formula>
    </cfRule>
  </conditionalFormatting>
  <conditionalFormatting sqref="Z15:AF15">
    <cfRule type="expression" dxfId="2437" priority="444">
      <formula>Z$9&gt;=20/24</formula>
    </cfRule>
    <cfRule type="expression" dxfId="2436" priority="445">
      <formula>AND(Z$9&gt;=14/24,Z$9&lt;20/24)</formula>
    </cfRule>
    <cfRule type="expression" dxfId="2435" priority="446">
      <formula>AND(Z$9&gt;=8/24,Z$9&lt;14/24)</formula>
    </cfRule>
    <cfRule type="expression" dxfId="2434" priority="447">
      <formula>Z$9&lt;8/24</formula>
    </cfRule>
  </conditionalFormatting>
  <conditionalFormatting sqref="N15:R15">
    <cfRule type="expression" dxfId="2433" priority="440">
      <formula>N$9&gt;=20/24</formula>
    </cfRule>
    <cfRule type="expression" dxfId="2432" priority="441">
      <formula>AND(N$9&gt;=14/24,N$9&lt;20/24)</formula>
    </cfRule>
    <cfRule type="expression" dxfId="2431" priority="442">
      <formula>AND(N$9&gt;=8/24,N$9&lt;14/24)</formula>
    </cfRule>
    <cfRule type="expression" dxfId="2430" priority="443">
      <formula>N$9&lt;8/24</formula>
    </cfRule>
  </conditionalFormatting>
  <conditionalFormatting sqref="N15:R15 Z15:AF15">
    <cfRule type="expression" dxfId="2429" priority="439">
      <formula>N15&gt;$AG15</formula>
    </cfRule>
  </conditionalFormatting>
  <conditionalFormatting sqref="A15">
    <cfRule type="expression" dxfId="2428" priority="438">
      <formula>$AH15=0</formula>
    </cfRule>
  </conditionalFormatting>
  <conditionalFormatting sqref="A162:A167">
    <cfRule type="expression" dxfId="2427" priority="437">
      <formula>$AH162=0</formula>
    </cfRule>
  </conditionalFormatting>
  <conditionalFormatting sqref="A156:A161">
    <cfRule type="expression" dxfId="2426" priority="436">
      <formula>$AH156=0</formula>
    </cfRule>
  </conditionalFormatting>
  <conditionalFormatting sqref="Z43:AD43">
    <cfRule type="expression" dxfId="2425" priority="432">
      <formula>Z$9&gt;=20/24</formula>
    </cfRule>
    <cfRule type="expression" dxfId="2424" priority="433">
      <formula>AND(Z$9&gt;=14/24,Z$9&lt;20/24)</formula>
    </cfRule>
    <cfRule type="expression" dxfId="2423" priority="434">
      <formula>AND(Z$9&gt;=8/24,Z$9&lt;14/24)</formula>
    </cfRule>
    <cfRule type="expression" dxfId="2422" priority="435">
      <formula>Z$9&lt;8/24</formula>
    </cfRule>
  </conditionalFormatting>
  <conditionalFormatting sqref="N43:R43">
    <cfRule type="expression" dxfId="2421" priority="428">
      <formula>N$9&gt;=20/24</formula>
    </cfRule>
    <cfRule type="expression" dxfId="2420" priority="429">
      <formula>AND(N$9&gt;=14/24,N$9&lt;20/24)</formula>
    </cfRule>
    <cfRule type="expression" dxfId="2419" priority="430">
      <formula>AND(N$9&gt;=8/24,N$9&lt;14/24)</formula>
    </cfRule>
    <cfRule type="expression" dxfId="2418" priority="431">
      <formula>N$9&lt;8/24</formula>
    </cfRule>
  </conditionalFormatting>
  <conditionalFormatting sqref="S43:X43">
    <cfRule type="expression" dxfId="2417" priority="424">
      <formula>S$9&gt;=20/24</formula>
    </cfRule>
    <cfRule type="expression" dxfId="2416" priority="425">
      <formula>AND(S$9&gt;=14/24,S$9&lt;20/24)</formula>
    </cfRule>
    <cfRule type="expression" dxfId="2415" priority="426">
      <formula>AND(S$9&gt;=8/24,S$9&lt;14/24)</formula>
    </cfRule>
    <cfRule type="expression" dxfId="2414" priority="427">
      <formula>S$9&lt;8/24</formula>
    </cfRule>
  </conditionalFormatting>
  <conditionalFormatting sqref="D43:K43 N43:X43 Z43:AF43">
    <cfRule type="expression" dxfId="2413" priority="423">
      <formula>D43&gt;$AG43</formula>
    </cfRule>
  </conditionalFormatting>
  <conditionalFormatting sqref="A43">
    <cfRule type="expression" dxfId="2412" priority="422">
      <formula>$AH43=0</formula>
    </cfRule>
  </conditionalFormatting>
  <conditionalFormatting sqref="C78:AF78">
    <cfRule type="expression" dxfId="2411" priority="418">
      <formula>C$9&gt;=20/24</formula>
    </cfRule>
    <cfRule type="expression" dxfId="2410" priority="419">
      <formula>AND(C$9&gt;=14/24,C$9&lt;20/24)</formula>
    </cfRule>
    <cfRule type="expression" dxfId="2409" priority="420">
      <formula>AND(C$9&gt;=8/24,C$9&lt;14/24)</formula>
    </cfRule>
    <cfRule type="expression" dxfId="2408" priority="421">
      <formula>C$9&lt;8/24</formula>
    </cfRule>
  </conditionalFormatting>
  <conditionalFormatting sqref="A78">
    <cfRule type="expression" dxfId="2407" priority="417">
      <formula>$AH78=0</formula>
    </cfRule>
  </conditionalFormatting>
  <conditionalFormatting sqref="C72:AG72">
    <cfRule type="expression" dxfId="2406" priority="413">
      <formula>C$9&gt;=20/24</formula>
    </cfRule>
    <cfRule type="expression" dxfId="2405" priority="414">
      <formula>AND(C$9&gt;=14/24,C$9&lt;20/24)</formula>
    </cfRule>
    <cfRule type="expression" dxfId="2404" priority="415">
      <formula>AND(C$9&gt;=8/24,C$9&lt;14/24)</formula>
    </cfRule>
    <cfRule type="expression" dxfId="2403" priority="416">
      <formula>C$9&lt;8/24</formula>
    </cfRule>
  </conditionalFormatting>
  <conditionalFormatting sqref="A72">
    <cfRule type="expression" dxfId="2402" priority="412">
      <formula>$AH72=0</formula>
    </cfRule>
  </conditionalFormatting>
  <conditionalFormatting sqref="AL33:AL34 AL7:AL31">
    <cfRule type="iconSet" priority="594">
      <iconSet iconSet="3TrafficLights2" reverse="1">
        <cfvo type="percent" val="0"/>
        <cfvo type="num" val="1"/>
        <cfvo type="num" val="1"/>
      </iconSet>
    </cfRule>
  </conditionalFormatting>
  <conditionalFormatting sqref="T59:V66">
    <cfRule type="expression" dxfId="2401" priority="408">
      <formula>T$9&gt;=20/24</formula>
    </cfRule>
    <cfRule type="expression" dxfId="2400" priority="409">
      <formula>AND(T$9&gt;=14/24,T$9&lt;20/24)</formula>
    </cfRule>
    <cfRule type="expression" dxfId="2399" priority="410">
      <formula>AND(T$9&gt;=8/24,T$9&lt;14/24)</formula>
    </cfRule>
    <cfRule type="expression" dxfId="2398" priority="411">
      <formula>T$9&lt;8/24</formula>
    </cfRule>
  </conditionalFormatting>
  <conditionalFormatting sqref="T84:V90">
    <cfRule type="expression" dxfId="2397" priority="404">
      <formula>T$9&gt;=20/24</formula>
    </cfRule>
    <cfRule type="expression" dxfId="2396" priority="405">
      <formula>AND(T$9&gt;=14/24,T$9&lt;20/24)</formula>
    </cfRule>
    <cfRule type="expression" dxfId="2395" priority="406">
      <formula>AND(T$9&gt;=8/24,T$9&lt;14/24)</formula>
    </cfRule>
    <cfRule type="expression" dxfId="2394" priority="407">
      <formula>T$9&lt;8/24</formula>
    </cfRule>
  </conditionalFormatting>
  <conditionalFormatting sqref="R84:S90 C83:Q90">
    <cfRule type="expression" dxfId="2393" priority="400">
      <formula>C$9&gt;=20/24</formula>
    </cfRule>
    <cfRule type="expression" dxfId="2392" priority="401">
      <formula>AND(C$9&gt;=14/24,C$9&lt;20/24)</formula>
    </cfRule>
    <cfRule type="expression" dxfId="2391" priority="402">
      <formula>AND(C$9&gt;=8/24,C$9&lt;14/24)</formula>
    </cfRule>
    <cfRule type="expression" dxfId="2390" priority="403">
      <formula>C$9&lt;8/24</formula>
    </cfRule>
  </conditionalFormatting>
  <conditionalFormatting sqref="R83:S83">
    <cfRule type="expression" dxfId="2389" priority="396">
      <formula>R$9&gt;=20/24</formula>
    </cfRule>
    <cfRule type="expression" dxfId="2388" priority="397">
      <formula>AND(R$9&gt;=14/24,R$9&lt;20/24)</formula>
    </cfRule>
    <cfRule type="expression" dxfId="2387" priority="398">
      <formula>AND(R$9&gt;=8/24,R$9&lt;14/24)</formula>
    </cfRule>
    <cfRule type="expression" dxfId="2386" priority="399">
      <formula>R$9&lt;8/24</formula>
    </cfRule>
  </conditionalFormatting>
  <conditionalFormatting sqref="C93:F96 G94:M96">
    <cfRule type="expression" dxfId="2385" priority="392">
      <formula>C$9&gt;=20/24</formula>
    </cfRule>
    <cfRule type="expression" dxfId="2384" priority="393">
      <formula>AND(C$9&gt;=14/24,C$9&lt;20/24)</formula>
    </cfRule>
    <cfRule type="expression" dxfId="2383" priority="394">
      <formula>AND(C$9&gt;=8/24,C$9&lt;14/24)</formula>
    </cfRule>
    <cfRule type="expression" dxfId="2382" priority="395">
      <formula>C$9&lt;8/24</formula>
    </cfRule>
  </conditionalFormatting>
  <conditionalFormatting sqref="N93:Q96">
    <cfRule type="expression" dxfId="2381" priority="388">
      <formula>N$9&gt;=20/24</formula>
    </cfRule>
    <cfRule type="expression" dxfId="2380" priority="389">
      <formula>AND(N$9&gt;=14/24,N$9&lt;20/24)</formula>
    </cfRule>
    <cfRule type="expression" dxfId="2379" priority="390">
      <formula>AND(N$9&gt;=8/24,N$9&lt;14/24)</formula>
    </cfRule>
    <cfRule type="expression" dxfId="2378" priority="391">
      <formula>N$9&lt;8/24</formula>
    </cfRule>
  </conditionalFormatting>
  <conditionalFormatting sqref="R93:S96">
    <cfRule type="expression" dxfId="2377" priority="384">
      <formula>R$9&gt;=20/24</formula>
    </cfRule>
    <cfRule type="expression" dxfId="2376" priority="385">
      <formula>AND(R$9&gt;=14/24,R$9&lt;20/24)</formula>
    </cfRule>
    <cfRule type="expression" dxfId="2375" priority="386">
      <formula>AND(R$9&gt;=8/24,R$9&lt;14/24)</formula>
    </cfRule>
    <cfRule type="expression" dxfId="2374" priority="387">
      <formula>R$9&lt;8/24</formula>
    </cfRule>
  </conditionalFormatting>
  <conditionalFormatting sqref="C97:M97">
    <cfRule type="expression" dxfId="2373" priority="380">
      <formula>C$9&gt;=20/24</formula>
    </cfRule>
    <cfRule type="expression" dxfId="2372" priority="381">
      <formula>AND(C$9&gt;=14/24,C$9&lt;20/24)</formula>
    </cfRule>
    <cfRule type="expression" dxfId="2371" priority="382">
      <formula>AND(C$9&gt;=8/24,C$9&lt;14/24)</formula>
    </cfRule>
    <cfRule type="expression" dxfId="2370" priority="383">
      <formula>C$9&lt;8/24</formula>
    </cfRule>
  </conditionalFormatting>
  <conditionalFormatting sqref="N97:Q97">
    <cfRule type="expression" dxfId="2369" priority="376">
      <formula>N$9&gt;=20/24</formula>
    </cfRule>
    <cfRule type="expression" dxfId="2368" priority="377">
      <formula>AND(N$9&gt;=14/24,N$9&lt;20/24)</formula>
    </cfRule>
    <cfRule type="expression" dxfId="2367" priority="378">
      <formula>AND(N$9&gt;=8/24,N$9&lt;14/24)</formula>
    </cfRule>
    <cfRule type="expression" dxfId="2366" priority="379">
      <formula>N$9&lt;8/24</formula>
    </cfRule>
  </conditionalFormatting>
  <conditionalFormatting sqref="R97:S97">
    <cfRule type="expression" dxfId="2365" priority="372">
      <formula>R$9&gt;=20/24</formula>
    </cfRule>
    <cfRule type="expression" dxfId="2364" priority="373">
      <formula>AND(R$9&gt;=14/24,R$9&lt;20/24)</formula>
    </cfRule>
    <cfRule type="expression" dxfId="2363" priority="374">
      <formula>AND(R$9&gt;=8/24,R$9&lt;14/24)</formula>
    </cfRule>
    <cfRule type="expression" dxfId="2362" priority="375">
      <formula>R$9&lt;8/24</formula>
    </cfRule>
  </conditionalFormatting>
  <conditionalFormatting sqref="G93:M93">
    <cfRule type="expression" dxfId="2361" priority="364">
      <formula>G$9&gt;=20/24</formula>
    </cfRule>
    <cfRule type="expression" dxfId="2360" priority="365">
      <formula>AND(G$9&gt;=14/24,G$9&lt;20/24)</formula>
    </cfRule>
    <cfRule type="expression" dxfId="2359" priority="366">
      <formula>AND(G$9&gt;=8/24,G$9&lt;14/24)</formula>
    </cfRule>
    <cfRule type="expression" dxfId="2358" priority="367">
      <formula>G$9&lt;8/24</formula>
    </cfRule>
  </conditionalFormatting>
  <conditionalFormatting sqref="T93:V93">
    <cfRule type="expression" dxfId="2357" priority="360">
      <formula>T$9&gt;=20/24</formula>
    </cfRule>
    <cfRule type="expression" dxfId="2356" priority="361">
      <formula>AND(T$9&gt;=14/24,T$9&lt;20/24)</formula>
    </cfRule>
    <cfRule type="expression" dxfId="2355" priority="362">
      <formula>AND(T$9&gt;=8/24,T$9&lt;14/24)</formula>
    </cfRule>
    <cfRule type="expression" dxfId="2354" priority="363">
      <formula>T$9&lt;8/24</formula>
    </cfRule>
  </conditionalFormatting>
  <conditionalFormatting sqref="N93:S93">
    <cfRule type="expression" dxfId="2353" priority="356">
      <formula>N$9&gt;=20/24</formula>
    </cfRule>
    <cfRule type="expression" dxfId="2352" priority="357">
      <formula>AND(N$9&gt;=14/24,N$9&lt;20/24)</formula>
    </cfRule>
    <cfRule type="expression" dxfId="2351" priority="358">
      <formula>AND(N$9&gt;=8/24,N$9&lt;14/24)</formula>
    </cfRule>
    <cfRule type="expression" dxfId="2350" priority="359">
      <formula>N$9&lt;8/24</formula>
    </cfRule>
  </conditionalFormatting>
  <conditionalFormatting sqref="AA98:AF98">
    <cfRule type="expression" dxfId="2349" priority="352">
      <formula>AA$9&gt;=20/24</formula>
    </cfRule>
    <cfRule type="expression" dxfId="2348" priority="353">
      <formula>AND(AA$9&gt;=14/24,AA$9&lt;20/24)</formula>
    </cfRule>
    <cfRule type="expression" dxfId="2347" priority="354">
      <formula>AND(AA$9&gt;=8/24,AA$9&lt;14/24)</formula>
    </cfRule>
    <cfRule type="expression" dxfId="2346" priority="355">
      <formula>AA$9&lt;8/24</formula>
    </cfRule>
  </conditionalFormatting>
  <conditionalFormatting sqref="T98:X98 Z98">
    <cfRule type="expression" dxfId="2345" priority="348">
      <formula>T$9&gt;=20/24</formula>
    </cfRule>
    <cfRule type="expression" dxfId="2344" priority="349">
      <formula>AND(T$9&gt;=14/24,T$9&lt;20/24)</formula>
    </cfRule>
    <cfRule type="expression" dxfId="2343" priority="350">
      <formula>AND(T$9&gt;=8/24,T$9&lt;14/24)</formula>
    </cfRule>
    <cfRule type="expression" dxfId="2342" priority="351">
      <formula>T$9&lt;8/24</formula>
    </cfRule>
  </conditionalFormatting>
  <conditionalFormatting sqref="A98">
    <cfRule type="expression" dxfId="2341" priority="347">
      <formula>$AH98=0</formula>
    </cfRule>
  </conditionalFormatting>
  <conditionalFormatting sqref="C98:M98">
    <cfRule type="expression" dxfId="2340" priority="343">
      <formula>C$9&gt;=20/24</formula>
    </cfRule>
    <cfRule type="expression" dxfId="2339" priority="344">
      <formula>AND(C$9&gt;=14/24,C$9&lt;20/24)</formula>
    </cfRule>
    <cfRule type="expression" dxfId="2338" priority="345">
      <formula>AND(C$9&gt;=8/24,C$9&lt;14/24)</formula>
    </cfRule>
    <cfRule type="expression" dxfId="2337" priority="346">
      <formula>C$9&lt;8/24</formula>
    </cfRule>
  </conditionalFormatting>
  <conditionalFormatting sqref="N98:Q98">
    <cfRule type="expression" dxfId="2336" priority="339">
      <formula>N$9&gt;=20/24</formula>
    </cfRule>
    <cfRule type="expression" dxfId="2335" priority="340">
      <formula>AND(N$9&gt;=14/24,N$9&lt;20/24)</formula>
    </cfRule>
    <cfRule type="expression" dxfId="2334" priority="341">
      <formula>AND(N$9&gt;=8/24,N$9&lt;14/24)</formula>
    </cfRule>
    <cfRule type="expression" dxfId="2333" priority="342">
      <formula>N$9&lt;8/24</formula>
    </cfRule>
  </conditionalFormatting>
  <conditionalFormatting sqref="R98:S98">
    <cfRule type="expression" dxfId="2332" priority="335">
      <formula>R$9&gt;=20/24</formula>
    </cfRule>
    <cfRule type="expression" dxfId="2331" priority="336">
      <formula>AND(R$9&gt;=14/24,R$9&lt;20/24)</formula>
    </cfRule>
    <cfRule type="expression" dxfId="2330" priority="337">
      <formula>AND(R$9&gt;=8/24,R$9&lt;14/24)</formula>
    </cfRule>
    <cfRule type="expression" dxfId="2329" priority="338">
      <formula>R$9&lt;8/24</formula>
    </cfRule>
  </conditionalFormatting>
  <conditionalFormatting sqref="R12:V12 S13:T13 T14:T16 V13:V16">
    <cfRule type="expression" dxfId="2328" priority="331">
      <formula>R$9&gt;=20/24</formula>
    </cfRule>
    <cfRule type="expression" dxfId="2327" priority="332">
      <formula>AND(R$9&gt;=14/24,R$9&lt;20/24)</formula>
    </cfRule>
    <cfRule type="expression" dxfId="2326" priority="333">
      <formula>AND(R$9&gt;=8/24,R$9&lt;14/24)</formula>
    </cfRule>
    <cfRule type="expression" dxfId="2325" priority="334">
      <formula>R$9&lt;8/24</formula>
    </cfRule>
  </conditionalFormatting>
  <conditionalFormatting sqref="V17">
    <cfRule type="expression" dxfId="2324" priority="327">
      <formula>V$9&gt;=20/24</formula>
    </cfRule>
    <cfRule type="expression" dxfId="2323" priority="328">
      <formula>AND(V$9&gt;=14/24,V$9&lt;20/24)</formula>
    </cfRule>
    <cfRule type="expression" dxfId="2322" priority="329">
      <formula>AND(V$9&gt;=8/24,V$9&lt;14/24)</formula>
    </cfRule>
    <cfRule type="expression" dxfId="2321" priority="330">
      <formula>V$9&lt;8/24</formula>
    </cfRule>
  </conditionalFormatting>
  <conditionalFormatting sqref="R12:V12 S13:T13 V13">
    <cfRule type="expression" dxfId="2320" priority="323">
      <formula>R$9&gt;=20/24</formula>
    </cfRule>
    <cfRule type="expression" dxfId="2319" priority="324">
      <formula>AND(R$9&gt;=14/24,R$9&lt;20/24)</formula>
    </cfRule>
    <cfRule type="expression" dxfId="2318" priority="325">
      <formula>AND(R$9&gt;=8/24,R$9&lt;14/24)</formula>
    </cfRule>
    <cfRule type="expression" dxfId="2317" priority="326">
      <formula>R$9&lt;8/24</formula>
    </cfRule>
  </conditionalFormatting>
  <conditionalFormatting sqref="AD57:AD58">
    <cfRule type="expression" dxfId="2316" priority="319">
      <formula>AD$9&gt;=20/24</formula>
    </cfRule>
    <cfRule type="expression" dxfId="2315" priority="320">
      <formula>AND(AD$9&gt;=14/24,AD$9&lt;20/24)</formula>
    </cfRule>
    <cfRule type="expression" dxfId="2314" priority="321">
      <formula>AND(AD$9&gt;=8/24,AD$9&lt;14/24)</formula>
    </cfRule>
    <cfRule type="expression" dxfId="2313" priority="322">
      <formula>AD$9&lt;8/24</formula>
    </cfRule>
  </conditionalFormatting>
  <conditionalFormatting sqref="B67:B71 B73:B77 B79:B81 B83:B90 B52:B59 C52:C54 C56:C59 D59:M59">
    <cfRule type="expression" dxfId="2312" priority="315">
      <formula>B$9&gt;=20/24</formula>
    </cfRule>
    <cfRule type="expression" dxfId="2311" priority="316">
      <formula>AND(B$9&gt;=14/24,B$9&lt;20/24)</formula>
    </cfRule>
    <cfRule type="expression" dxfId="2310" priority="317">
      <formula>AND(B$9&gt;=8/24,B$9&lt;14/24)</formula>
    </cfRule>
    <cfRule type="expression" dxfId="2309" priority="318">
      <formula>B$9&lt;8/24</formula>
    </cfRule>
  </conditionalFormatting>
  <conditionalFormatting sqref="B60:M66">
    <cfRule type="expression" dxfId="2308" priority="311">
      <formula>B$9&gt;=20/24</formula>
    </cfRule>
    <cfRule type="expression" dxfId="2307" priority="312">
      <formula>AND(B$9&gt;=14/24,B$9&lt;20/24)</formula>
    </cfRule>
    <cfRule type="expression" dxfId="2306" priority="313">
      <formula>AND(B$9&gt;=8/24,B$9&lt;14/24)</formula>
    </cfRule>
    <cfRule type="expression" dxfId="2305" priority="314">
      <formula>B$9&lt;8/24</formula>
    </cfRule>
  </conditionalFormatting>
  <conditionalFormatting sqref="B93:B96">
    <cfRule type="expression" dxfId="2304" priority="307">
      <formula>B$9&gt;=20/24</formula>
    </cfRule>
    <cfRule type="expression" dxfId="2303" priority="308">
      <formula>AND(B$9&gt;=14/24,B$9&lt;20/24)</formula>
    </cfRule>
    <cfRule type="expression" dxfId="2302" priority="309">
      <formula>AND(B$9&gt;=8/24,B$9&lt;14/24)</formula>
    </cfRule>
    <cfRule type="expression" dxfId="2301" priority="310">
      <formula>B$9&lt;8/24</formula>
    </cfRule>
  </conditionalFormatting>
  <conditionalFormatting sqref="B44:B55 C44:C49 B38:C42 C52:C54 B11:D14 E12:H14 I12 B34:I36 I14:K14 J34:K35 B16:K22 B23 B24:K32">
    <cfRule type="expression" dxfId="2300" priority="306">
      <formula>B11&gt;$AG11</formula>
    </cfRule>
  </conditionalFormatting>
  <conditionalFormatting sqref="B97">
    <cfRule type="expression" dxfId="2299" priority="302">
      <formula>B$9&gt;=20/24</formula>
    </cfRule>
    <cfRule type="expression" dxfId="2298" priority="303">
      <formula>AND(B$9&gt;=14/24,B$9&lt;20/24)</formula>
    </cfRule>
    <cfRule type="expression" dxfId="2297" priority="304">
      <formula>AND(B$9&gt;=8/24,B$9&lt;14/24)</formula>
    </cfRule>
    <cfRule type="expression" dxfId="2296" priority="305">
      <formula>B$9&lt;8/24</formula>
    </cfRule>
  </conditionalFormatting>
  <conditionalFormatting sqref="B35:K35">
    <cfRule type="expression" dxfId="2295" priority="298">
      <formula>B$9&gt;=20/24</formula>
    </cfRule>
    <cfRule type="expression" dxfId="2294" priority="299">
      <formula>AND(B$9&gt;=14/24,B$9&lt;20/24)</formula>
    </cfRule>
    <cfRule type="expression" dxfId="2293" priority="300">
      <formula>AND(B$9&gt;=8/24,B$9&lt;14/24)</formula>
    </cfRule>
    <cfRule type="expression" dxfId="2292" priority="301">
      <formula>B$9&lt;8/24</formula>
    </cfRule>
  </conditionalFormatting>
  <conditionalFormatting sqref="B35:K35">
    <cfRule type="expression" dxfId="2291" priority="294">
      <formula>B$9&gt;=20/24</formula>
    </cfRule>
    <cfRule type="expression" dxfId="2290" priority="295">
      <formula>AND(B$9&gt;=14/24,B$9&lt;20/24)</formula>
    </cfRule>
    <cfRule type="expression" dxfId="2289" priority="296">
      <formula>AND(B$9&gt;=8/24,B$9&lt;14/24)</formula>
    </cfRule>
    <cfRule type="expression" dxfId="2288" priority="297">
      <formula>B$9&lt;8/24</formula>
    </cfRule>
  </conditionalFormatting>
  <conditionalFormatting sqref="B33:K33">
    <cfRule type="expression" dxfId="2287" priority="293">
      <formula>B33&gt;$AG33</formula>
    </cfRule>
  </conditionalFormatting>
  <conditionalFormatting sqref="B82">
    <cfRule type="expression" dxfId="2286" priority="289">
      <formula>B$9&gt;=20/24</formula>
    </cfRule>
    <cfRule type="expression" dxfId="2285" priority="290">
      <formula>AND(B$9&gt;=14/24,B$9&lt;20/24)</formula>
    </cfRule>
    <cfRule type="expression" dxfId="2284" priority="291">
      <formula>AND(B$9&gt;=8/24,B$9&lt;14/24)</formula>
    </cfRule>
    <cfRule type="expression" dxfId="2283" priority="292">
      <formula>B$9&lt;8/24</formula>
    </cfRule>
  </conditionalFormatting>
  <conditionalFormatting sqref="B15:K15">
    <cfRule type="expression" dxfId="2282" priority="288">
      <formula>B15&gt;$AG15</formula>
    </cfRule>
  </conditionalFormatting>
  <conditionalFormatting sqref="B43:C43">
    <cfRule type="expression" dxfId="2281" priority="287">
      <formula>B43&gt;$AG43</formula>
    </cfRule>
  </conditionalFormatting>
  <conditionalFormatting sqref="B78">
    <cfRule type="expression" dxfId="2280" priority="283">
      <formula>B$9&gt;=20/24</formula>
    </cfRule>
    <cfRule type="expression" dxfId="2279" priority="284">
      <formula>AND(B$9&gt;=14/24,B$9&lt;20/24)</formula>
    </cfRule>
    <cfRule type="expression" dxfId="2278" priority="285">
      <formula>AND(B$9&gt;=8/24,B$9&lt;14/24)</formula>
    </cfRule>
    <cfRule type="expression" dxfId="2277" priority="286">
      <formula>B$9&lt;8/24</formula>
    </cfRule>
  </conditionalFormatting>
  <conditionalFormatting sqref="B72">
    <cfRule type="expression" dxfId="2276" priority="279">
      <formula>B$9&gt;=20/24</formula>
    </cfRule>
    <cfRule type="expression" dxfId="2275" priority="280">
      <formula>AND(B$9&gt;=14/24,B$9&lt;20/24)</formula>
    </cfRule>
    <cfRule type="expression" dxfId="2274" priority="281">
      <formula>AND(B$9&gt;=8/24,B$9&lt;14/24)</formula>
    </cfRule>
    <cfRule type="expression" dxfId="2273" priority="282">
      <formula>B$9&lt;8/24</formula>
    </cfRule>
  </conditionalFormatting>
  <conditionalFormatting sqref="B98">
    <cfRule type="expression" dxfId="2272" priority="275">
      <formula>B$9&gt;=20/24</formula>
    </cfRule>
    <cfRule type="expression" dxfId="2271" priority="276">
      <formula>AND(B$9&gt;=14/24,B$9&lt;20/24)</formula>
    </cfRule>
    <cfRule type="expression" dxfId="2270" priority="277">
      <formula>AND(B$9&gt;=8/24,B$9&lt;14/24)</formula>
    </cfRule>
    <cfRule type="expression" dxfId="2269" priority="278">
      <formula>B$9&lt;8/24</formula>
    </cfRule>
  </conditionalFormatting>
  <conditionalFormatting sqref="L11:M22 L24:M26 L28:M36">
    <cfRule type="expression" dxfId="2268" priority="271">
      <formula>L$9&gt;=20/24</formula>
    </cfRule>
    <cfRule type="expression" dxfId="2267" priority="272">
      <formula>AND(L$9&gt;=14/24,L$9&lt;20/24)</formula>
    </cfRule>
    <cfRule type="expression" dxfId="2266" priority="273">
      <formula>AND(L$9&gt;=8/24,L$9&lt;14/24)</formula>
    </cfRule>
    <cfRule type="expression" dxfId="2265" priority="274">
      <formula>L$9&lt;8/24</formula>
    </cfRule>
  </conditionalFormatting>
  <conditionalFormatting sqref="L11:M22 L24:M26 L28:M36">
    <cfRule type="expression" dxfId="2264" priority="270">
      <formula>L11&gt;$AG11</formula>
    </cfRule>
  </conditionalFormatting>
  <conditionalFormatting sqref="L38:M49">
    <cfRule type="expression" dxfId="2263" priority="266">
      <formula>L$9&gt;=20/24</formula>
    </cfRule>
    <cfRule type="expression" dxfId="2262" priority="267">
      <formula>AND(L$9&gt;=14/24,L$9&lt;20/24)</formula>
    </cfRule>
    <cfRule type="expression" dxfId="2261" priority="268">
      <formula>AND(L$9&gt;=8/24,L$9&lt;14/24)</formula>
    </cfRule>
    <cfRule type="expression" dxfId="2260" priority="269">
      <formula>L$9&lt;8/24</formula>
    </cfRule>
  </conditionalFormatting>
  <conditionalFormatting sqref="L38:M49">
    <cfRule type="expression" dxfId="2259" priority="265">
      <formula>L38&gt;$AG38</formula>
    </cfRule>
  </conditionalFormatting>
  <conditionalFormatting sqref="N17:R22 N24:R26 N28:R34">
    <cfRule type="expression" dxfId="2258" priority="261">
      <formula>N$9&gt;=20/24</formula>
    </cfRule>
    <cfRule type="expression" dxfId="2257" priority="262">
      <formula>AND(N$9&gt;=14/24,N$9&lt;20/24)</formula>
    </cfRule>
    <cfRule type="expression" dxfId="2256" priority="263">
      <formula>AND(N$9&gt;=8/24,N$9&lt;14/24)</formula>
    </cfRule>
    <cfRule type="expression" dxfId="2255" priority="264">
      <formula>N$9&lt;8/24</formula>
    </cfRule>
  </conditionalFormatting>
  <conditionalFormatting sqref="N17:R22 N24:R26 N28:R34">
    <cfRule type="expression" dxfId="2254" priority="260">
      <formula>N17&gt;$AG17</formula>
    </cfRule>
  </conditionalFormatting>
  <conditionalFormatting sqref="C23:R23">
    <cfRule type="expression" dxfId="2253" priority="259">
      <formula>C23&gt;$AG23</formula>
    </cfRule>
  </conditionalFormatting>
  <conditionalFormatting sqref="L27:R27">
    <cfRule type="expression" dxfId="2252" priority="258">
      <formula>L27&gt;$AG27</formula>
    </cfRule>
  </conditionalFormatting>
  <conditionalFormatting sqref="S16 S14">
    <cfRule type="expression" dxfId="2251" priority="254">
      <formula>S$9&gt;=20/24</formula>
    </cfRule>
    <cfRule type="expression" dxfId="2250" priority="255">
      <formula>AND(S$9&gt;=14/24,S$9&lt;20/24)</formula>
    </cfRule>
    <cfRule type="expression" dxfId="2249" priority="256">
      <formula>AND(S$9&gt;=8/24,S$9&lt;14/24)</formula>
    </cfRule>
    <cfRule type="expression" dxfId="2248" priority="257">
      <formula>S$9&lt;8/24</formula>
    </cfRule>
  </conditionalFormatting>
  <conditionalFormatting sqref="S16 S35 S14">
    <cfRule type="expression" dxfId="2247" priority="253">
      <formula>S14&gt;$AG14</formula>
    </cfRule>
  </conditionalFormatting>
  <conditionalFormatting sqref="S35">
    <cfRule type="expression" dxfId="2246" priority="249">
      <formula>S$9&gt;=20/24</formula>
    </cfRule>
    <cfRule type="expression" dxfId="2245" priority="250">
      <formula>AND(S$9&gt;=14/24,S$9&lt;20/24)</formula>
    </cfRule>
    <cfRule type="expression" dxfId="2244" priority="251">
      <formula>AND(S$9&gt;=8/24,S$9&lt;14/24)</formula>
    </cfRule>
    <cfRule type="expression" dxfId="2243" priority="252">
      <formula>S$9&lt;8/24</formula>
    </cfRule>
  </conditionalFormatting>
  <conditionalFormatting sqref="S15">
    <cfRule type="expression" dxfId="2242" priority="245">
      <formula>S$9&gt;=20/24</formula>
    </cfRule>
    <cfRule type="expression" dxfId="2241" priority="246">
      <formula>AND(S$9&gt;=14/24,S$9&lt;20/24)</formula>
    </cfRule>
    <cfRule type="expression" dxfId="2240" priority="247">
      <formula>AND(S$9&gt;=8/24,S$9&lt;14/24)</formula>
    </cfRule>
    <cfRule type="expression" dxfId="2239" priority="248">
      <formula>S$9&lt;8/24</formula>
    </cfRule>
  </conditionalFormatting>
  <conditionalFormatting sqref="S15">
    <cfRule type="expression" dxfId="2238" priority="244">
      <formula>S15&gt;$AG15</formula>
    </cfRule>
  </conditionalFormatting>
  <conditionalFormatting sqref="S17:S22 S24:S26 S28:S34">
    <cfRule type="expression" dxfId="2237" priority="240">
      <formula>S$9&gt;=20/24</formula>
    </cfRule>
    <cfRule type="expression" dxfId="2236" priority="241">
      <formula>AND(S$9&gt;=14/24,S$9&lt;20/24)</formula>
    </cfRule>
    <cfRule type="expression" dxfId="2235" priority="242">
      <formula>AND(S$9&gt;=8/24,S$9&lt;14/24)</formula>
    </cfRule>
    <cfRule type="expression" dxfId="2234" priority="243">
      <formula>S$9&lt;8/24</formula>
    </cfRule>
  </conditionalFormatting>
  <conditionalFormatting sqref="S17:S22 S24:S26 S28:S34">
    <cfRule type="expression" dxfId="2233" priority="239">
      <formula>S17&gt;$AG17</formula>
    </cfRule>
  </conditionalFormatting>
  <conditionalFormatting sqref="S23">
    <cfRule type="expression" dxfId="2232" priority="238">
      <formula>S23&gt;$AG23</formula>
    </cfRule>
  </conditionalFormatting>
  <conditionalFormatting sqref="S27">
    <cfRule type="expression" dxfId="2231" priority="237">
      <formula>S27&gt;$AG27</formula>
    </cfRule>
  </conditionalFormatting>
  <conditionalFormatting sqref="T35">
    <cfRule type="expression" dxfId="2230" priority="236">
      <formula>T35&gt;$AG35</formula>
    </cfRule>
  </conditionalFormatting>
  <conditionalFormatting sqref="T35">
    <cfRule type="expression" dxfId="2229" priority="232">
      <formula>T$9&gt;=20/24</formula>
    </cfRule>
    <cfRule type="expression" dxfId="2228" priority="233">
      <formula>AND(T$9&gt;=14/24,T$9&lt;20/24)</formula>
    </cfRule>
    <cfRule type="expression" dxfId="2227" priority="234">
      <formula>AND(T$9&gt;=8/24,T$9&lt;14/24)</formula>
    </cfRule>
    <cfRule type="expression" dxfId="2226" priority="235">
      <formula>T$9&lt;8/24</formula>
    </cfRule>
  </conditionalFormatting>
  <conditionalFormatting sqref="T17:T22 T24:T26 T28:T34">
    <cfRule type="expression" dxfId="2225" priority="228">
      <formula>T$9&gt;=20/24</formula>
    </cfRule>
    <cfRule type="expression" dxfId="2224" priority="229">
      <formula>AND(T$9&gt;=14/24,T$9&lt;20/24)</formula>
    </cfRule>
    <cfRule type="expression" dxfId="2223" priority="230">
      <formula>AND(T$9&gt;=8/24,T$9&lt;14/24)</formula>
    </cfRule>
    <cfRule type="expression" dxfId="2222" priority="231">
      <formula>T$9&lt;8/24</formula>
    </cfRule>
  </conditionalFormatting>
  <conditionalFormatting sqref="T17:T22 T24:T26 T28:T34">
    <cfRule type="expression" dxfId="2221" priority="227">
      <formula>T17&gt;$AG17</formula>
    </cfRule>
  </conditionalFormatting>
  <conditionalFormatting sqref="T23">
    <cfRule type="expression" dxfId="2220" priority="226">
      <formula>T23&gt;$AG23</formula>
    </cfRule>
  </conditionalFormatting>
  <conditionalFormatting sqref="T27">
    <cfRule type="expression" dxfId="2219" priority="225">
      <formula>T27&gt;$AG27</formula>
    </cfRule>
  </conditionalFormatting>
  <conditionalFormatting sqref="U13:U16">
    <cfRule type="expression" dxfId="2218" priority="221">
      <formula>U$9&gt;=20/24</formula>
    </cfRule>
    <cfRule type="expression" dxfId="2217" priority="222">
      <formula>AND(U$9&gt;=14/24,U$9&lt;20/24)</formula>
    </cfRule>
    <cfRule type="expression" dxfId="2216" priority="223">
      <formula>AND(U$9&gt;=8/24,U$9&lt;14/24)</formula>
    </cfRule>
    <cfRule type="expression" dxfId="2215" priority="224">
      <formula>U$9&lt;8/24</formula>
    </cfRule>
  </conditionalFormatting>
  <conditionalFormatting sqref="U13">
    <cfRule type="expression" dxfId="2214" priority="217">
      <formula>U$9&gt;=20/24</formula>
    </cfRule>
    <cfRule type="expression" dxfId="2213" priority="218">
      <formula>AND(U$9&gt;=14/24,U$9&lt;20/24)</formula>
    </cfRule>
    <cfRule type="expression" dxfId="2212" priority="219">
      <formula>AND(U$9&gt;=8/24,U$9&lt;14/24)</formula>
    </cfRule>
    <cfRule type="expression" dxfId="2211" priority="220">
      <formula>U$9&lt;8/24</formula>
    </cfRule>
  </conditionalFormatting>
  <conditionalFormatting sqref="U35">
    <cfRule type="expression" dxfId="2210" priority="216">
      <formula>U35&gt;$AG35</formula>
    </cfRule>
  </conditionalFormatting>
  <conditionalFormatting sqref="U35">
    <cfRule type="expression" dxfId="2209" priority="212">
      <formula>U$9&gt;=20/24</formula>
    </cfRule>
    <cfRule type="expression" dxfId="2208" priority="213">
      <formula>AND(U$9&gt;=14/24,U$9&lt;20/24)</formula>
    </cfRule>
    <cfRule type="expression" dxfId="2207" priority="214">
      <formula>AND(U$9&gt;=8/24,U$9&lt;14/24)</formula>
    </cfRule>
    <cfRule type="expression" dxfId="2206" priority="215">
      <formula>U$9&lt;8/24</formula>
    </cfRule>
  </conditionalFormatting>
  <conditionalFormatting sqref="U17:U22 U24:U26 U28:U34">
    <cfRule type="expression" dxfId="2205" priority="208">
      <formula>U$9&gt;=20/24</formula>
    </cfRule>
    <cfRule type="expression" dxfId="2204" priority="209">
      <formula>AND(U$9&gt;=14/24,U$9&lt;20/24)</formula>
    </cfRule>
    <cfRule type="expression" dxfId="2203" priority="210">
      <formula>AND(U$9&gt;=8/24,U$9&lt;14/24)</formula>
    </cfRule>
    <cfRule type="expression" dxfId="2202" priority="211">
      <formula>U$9&lt;8/24</formula>
    </cfRule>
  </conditionalFormatting>
  <conditionalFormatting sqref="U17:U22 U24:U26 U28:U34">
    <cfRule type="expression" dxfId="2201" priority="207">
      <formula>U17&gt;$AG17</formula>
    </cfRule>
  </conditionalFormatting>
  <conditionalFormatting sqref="U23">
    <cfRule type="expression" dxfId="2200" priority="206">
      <formula>U23&gt;$AG23</formula>
    </cfRule>
  </conditionalFormatting>
  <conditionalFormatting sqref="U27">
    <cfRule type="expression" dxfId="2199" priority="205">
      <formula>U27&gt;$AG27</formula>
    </cfRule>
  </conditionalFormatting>
  <conditionalFormatting sqref="W18:W25">
    <cfRule type="expression" dxfId="2198" priority="201">
      <formula>W$9&gt;=20/24</formula>
    </cfRule>
    <cfRule type="expression" dxfId="2197" priority="202">
      <formula>AND(W$9&gt;=14/24,W$9&lt;20/24)</formula>
    </cfRule>
    <cfRule type="expression" dxfId="2196" priority="203">
      <formula>AND(W$9&gt;=8/24,W$9&lt;14/24)</formula>
    </cfRule>
    <cfRule type="expression" dxfId="2195" priority="204">
      <formula>W$9&lt;8/24</formula>
    </cfRule>
  </conditionalFormatting>
  <conditionalFormatting sqref="W18:W25">
    <cfRule type="expression" dxfId="2194" priority="200">
      <formula>W18&gt;$AG18</formula>
    </cfRule>
  </conditionalFormatting>
  <conditionalFormatting sqref="W12:W16">
    <cfRule type="expression" dxfId="2193" priority="196">
      <formula>W$9&gt;=20/24</formula>
    </cfRule>
    <cfRule type="expression" dxfId="2192" priority="197">
      <formula>AND(W$9&gt;=14/24,W$9&lt;20/24)</formula>
    </cfRule>
    <cfRule type="expression" dxfId="2191" priority="198">
      <formula>AND(W$9&gt;=8/24,W$9&lt;14/24)</formula>
    </cfRule>
    <cfRule type="expression" dxfId="2190" priority="199">
      <formula>W$9&lt;8/24</formula>
    </cfRule>
  </conditionalFormatting>
  <conditionalFormatting sqref="W17">
    <cfRule type="expression" dxfId="2189" priority="192">
      <formula>W$9&gt;=20/24</formula>
    </cfRule>
    <cfRule type="expression" dxfId="2188" priority="193">
      <formula>AND(W$9&gt;=14/24,W$9&lt;20/24)</formula>
    </cfRule>
    <cfRule type="expression" dxfId="2187" priority="194">
      <formula>AND(W$9&gt;=8/24,W$9&lt;14/24)</formula>
    </cfRule>
    <cfRule type="expression" dxfId="2186" priority="195">
      <formula>W$9&lt;8/24</formula>
    </cfRule>
  </conditionalFormatting>
  <conditionalFormatting sqref="W12:W13">
    <cfRule type="expression" dxfId="2185" priority="188">
      <formula>W$9&gt;=20/24</formula>
    </cfRule>
    <cfRule type="expression" dxfId="2184" priority="189">
      <formula>AND(W$9&gt;=14/24,W$9&lt;20/24)</formula>
    </cfRule>
    <cfRule type="expression" dxfId="2183" priority="190">
      <formula>AND(W$9&gt;=8/24,W$9&lt;14/24)</formula>
    </cfRule>
    <cfRule type="expression" dxfId="2182" priority="191">
      <formula>W$9&lt;8/24</formula>
    </cfRule>
  </conditionalFormatting>
  <conditionalFormatting sqref="W27:W30">
    <cfRule type="expression" dxfId="2181" priority="184">
      <formula>W$9&gt;=20/24</formula>
    </cfRule>
    <cfRule type="expression" dxfId="2180" priority="185">
      <formula>AND(W$9&gt;=14/24,W$9&lt;20/24)</formula>
    </cfRule>
    <cfRule type="expression" dxfId="2179" priority="186">
      <formula>AND(W$9&gt;=8/24,W$9&lt;14/24)</formula>
    </cfRule>
    <cfRule type="expression" dxfId="2178" priority="187">
      <formula>W$9&lt;8/24</formula>
    </cfRule>
  </conditionalFormatting>
  <conditionalFormatting sqref="W31:W32 W34">
    <cfRule type="expression" dxfId="2177" priority="180">
      <formula>W$9&gt;=20/24</formula>
    </cfRule>
    <cfRule type="expression" dxfId="2176" priority="181">
      <formula>AND(W$9&gt;=14/24,W$9&lt;20/24)</formula>
    </cfRule>
    <cfRule type="expression" dxfId="2175" priority="182">
      <formula>AND(W$9&gt;=8/24,W$9&lt;14/24)</formula>
    </cfRule>
    <cfRule type="expression" dxfId="2174" priority="183">
      <formula>W$9&lt;8/24</formula>
    </cfRule>
  </conditionalFormatting>
  <conditionalFormatting sqref="W34:W35 W27:W32">
    <cfRule type="expression" dxfId="2173" priority="179">
      <formula>W27&gt;$AG27</formula>
    </cfRule>
  </conditionalFormatting>
  <conditionalFormatting sqref="W35">
    <cfRule type="expression" dxfId="2172" priority="175">
      <formula>W$9&gt;=20/24</formula>
    </cfRule>
    <cfRule type="expression" dxfId="2171" priority="176">
      <formula>AND(W$9&gt;=14/24,W$9&lt;20/24)</formula>
    </cfRule>
    <cfRule type="expression" dxfId="2170" priority="177">
      <formula>AND(W$9&gt;=8/24,W$9&lt;14/24)</formula>
    </cfRule>
    <cfRule type="expression" dxfId="2169" priority="178">
      <formula>W$9&lt;8/24</formula>
    </cfRule>
  </conditionalFormatting>
  <conditionalFormatting sqref="W35">
    <cfRule type="expression" dxfId="2168" priority="171">
      <formula>W$9&gt;=20/24</formula>
    </cfRule>
    <cfRule type="expression" dxfId="2167" priority="172">
      <formula>AND(W$9&gt;=14/24,W$9&lt;20/24)</formula>
    </cfRule>
    <cfRule type="expression" dxfId="2166" priority="173">
      <formula>AND(W$9&gt;=8/24,W$9&lt;14/24)</formula>
    </cfRule>
    <cfRule type="expression" dxfId="2165" priority="174">
      <formula>W$9&lt;8/24</formula>
    </cfRule>
  </conditionalFormatting>
  <conditionalFormatting sqref="W33">
    <cfRule type="expression" dxfId="2164" priority="167">
      <formula>W$9&gt;=20/24</formula>
    </cfRule>
    <cfRule type="expression" dxfId="2163" priority="168">
      <formula>AND(W$9&gt;=14/24,W$9&lt;20/24)</formula>
    </cfRule>
    <cfRule type="expression" dxfId="2162" priority="169">
      <formula>AND(W$9&gt;=8/24,W$9&lt;14/24)</formula>
    </cfRule>
    <cfRule type="expression" dxfId="2161" priority="170">
      <formula>W$9&lt;8/24</formula>
    </cfRule>
  </conditionalFormatting>
  <conditionalFormatting sqref="W33">
    <cfRule type="expression" dxfId="2160" priority="166">
      <formula>W33&gt;$AG33</formula>
    </cfRule>
  </conditionalFormatting>
  <conditionalFormatting sqref="X18:X25">
    <cfRule type="expression" dxfId="2159" priority="162">
      <formula>X$9&gt;=20/24</formula>
    </cfRule>
    <cfRule type="expression" dxfId="2158" priority="163">
      <formula>AND(X$9&gt;=14/24,X$9&lt;20/24)</formula>
    </cfRule>
    <cfRule type="expression" dxfId="2157" priority="164">
      <formula>AND(X$9&gt;=8/24,X$9&lt;14/24)</formula>
    </cfRule>
    <cfRule type="expression" dxfId="2156" priority="165">
      <formula>X$9&lt;8/24</formula>
    </cfRule>
  </conditionalFormatting>
  <conditionalFormatting sqref="X18:X25">
    <cfRule type="expression" dxfId="2155" priority="161">
      <formula>X18&gt;$AG18</formula>
    </cfRule>
  </conditionalFormatting>
  <conditionalFormatting sqref="X12:X16">
    <cfRule type="expression" dxfId="2154" priority="157">
      <formula>X$9&gt;=20/24</formula>
    </cfRule>
    <cfRule type="expression" dxfId="2153" priority="158">
      <formula>AND(X$9&gt;=14/24,X$9&lt;20/24)</formula>
    </cfRule>
    <cfRule type="expression" dxfId="2152" priority="159">
      <formula>AND(X$9&gt;=8/24,X$9&lt;14/24)</formula>
    </cfRule>
    <cfRule type="expression" dxfId="2151" priority="160">
      <formula>X$9&lt;8/24</formula>
    </cfRule>
  </conditionalFormatting>
  <conditionalFormatting sqref="X17">
    <cfRule type="expression" dxfId="2150" priority="153">
      <formula>X$9&gt;=20/24</formula>
    </cfRule>
    <cfRule type="expression" dxfId="2149" priority="154">
      <formula>AND(X$9&gt;=14/24,X$9&lt;20/24)</formula>
    </cfRule>
    <cfRule type="expression" dxfId="2148" priority="155">
      <formula>AND(X$9&gt;=8/24,X$9&lt;14/24)</formula>
    </cfRule>
    <cfRule type="expression" dxfId="2147" priority="156">
      <formula>X$9&lt;8/24</formula>
    </cfRule>
  </conditionalFormatting>
  <conditionalFormatting sqref="X12:X13">
    <cfRule type="expression" dxfId="2146" priority="149">
      <formula>X$9&gt;=20/24</formula>
    </cfRule>
    <cfRule type="expression" dxfId="2145" priority="150">
      <formula>AND(X$9&gt;=14/24,X$9&lt;20/24)</formula>
    </cfRule>
    <cfRule type="expression" dxfId="2144" priority="151">
      <formula>AND(X$9&gt;=8/24,X$9&lt;14/24)</formula>
    </cfRule>
    <cfRule type="expression" dxfId="2143" priority="152">
      <formula>X$9&lt;8/24</formula>
    </cfRule>
  </conditionalFormatting>
  <conditionalFormatting sqref="X28:X30">
    <cfRule type="expression" dxfId="2142" priority="145">
      <formula>X$9&gt;=20/24</formula>
    </cfRule>
    <cfRule type="expression" dxfId="2141" priority="146">
      <formula>AND(X$9&gt;=14/24,X$9&lt;20/24)</formula>
    </cfRule>
    <cfRule type="expression" dxfId="2140" priority="147">
      <formula>AND(X$9&gt;=8/24,X$9&lt;14/24)</formula>
    </cfRule>
    <cfRule type="expression" dxfId="2139" priority="148">
      <formula>X$9&lt;8/24</formula>
    </cfRule>
  </conditionalFormatting>
  <conditionalFormatting sqref="X31:X32 X34">
    <cfRule type="expression" dxfId="2138" priority="141">
      <formula>X$9&gt;=20/24</formula>
    </cfRule>
    <cfRule type="expression" dxfId="2137" priority="142">
      <formula>AND(X$9&gt;=14/24,X$9&lt;20/24)</formula>
    </cfRule>
    <cfRule type="expression" dxfId="2136" priority="143">
      <formula>AND(X$9&gt;=8/24,X$9&lt;14/24)</formula>
    </cfRule>
    <cfRule type="expression" dxfId="2135" priority="144">
      <formula>X$9&lt;8/24</formula>
    </cfRule>
  </conditionalFormatting>
  <conditionalFormatting sqref="X34:X35 X28:X32">
    <cfRule type="expression" dxfId="2134" priority="140">
      <formula>X28&gt;$AG28</formula>
    </cfRule>
  </conditionalFormatting>
  <conditionalFormatting sqref="X35">
    <cfRule type="expression" dxfId="2133" priority="136">
      <formula>X$9&gt;=20/24</formula>
    </cfRule>
    <cfRule type="expression" dxfId="2132" priority="137">
      <formula>AND(X$9&gt;=14/24,X$9&lt;20/24)</formula>
    </cfRule>
    <cfRule type="expression" dxfId="2131" priority="138">
      <formula>AND(X$9&gt;=8/24,X$9&lt;14/24)</formula>
    </cfRule>
    <cfRule type="expression" dxfId="2130" priority="139">
      <formula>X$9&lt;8/24</formula>
    </cfRule>
  </conditionalFormatting>
  <conditionalFormatting sqref="X35">
    <cfRule type="expression" dxfId="2129" priority="132">
      <formula>X$9&gt;=20/24</formula>
    </cfRule>
    <cfRule type="expression" dxfId="2128" priority="133">
      <formula>AND(X$9&gt;=14/24,X$9&lt;20/24)</formula>
    </cfRule>
    <cfRule type="expression" dxfId="2127" priority="134">
      <formula>AND(X$9&gt;=8/24,X$9&lt;14/24)</formula>
    </cfRule>
    <cfRule type="expression" dxfId="2126" priority="135">
      <formula>X$9&lt;8/24</formula>
    </cfRule>
  </conditionalFormatting>
  <conditionalFormatting sqref="X33">
    <cfRule type="expression" dxfId="2125" priority="128">
      <formula>X$9&gt;=20/24</formula>
    </cfRule>
    <cfRule type="expression" dxfId="2124" priority="129">
      <formula>AND(X$9&gt;=14/24,X$9&lt;20/24)</formula>
    </cfRule>
    <cfRule type="expression" dxfId="2123" priority="130">
      <formula>AND(X$9&gt;=8/24,X$9&lt;14/24)</formula>
    </cfRule>
    <cfRule type="expression" dxfId="2122" priority="131">
      <formula>X$9&lt;8/24</formula>
    </cfRule>
  </conditionalFormatting>
  <conditionalFormatting sqref="X33">
    <cfRule type="expression" dxfId="2121" priority="127">
      <formula>X33&gt;$AG33</formula>
    </cfRule>
  </conditionalFormatting>
  <conditionalFormatting sqref="Y26:Y27">
    <cfRule type="expression" dxfId="2120" priority="123">
      <formula>Y$9&gt;=20/24</formula>
    </cfRule>
    <cfRule type="expression" dxfId="2119" priority="124">
      <formula>AND(Y$9&gt;=14/24,Y$9&lt;20/24)</formula>
    </cfRule>
    <cfRule type="expression" dxfId="2118" priority="125">
      <formula>AND(Y$9&gt;=8/24,Y$9&lt;14/24)</formula>
    </cfRule>
    <cfRule type="expression" dxfId="2117" priority="126">
      <formula>Y$9&lt;8/24</formula>
    </cfRule>
  </conditionalFormatting>
  <conditionalFormatting sqref="Y36">
    <cfRule type="expression" dxfId="2116" priority="119">
      <formula>Y$9&gt;=20/24</formula>
    </cfRule>
    <cfRule type="expression" dxfId="2115" priority="120">
      <formula>AND(Y$9&gt;=14/24,Y$9&lt;20/24)</formula>
    </cfRule>
    <cfRule type="expression" dxfId="2114" priority="121">
      <formula>AND(Y$9&gt;=8/24,Y$9&lt;14/24)</formula>
    </cfRule>
    <cfRule type="expression" dxfId="2113" priority="122">
      <formula>Y$9&lt;8/24</formula>
    </cfRule>
  </conditionalFormatting>
  <conditionalFormatting sqref="Y36 Y26:Y27">
    <cfRule type="expression" dxfId="2112" priority="118">
      <formula>Y26&gt;$AG26</formula>
    </cfRule>
  </conditionalFormatting>
  <conditionalFormatting sqref="Y18:Y25">
    <cfRule type="expression" dxfId="2111" priority="114">
      <formula>Y$9&gt;=20/24</formula>
    </cfRule>
    <cfRule type="expression" dxfId="2110" priority="115">
      <formula>AND(Y$9&gt;=14/24,Y$9&lt;20/24)</formula>
    </cfRule>
    <cfRule type="expression" dxfId="2109" priority="116">
      <formula>AND(Y$9&gt;=8/24,Y$9&lt;14/24)</formula>
    </cfRule>
    <cfRule type="expression" dxfId="2108" priority="117">
      <formula>Y$9&lt;8/24</formula>
    </cfRule>
  </conditionalFormatting>
  <conditionalFormatting sqref="Y18:Y25">
    <cfRule type="expression" dxfId="2107" priority="113">
      <formula>Y18&gt;$AG18</formula>
    </cfRule>
  </conditionalFormatting>
  <conditionalFormatting sqref="Y12:Y16">
    <cfRule type="expression" dxfId="2106" priority="109">
      <formula>Y$9&gt;=20/24</formula>
    </cfRule>
    <cfRule type="expression" dxfId="2105" priority="110">
      <formula>AND(Y$9&gt;=14/24,Y$9&lt;20/24)</formula>
    </cfRule>
    <cfRule type="expression" dxfId="2104" priority="111">
      <formula>AND(Y$9&gt;=8/24,Y$9&lt;14/24)</formula>
    </cfRule>
    <cfRule type="expression" dxfId="2103" priority="112">
      <formula>Y$9&lt;8/24</formula>
    </cfRule>
  </conditionalFormatting>
  <conditionalFormatting sqref="Y17">
    <cfRule type="expression" dxfId="2102" priority="105">
      <formula>Y$9&gt;=20/24</formula>
    </cfRule>
    <cfRule type="expression" dxfId="2101" priority="106">
      <formula>AND(Y$9&gt;=14/24,Y$9&lt;20/24)</formula>
    </cfRule>
    <cfRule type="expression" dxfId="2100" priority="107">
      <formula>AND(Y$9&gt;=8/24,Y$9&lt;14/24)</formula>
    </cfRule>
    <cfRule type="expression" dxfId="2099" priority="108">
      <formula>Y$9&lt;8/24</formula>
    </cfRule>
  </conditionalFormatting>
  <conditionalFormatting sqref="Y12:Y13">
    <cfRule type="expression" dxfId="2098" priority="101">
      <formula>Y$9&gt;=20/24</formula>
    </cfRule>
    <cfRule type="expression" dxfId="2097" priority="102">
      <formula>AND(Y$9&gt;=14/24,Y$9&lt;20/24)</formula>
    </cfRule>
    <cfRule type="expression" dxfId="2096" priority="103">
      <formula>AND(Y$9&gt;=8/24,Y$9&lt;14/24)</formula>
    </cfRule>
    <cfRule type="expression" dxfId="2095" priority="104">
      <formula>Y$9&lt;8/24</formula>
    </cfRule>
  </conditionalFormatting>
  <conditionalFormatting sqref="Y28:Y30">
    <cfRule type="expression" dxfId="2094" priority="97">
      <formula>Y$9&gt;=20/24</formula>
    </cfRule>
    <cfRule type="expression" dxfId="2093" priority="98">
      <formula>AND(Y$9&gt;=14/24,Y$9&lt;20/24)</formula>
    </cfRule>
    <cfRule type="expression" dxfId="2092" priority="99">
      <formula>AND(Y$9&gt;=8/24,Y$9&lt;14/24)</formula>
    </cfRule>
    <cfRule type="expression" dxfId="2091" priority="100">
      <formula>Y$9&lt;8/24</formula>
    </cfRule>
  </conditionalFormatting>
  <conditionalFormatting sqref="Y31:Y32 Y34">
    <cfRule type="expression" dxfId="2090" priority="93">
      <formula>Y$9&gt;=20/24</formula>
    </cfRule>
    <cfRule type="expression" dxfId="2089" priority="94">
      <formula>AND(Y$9&gt;=14/24,Y$9&lt;20/24)</formula>
    </cfRule>
    <cfRule type="expression" dxfId="2088" priority="95">
      <formula>AND(Y$9&gt;=8/24,Y$9&lt;14/24)</formula>
    </cfRule>
    <cfRule type="expression" dxfId="2087" priority="96">
      <formula>Y$9&lt;8/24</formula>
    </cfRule>
  </conditionalFormatting>
  <conditionalFormatting sqref="Y34:Y35 Y28:Y32">
    <cfRule type="expression" dxfId="2086" priority="92">
      <formula>Y28&gt;$AG28</formula>
    </cfRule>
  </conditionalFormatting>
  <conditionalFormatting sqref="Y35">
    <cfRule type="expression" dxfId="2085" priority="88">
      <formula>Y$9&gt;=20/24</formula>
    </cfRule>
    <cfRule type="expression" dxfId="2084" priority="89">
      <formula>AND(Y$9&gt;=14/24,Y$9&lt;20/24)</formula>
    </cfRule>
    <cfRule type="expression" dxfId="2083" priority="90">
      <formula>AND(Y$9&gt;=8/24,Y$9&lt;14/24)</formula>
    </cfRule>
    <cfRule type="expression" dxfId="2082" priority="91">
      <formula>Y$9&lt;8/24</formula>
    </cfRule>
  </conditionalFormatting>
  <conditionalFormatting sqref="Y35">
    <cfRule type="expression" dxfId="2081" priority="84">
      <formula>Y$9&gt;=20/24</formula>
    </cfRule>
    <cfRule type="expression" dxfId="2080" priority="85">
      <formula>AND(Y$9&gt;=14/24,Y$9&lt;20/24)</formula>
    </cfRule>
    <cfRule type="expression" dxfId="2079" priority="86">
      <formula>AND(Y$9&gt;=8/24,Y$9&lt;14/24)</formula>
    </cfRule>
    <cfRule type="expression" dxfId="2078" priority="87">
      <formula>Y$9&lt;8/24</formula>
    </cfRule>
  </conditionalFormatting>
  <conditionalFormatting sqref="Y33">
    <cfRule type="expression" dxfId="2077" priority="80">
      <formula>Y$9&gt;=20/24</formula>
    </cfRule>
    <cfRule type="expression" dxfId="2076" priority="81">
      <formula>AND(Y$9&gt;=14/24,Y$9&lt;20/24)</formula>
    </cfRule>
    <cfRule type="expression" dxfId="2075" priority="82">
      <formula>AND(Y$9&gt;=8/24,Y$9&lt;14/24)</formula>
    </cfRule>
    <cfRule type="expression" dxfId="2074" priority="83">
      <formula>Y$9&lt;8/24</formula>
    </cfRule>
  </conditionalFormatting>
  <conditionalFormatting sqref="Y33">
    <cfRule type="expression" dxfId="2073" priority="79">
      <formula>Y33&gt;$AG33</formula>
    </cfRule>
  </conditionalFormatting>
  <conditionalFormatting sqref="Y39:Y41">
    <cfRule type="expression" dxfId="2072" priority="75">
      <formula>Y$9&gt;=20/24</formula>
    </cfRule>
    <cfRule type="expression" dxfId="2071" priority="76">
      <formula>AND(Y$9&gt;=14/24,Y$9&lt;20/24)</formula>
    </cfRule>
    <cfRule type="expression" dxfId="2070" priority="77">
      <formula>AND(Y$9&gt;=8/24,Y$9&lt;14/24)</formula>
    </cfRule>
    <cfRule type="expression" dxfId="2069" priority="78">
      <formula>Y$9&lt;8/24</formula>
    </cfRule>
  </conditionalFormatting>
  <conditionalFormatting sqref="Y38">
    <cfRule type="expression" dxfId="2068" priority="71">
      <formula>Y$9&gt;=20/24</formula>
    </cfRule>
    <cfRule type="expression" dxfId="2067" priority="72">
      <formula>AND(Y$9&gt;=14/24,Y$9&lt;20/24)</formula>
    </cfRule>
    <cfRule type="expression" dxfId="2066" priority="73">
      <formula>AND(Y$9&gt;=8/24,Y$9&lt;14/24)</formula>
    </cfRule>
    <cfRule type="expression" dxfId="2065" priority="74">
      <formula>Y$9&lt;8/24</formula>
    </cfRule>
  </conditionalFormatting>
  <conditionalFormatting sqref="Y44:Y47 Y42">
    <cfRule type="expression" dxfId="2064" priority="67">
      <formula>Y$9&gt;=20/24</formula>
    </cfRule>
    <cfRule type="expression" dxfId="2063" priority="68">
      <formula>AND(Y$9&gt;=14/24,Y$9&lt;20/24)</formula>
    </cfRule>
    <cfRule type="expression" dxfId="2062" priority="69">
      <formula>AND(Y$9&gt;=8/24,Y$9&lt;14/24)</formula>
    </cfRule>
    <cfRule type="expression" dxfId="2061" priority="70">
      <formula>Y$9&lt;8/24</formula>
    </cfRule>
  </conditionalFormatting>
  <conditionalFormatting sqref="Y48">
    <cfRule type="expression" dxfId="2060" priority="63">
      <formula>Y$9&gt;=20/24</formula>
    </cfRule>
    <cfRule type="expression" dxfId="2059" priority="64">
      <formula>AND(Y$9&gt;=14/24,Y$9&lt;20/24)</formula>
    </cfRule>
    <cfRule type="expression" dxfId="2058" priority="65">
      <formula>AND(Y$9&gt;=8/24,Y$9&lt;14/24)</formula>
    </cfRule>
    <cfRule type="expression" dxfId="2057" priority="66">
      <formula>Y$9&lt;8/24</formula>
    </cfRule>
  </conditionalFormatting>
  <conditionalFormatting sqref="Y49">
    <cfRule type="expression" dxfId="2056" priority="59">
      <formula>Y$9&gt;=20/24</formula>
    </cfRule>
    <cfRule type="expression" dxfId="2055" priority="60">
      <formula>AND(Y$9&gt;=14/24,Y$9&lt;20/24)</formula>
    </cfRule>
    <cfRule type="expression" dxfId="2054" priority="61">
      <formula>AND(Y$9&gt;=8/24,Y$9&lt;14/24)</formula>
    </cfRule>
    <cfRule type="expression" dxfId="2053" priority="62">
      <formula>Y$9&lt;8/24</formula>
    </cfRule>
  </conditionalFormatting>
  <conditionalFormatting sqref="Y44:Y49 Y38:Y42">
    <cfRule type="expression" dxfId="2052" priority="58">
      <formula>Y38&gt;$AG38</formula>
    </cfRule>
  </conditionalFormatting>
  <conditionalFormatting sqref="Y43">
    <cfRule type="expression" dxfId="2051" priority="54">
      <formula>Y$9&gt;=20/24</formula>
    </cfRule>
    <cfRule type="expression" dxfId="2050" priority="55">
      <formula>AND(Y$9&gt;=14/24,Y$9&lt;20/24)</formula>
    </cfRule>
    <cfRule type="expression" dxfId="2049" priority="56">
      <formula>AND(Y$9&gt;=8/24,Y$9&lt;14/24)</formula>
    </cfRule>
    <cfRule type="expression" dxfId="2048" priority="57">
      <formula>Y$9&lt;8/24</formula>
    </cfRule>
  </conditionalFormatting>
  <conditionalFormatting sqref="Y43">
    <cfRule type="expression" dxfId="2047" priority="53">
      <formula>Y43&gt;$AG43</formula>
    </cfRule>
  </conditionalFormatting>
  <conditionalFormatting sqref="Y84:Y90">
    <cfRule type="expression" dxfId="2046" priority="49">
      <formula>Y$9&gt;=20/24</formula>
    </cfRule>
    <cfRule type="expression" dxfId="2045" priority="50">
      <formula>AND(Y$9&gt;=14/24,Y$9&lt;20/24)</formula>
    </cfRule>
    <cfRule type="expression" dxfId="2044" priority="51">
      <formula>AND(Y$9&gt;=8/24,Y$9&lt;14/24)</formula>
    </cfRule>
    <cfRule type="expression" dxfId="2043" priority="52">
      <formula>Y$9&lt;8/24</formula>
    </cfRule>
  </conditionalFormatting>
  <conditionalFormatting sqref="Y83">
    <cfRule type="expression" dxfId="2042" priority="45">
      <formula>Y$9&gt;=20/24</formula>
    </cfRule>
    <cfRule type="expression" dxfId="2041" priority="46">
      <formula>AND(Y$9&gt;=14/24,Y$9&lt;20/24)</formula>
    </cfRule>
    <cfRule type="expression" dxfId="2040" priority="47">
      <formula>AND(Y$9&gt;=8/24,Y$9&lt;14/24)</formula>
    </cfRule>
    <cfRule type="expression" dxfId="2039" priority="48">
      <formula>Y$9&lt;8/24</formula>
    </cfRule>
  </conditionalFormatting>
  <conditionalFormatting sqref="Y93:Y96">
    <cfRule type="expression" dxfId="2038" priority="41">
      <formula>Y$9&gt;=20/24</formula>
    </cfRule>
    <cfRule type="expression" dxfId="2037" priority="42">
      <formula>AND(Y$9&gt;=14/24,Y$9&lt;20/24)</formula>
    </cfRule>
    <cfRule type="expression" dxfId="2036" priority="43">
      <formula>AND(Y$9&gt;=8/24,Y$9&lt;14/24)</formula>
    </cfRule>
    <cfRule type="expression" dxfId="2035" priority="44">
      <formula>Y$9&lt;8/24</formula>
    </cfRule>
  </conditionalFormatting>
  <conditionalFormatting sqref="Y97">
    <cfRule type="expression" dxfId="2034" priority="37">
      <formula>Y$9&gt;=20/24</formula>
    </cfRule>
    <cfRule type="expression" dxfId="2033" priority="38">
      <formula>AND(Y$9&gt;=14/24,Y$9&lt;20/24)</formula>
    </cfRule>
    <cfRule type="expression" dxfId="2032" priority="39">
      <formula>AND(Y$9&gt;=8/24,Y$9&lt;14/24)</formula>
    </cfRule>
    <cfRule type="expression" dxfId="2031" priority="40">
      <formula>Y$9&lt;8/24</formula>
    </cfRule>
  </conditionalFormatting>
  <conditionalFormatting sqref="Y98">
    <cfRule type="expression" dxfId="2030" priority="33">
      <formula>Y$9&gt;=20/24</formula>
    </cfRule>
    <cfRule type="expression" dxfId="2029" priority="34">
      <formula>AND(Y$9&gt;=14/24,Y$9&lt;20/24)</formula>
    </cfRule>
    <cfRule type="expression" dxfId="2028" priority="35">
      <formula>AND(Y$9&gt;=8/24,Y$9&lt;14/24)</formula>
    </cfRule>
    <cfRule type="expression" dxfId="2027" priority="36">
      <formula>Y$9&lt;8/24</formula>
    </cfRule>
  </conditionalFormatting>
  <conditionalFormatting sqref="Z26:AF27">
    <cfRule type="expression" dxfId="2026" priority="29">
      <formula>Z$9&gt;=20/24</formula>
    </cfRule>
    <cfRule type="expression" dxfId="2025" priority="30">
      <formula>AND(Z$9&gt;=14/24,Z$9&lt;20/24)</formula>
    </cfRule>
    <cfRule type="expression" dxfId="2024" priority="31">
      <formula>AND(Z$9&gt;=8/24,Z$9&lt;14/24)</formula>
    </cfRule>
    <cfRule type="expression" dxfId="2023" priority="32">
      <formula>Z$9&lt;8/24</formula>
    </cfRule>
  </conditionalFormatting>
  <conditionalFormatting sqref="Z26:AF27">
    <cfRule type="expression" dxfId="2022" priority="28">
      <formula>Z26&gt;$AG26</formula>
    </cfRule>
  </conditionalFormatting>
  <conditionalFormatting sqref="Z24:AF25">
    <cfRule type="expression" dxfId="2021" priority="24">
      <formula>Z$9&gt;=20/24</formula>
    </cfRule>
    <cfRule type="expression" dxfId="2020" priority="25">
      <formula>AND(Z$9&gt;=14/24,Z$9&lt;20/24)</formula>
    </cfRule>
    <cfRule type="expression" dxfId="2019" priority="26">
      <formula>AND(Z$9&gt;=8/24,Z$9&lt;14/24)</formula>
    </cfRule>
    <cfRule type="expression" dxfId="2018" priority="27">
      <formula>Z$9&lt;8/24</formula>
    </cfRule>
  </conditionalFormatting>
  <conditionalFormatting sqref="Z24:AF25">
    <cfRule type="expression" dxfId="2017" priority="23">
      <formula>Z24&gt;$AG24</formula>
    </cfRule>
  </conditionalFormatting>
  <conditionalFormatting sqref="Z28:AF30">
    <cfRule type="expression" dxfId="2016" priority="19">
      <formula>Z$9&gt;=20/24</formula>
    </cfRule>
    <cfRule type="expression" dxfId="2015" priority="20">
      <formula>AND(Z$9&gt;=14/24,Z$9&lt;20/24)</formula>
    </cfRule>
    <cfRule type="expression" dxfId="2014" priority="21">
      <formula>AND(Z$9&gt;=8/24,Z$9&lt;14/24)</formula>
    </cfRule>
    <cfRule type="expression" dxfId="2013" priority="22">
      <formula>Z$9&lt;8/24</formula>
    </cfRule>
  </conditionalFormatting>
  <conditionalFormatting sqref="Z31:AF32 Z34:AF34">
    <cfRule type="expression" dxfId="2012" priority="15">
      <formula>Z$9&gt;=20/24</formula>
    </cfRule>
    <cfRule type="expression" dxfId="2011" priority="16">
      <formula>AND(Z$9&gt;=14/24,Z$9&lt;20/24)</formula>
    </cfRule>
    <cfRule type="expression" dxfId="2010" priority="17">
      <formula>AND(Z$9&gt;=8/24,Z$9&lt;14/24)</formula>
    </cfRule>
    <cfRule type="expression" dxfId="2009" priority="18">
      <formula>Z$9&lt;8/24</formula>
    </cfRule>
  </conditionalFormatting>
  <conditionalFormatting sqref="Z34:AF35 Z28:AF32">
    <cfRule type="expression" dxfId="2008" priority="14">
      <formula>Z28&gt;$AG28</formula>
    </cfRule>
  </conditionalFormatting>
  <conditionalFormatting sqref="Z35:AF35">
    <cfRule type="expression" dxfId="2007" priority="10">
      <formula>Z$9&gt;=20/24</formula>
    </cfRule>
    <cfRule type="expression" dxfId="2006" priority="11">
      <formula>AND(Z$9&gt;=14/24,Z$9&lt;20/24)</formula>
    </cfRule>
    <cfRule type="expression" dxfId="2005" priority="12">
      <formula>AND(Z$9&gt;=8/24,Z$9&lt;14/24)</formula>
    </cfRule>
    <cfRule type="expression" dxfId="2004" priority="13">
      <formula>Z$9&lt;8/24</formula>
    </cfRule>
  </conditionalFormatting>
  <conditionalFormatting sqref="Z35:AF35">
    <cfRule type="expression" dxfId="2003" priority="6">
      <formula>Z$9&gt;=20/24</formula>
    </cfRule>
    <cfRule type="expression" dxfId="2002" priority="7">
      <formula>AND(Z$9&gt;=14/24,Z$9&lt;20/24)</formula>
    </cfRule>
    <cfRule type="expression" dxfId="2001" priority="8">
      <formula>AND(Z$9&gt;=8/24,Z$9&lt;14/24)</formula>
    </cfRule>
    <cfRule type="expression" dxfId="2000" priority="9">
      <formula>Z$9&lt;8/24</formula>
    </cfRule>
  </conditionalFormatting>
  <conditionalFormatting sqref="Z33:AF33">
    <cfRule type="expression" dxfId="1999" priority="2">
      <formula>Z$9&gt;=20/24</formula>
    </cfRule>
    <cfRule type="expression" dxfId="1998" priority="3">
      <formula>AND(Z$9&gt;=14/24,Z$9&lt;20/24)</formula>
    </cfRule>
    <cfRule type="expression" dxfId="1997" priority="4">
      <formula>AND(Z$9&gt;=8/24,Z$9&lt;14/24)</formula>
    </cfRule>
    <cfRule type="expression" dxfId="1996" priority="5">
      <formula>Z$9&lt;8/24</formula>
    </cfRule>
  </conditionalFormatting>
  <conditionalFormatting sqref="Z33:AF33">
    <cfRule type="expression" dxfId="1995" priority="1">
      <formula>Z33&gt;$AG33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16" sqref="AK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2" width="6.85546875" customWidth="1"/>
    <col min="23" max="23" width="8.28515625" customWidth="1"/>
    <col min="24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2078/07/26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-55</v>
      </c>
      <c r="C5" s="32">
        <f t="shared" ref="C5:AF5" si="0">C67</f>
        <v>-74</v>
      </c>
      <c r="D5" s="32">
        <f t="shared" si="0"/>
        <v>-74.2</v>
      </c>
      <c r="E5" s="32">
        <f t="shared" si="0"/>
        <v>-76.2</v>
      </c>
      <c r="F5" s="32">
        <f t="shared" si="0"/>
        <v>-63</v>
      </c>
      <c r="G5" s="32">
        <f t="shared" si="0"/>
        <v>-52.9</v>
      </c>
      <c r="H5" s="32">
        <f t="shared" si="0"/>
        <v>-56.4</v>
      </c>
      <c r="I5" s="32">
        <f t="shared" si="0"/>
        <v>-42</v>
      </c>
      <c r="J5" s="32">
        <f t="shared" si="0"/>
        <v>-50.8</v>
      </c>
      <c r="K5" s="32">
        <f t="shared" si="0"/>
        <v>-60.6</v>
      </c>
      <c r="L5" s="32">
        <f t="shared" si="0"/>
        <v>-54</v>
      </c>
      <c r="M5" s="32">
        <f t="shared" si="0"/>
        <v>-92</v>
      </c>
      <c r="N5" s="32">
        <f t="shared" si="0"/>
        <v>-85.2</v>
      </c>
      <c r="O5" s="32">
        <f t="shared" si="0"/>
        <v>-71.3</v>
      </c>
      <c r="P5" s="32">
        <f t="shared" si="0"/>
        <v>-70</v>
      </c>
      <c r="Q5" s="32">
        <f t="shared" si="0"/>
        <v>-47</v>
      </c>
      <c r="R5" s="32">
        <f t="shared" si="0"/>
        <v>-51.5</v>
      </c>
      <c r="S5" s="32">
        <f t="shared" si="0"/>
        <v>-51.5</v>
      </c>
      <c r="T5" s="32">
        <f t="shared" si="0"/>
        <v>-58</v>
      </c>
      <c r="U5" s="32">
        <f t="shared" si="0"/>
        <v>-60.7</v>
      </c>
      <c r="V5" s="32">
        <f t="shared" si="0"/>
        <v>-47</v>
      </c>
      <c r="W5" s="32">
        <f t="shared" si="0"/>
        <v>-68</v>
      </c>
      <c r="X5" s="32">
        <f t="shared" si="0"/>
        <v>-86</v>
      </c>
      <c r="Y5" s="32">
        <f t="shared" si="0"/>
        <v>-68.8</v>
      </c>
      <c r="Z5" s="32">
        <f t="shared" si="0"/>
        <v>-45.6</v>
      </c>
      <c r="AA5" s="32">
        <f t="shared" si="0"/>
        <v>-63.6</v>
      </c>
      <c r="AB5" s="32">
        <f t="shared" si="0"/>
        <v>-38</v>
      </c>
      <c r="AC5" s="32">
        <f t="shared" si="0"/>
        <v>-65.8</v>
      </c>
      <c r="AD5" s="32">
        <f t="shared" si="0"/>
        <v>-54</v>
      </c>
      <c r="AE5" s="32">
        <f t="shared" si="0"/>
        <v>-43.7</v>
      </c>
      <c r="AF5" s="32">
        <f t="shared" si="0"/>
        <v>-63.9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1072MW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Load=697</v>
      </c>
      <c r="B7" s="37">
        <f t="shared" ref="B7:AF7" si="1">B74</f>
        <v>718.83999999999992</v>
      </c>
      <c r="C7" s="37">
        <f t="shared" si="1"/>
        <v>699.64</v>
      </c>
      <c r="D7" s="37">
        <f t="shared" si="1"/>
        <v>699.43999999999994</v>
      </c>
      <c r="E7" s="37">
        <f t="shared" si="1"/>
        <v>697.43999999999994</v>
      </c>
      <c r="F7" s="37">
        <f t="shared" si="1"/>
        <v>740.14</v>
      </c>
      <c r="G7" s="37">
        <f t="shared" si="1"/>
        <v>813.93999999999994</v>
      </c>
      <c r="H7" s="37">
        <f t="shared" si="1"/>
        <v>845.93999999999994</v>
      </c>
      <c r="I7" s="37">
        <f t="shared" si="1"/>
        <v>923.14</v>
      </c>
      <c r="J7" s="37">
        <f t="shared" si="1"/>
        <v>1015.6399999999999</v>
      </c>
      <c r="K7" s="37">
        <f t="shared" si="1"/>
        <v>1066.94</v>
      </c>
      <c r="L7" s="37">
        <f>L74</f>
        <v>1071.94</v>
      </c>
      <c r="M7" s="37">
        <f t="shared" si="1"/>
        <v>1008.9399999999999</v>
      </c>
      <c r="N7" s="37">
        <f t="shared" si="1"/>
        <v>975.83999999999992</v>
      </c>
      <c r="O7" s="37">
        <f t="shared" si="1"/>
        <v>944.74</v>
      </c>
      <c r="P7" s="37">
        <f t="shared" si="1"/>
        <v>946.04</v>
      </c>
      <c r="Q7" s="37">
        <f t="shared" si="1"/>
        <v>928.33999999999992</v>
      </c>
      <c r="R7" s="37">
        <f t="shared" si="1"/>
        <v>911.04</v>
      </c>
      <c r="S7" s="37">
        <f t="shared" si="1"/>
        <v>912.33999999999992</v>
      </c>
      <c r="T7" s="37">
        <f t="shared" si="1"/>
        <v>980.54</v>
      </c>
      <c r="U7" s="37">
        <f t="shared" si="1"/>
        <v>1063.94</v>
      </c>
      <c r="V7" s="37">
        <f t="shared" si="1"/>
        <v>1166.74</v>
      </c>
      <c r="W7" s="37">
        <f t="shared" si="1"/>
        <v>1241.3400000000001</v>
      </c>
      <c r="X7" s="37">
        <f t="shared" si="1"/>
        <v>1197.24</v>
      </c>
      <c r="Y7" s="37">
        <f t="shared" si="1"/>
        <v>1142.54</v>
      </c>
      <c r="Z7" s="37">
        <f t="shared" si="1"/>
        <v>1097.54</v>
      </c>
      <c r="AA7" s="37">
        <f t="shared" si="1"/>
        <v>1026.94</v>
      </c>
      <c r="AB7" s="37">
        <f t="shared" si="1"/>
        <v>965.33999999999992</v>
      </c>
      <c r="AC7" s="37">
        <f t="shared" si="1"/>
        <v>915.83999999999992</v>
      </c>
      <c r="AD7" s="37">
        <f t="shared" si="1"/>
        <v>823.13999999999987</v>
      </c>
      <c r="AE7" s="37">
        <f t="shared" si="1"/>
        <v>780.43999999999994</v>
      </c>
      <c r="AF7" s="37">
        <f t="shared" si="1"/>
        <v>784.7399999999999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60</v>
      </c>
      <c r="C11" s="54">
        <v>60</v>
      </c>
      <c r="D11" s="54">
        <v>60</v>
      </c>
      <c r="E11" s="54">
        <v>60</v>
      </c>
      <c r="F11" s="54">
        <v>60</v>
      </c>
      <c r="G11" s="49">
        <v>80</v>
      </c>
      <c r="H11" s="49">
        <v>110</v>
      </c>
      <c r="I11" s="49">
        <v>150</v>
      </c>
      <c r="J11" s="49">
        <v>220</v>
      </c>
      <c r="K11" s="49">
        <v>250</v>
      </c>
      <c r="L11" s="50">
        <v>230</v>
      </c>
      <c r="M11" s="50">
        <v>200</v>
      </c>
      <c r="N11" s="50">
        <v>180</v>
      </c>
      <c r="O11" s="50">
        <v>180</v>
      </c>
      <c r="P11" s="50">
        <v>180</v>
      </c>
      <c r="Q11" s="51">
        <v>160</v>
      </c>
      <c r="R11" s="51">
        <v>160</v>
      </c>
      <c r="S11" s="52">
        <v>135</v>
      </c>
      <c r="T11" s="52">
        <v>135</v>
      </c>
      <c r="U11" s="52">
        <v>155</v>
      </c>
      <c r="V11" s="52">
        <v>245</v>
      </c>
      <c r="W11" s="52">
        <v>245</v>
      </c>
      <c r="X11" s="52">
        <v>255</v>
      </c>
      <c r="Y11" s="52">
        <v>235</v>
      </c>
      <c r="Z11" s="52">
        <v>205</v>
      </c>
      <c r="AA11" s="54">
        <v>150</v>
      </c>
      <c r="AB11" s="54">
        <v>110</v>
      </c>
      <c r="AC11" s="54">
        <v>110</v>
      </c>
      <c r="AD11" s="54">
        <v>90</v>
      </c>
      <c r="AE11" s="49">
        <v>70</v>
      </c>
      <c r="AF11" s="49">
        <v>80</v>
      </c>
      <c r="AG11" s="55">
        <v>456</v>
      </c>
      <c r="AH11" s="56">
        <f>MAX(B11:AF11)</f>
        <v>255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50">
        <v>60</v>
      </c>
      <c r="C12" s="50">
        <v>60</v>
      </c>
      <c r="D12" s="50">
        <v>60</v>
      </c>
      <c r="E12" s="50">
        <v>60</v>
      </c>
      <c r="F12" s="50">
        <v>60</v>
      </c>
      <c r="G12" s="50">
        <v>60</v>
      </c>
      <c r="H12" s="50">
        <v>60</v>
      </c>
      <c r="I12" s="50">
        <v>60</v>
      </c>
      <c r="J12" s="50">
        <v>60</v>
      </c>
      <c r="K12" s="50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52">
        <v>60</v>
      </c>
      <c r="X12" s="49">
        <v>60</v>
      </c>
      <c r="Y12" s="49">
        <v>60</v>
      </c>
      <c r="Z12" s="49">
        <v>60</v>
      </c>
      <c r="AA12" s="49">
        <v>60</v>
      </c>
      <c r="AB12" s="49">
        <v>60</v>
      </c>
      <c r="AC12" s="49">
        <v>60</v>
      </c>
      <c r="AD12" s="49">
        <v>60</v>
      </c>
      <c r="AE12" s="49">
        <v>60</v>
      </c>
      <c r="AF12" s="49">
        <v>60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60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50">
        <v>42</v>
      </c>
      <c r="C13" s="50">
        <v>42</v>
      </c>
      <c r="D13" s="50">
        <v>42</v>
      </c>
      <c r="E13" s="50">
        <v>42</v>
      </c>
      <c r="F13" s="50">
        <v>42</v>
      </c>
      <c r="G13" s="50">
        <v>42</v>
      </c>
      <c r="H13" s="50">
        <v>42</v>
      </c>
      <c r="I13" s="50">
        <v>42</v>
      </c>
      <c r="J13" s="50">
        <v>42</v>
      </c>
      <c r="K13" s="50">
        <v>42</v>
      </c>
      <c r="L13" s="49">
        <v>42</v>
      </c>
      <c r="M13" s="49">
        <v>42</v>
      </c>
      <c r="N13" s="49">
        <v>42</v>
      </c>
      <c r="O13" s="49">
        <v>42</v>
      </c>
      <c r="P13" s="49">
        <v>42</v>
      </c>
      <c r="Q13" s="49">
        <v>42</v>
      </c>
      <c r="R13" s="49">
        <v>42</v>
      </c>
      <c r="S13" s="49">
        <v>42</v>
      </c>
      <c r="T13" s="49">
        <v>42</v>
      </c>
      <c r="U13" s="49">
        <v>42</v>
      </c>
      <c r="V13" s="49">
        <v>42</v>
      </c>
      <c r="W13" s="52">
        <v>42</v>
      </c>
      <c r="X13" s="49">
        <v>42</v>
      </c>
      <c r="Y13" s="49">
        <v>42</v>
      </c>
      <c r="Z13" s="49">
        <v>42</v>
      </c>
      <c r="AA13" s="49">
        <v>42</v>
      </c>
      <c r="AB13" s="49">
        <v>42</v>
      </c>
      <c r="AC13" s="49">
        <v>42</v>
      </c>
      <c r="AD13" s="49">
        <v>42</v>
      </c>
      <c r="AE13" s="49">
        <v>42</v>
      </c>
      <c r="AF13" s="49">
        <v>42</v>
      </c>
      <c r="AG13" s="61">
        <v>52.4</v>
      </c>
      <c r="AH13" s="56">
        <f t="shared" si="2"/>
        <v>42</v>
      </c>
      <c r="AI13" s="57">
        <f t="shared" si="3"/>
        <v>42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50">
        <v>25.5</v>
      </c>
      <c r="C14" s="50">
        <v>25.5</v>
      </c>
      <c r="D14" s="50">
        <v>25.5</v>
      </c>
      <c r="E14" s="50">
        <v>25.5</v>
      </c>
      <c r="F14" s="50">
        <v>25.5</v>
      </c>
      <c r="G14" s="50">
        <v>25.5</v>
      </c>
      <c r="H14" s="50">
        <v>25.5</v>
      </c>
      <c r="I14" s="50">
        <v>25.5</v>
      </c>
      <c r="J14" s="50">
        <v>25.5</v>
      </c>
      <c r="K14" s="50">
        <v>25.5</v>
      </c>
      <c r="L14" s="50">
        <v>25.4</v>
      </c>
      <c r="M14" s="50">
        <v>25.4</v>
      </c>
      <c r="N14" s="50">
        <v>25.4</v>
      </c>
      <c r="O14" s="50">
        <v>25.4</v>
      </c>
      <c r="P14" s="50">
        <v>25.4</v>
      </c>
      <c r="Q14" s="50">
        <v>25.4</v>
      </c>
      <c r="R14" s="50">
        <v>25.4</v>
      </c>
      <c r="S14" s="50">
        <v>25.4</v>
      </c>
      <c r="T14" s="50">
        <v>25.4</v>
      </c>
      <c r="U14" s="50">
        <v>25.4</v>
      </c>
      <c r="V14" s="50">
        <v>25.4</v>
      </c>
      <c r="W14" s="52">
        <v>25.4</v>
      </c>
      <c r="X14" s="50">
        <v>25.4</v>
      </c>
      <c r="Y14" s="50">
        <v>25.4</v>
      </c>
      <c r="Z14" s="50">
        <v>25.4</v>
      </c>
      <c r="AA14" s="50">
        <v>25.4</v>
      </c>
      <c r="AB14" s="50">
        <v>25.4</v>
      </c>
      <c r="AC14" s="50">
        <v>25.4</v>
      </c>
      <c r="AD14" s="50">
        <v>25.4</v>
      </c>
      <c r="AE14" s="50">
        <v>25.4</v>
      </c>
      <c r="AF14" s="50">
        <v>25.4</v>
      </c>
      <c r="AG14" s="61">
        <v>50</v>
      </c>
      <c r="AH14" s="56">
        <f t="shared" si="2"/>
        <v>25.5</v>
      </c>
      <c r="AI14" s="57">
        <f t="shared" si="3"/>
        <v>25.4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50">
        <v>41.5</v>
      </c>
      <c r="C15" s="50">
        <v>41.5</v>
      </c>
      <c r="D15" s="50">
        <v>41.5</v>
      </c>
      <c r="E15" s="50">
        <v>41.5</v>
      </c>
      <c r="F15" s="50">
        <v>41.5</v>
      </c>
      <c r="G15" s="50">
        <v>41.5</v>
      </c>
      <c r="H15" s="50">
        <v>41.5</v>
      </c>
      <c r="I15" s="50">
        <v>41.5</v>
      </c>
      <c r="J15" s="50">
        <v>41.5</v>
      </c>
      <c r="K15" s="50">
        <v>41.5</v>
      </c>
      <c r="L15" s="50">
        <v>40</v>
      </c>
      <c r="M15" s="50">
        <v>40</v>
      </c>
      <c r="N15" s="50">
        <v>40</v>
      </c>
      <c r="O15" s="50">
        <v>40</v>
      </c>
      <c r="P15" s="50">
        <v>40</v>
      </c>
      <c r="Q15" s="50">
        <v>40</v>
      </c>
      <c r="R15" s="50">
        <v>40</v>
      </c>
      <c r="S15" s="50">
        <v>40</v>
      </c>
      <c r="T15" s="50">
        <v>40</v>
      </c>
      <c r="U15" s="50">
        <v>40</v>
      </c>
      <c r="V15" s="50">
        <v>40</v>
      </c>
      <c r="W15" s="52">
        <v>43</v>
      </c>
      <c r="X15" s="50">
        <v>40</v>
      </c>
      <c r="Y15" s="50">
        <v>40</v>
      </c>
      <c r="Z15" s="50">
        <v>40</v>
      </c>
      <c r="AA15" s="50">
        <v>40</v>
      </c>
      <c r="AB15" s="50">
        <v>40</v>
      </c>
      <c r="AC15" s="50">
        <v>40</v>
      </c>
      <c r="AD15" s="50">
        <v>40</v>
      </c>
      <c r="AE15" s="50">
        <v>40</v>
      </c>
      <c r="AF15" s="50">
        <v>40</v>
      </c>
      <c r="AG15" s="64">
        <v>45</v>
      </c>
      <c r="AH15" s="56">
        <f t="shared" si="2"/>
        <v>43</v>
      </c>
      <c r="AI15" s="57">
        <f t="shared" si="3"/>
        <v>40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50">
        <v>23</v>
      </c>
      <c r="C16" s="50">
        <v>23</v>
      </c>
      <c r="D16" s="50">
        <v>23</v>
      </c>
      <c r="E16" s="50">
        <v>23</v>
      </c>
      <c r="F16" s="50">
        <v>23</v>
      </c>
      <c r="G16" s="50">
        <v>23</v>
      </c>
      <c r="H16" s="50">
        <v>23</v>
      </c>
      <c r="I16" s="50">
        <v>23</v>
      </c>
      <c r="J16" s="50">
        <v>23</v>
      </c>
      <c r="K16" s="50">
        <v>23</v>
      </c>
      <c r="L16" s="50">
        <v>23</v>
      </c>
      <c r="M16" s="50">
        <v>23</v>
      </c>
      <c r="N16" s="50">
        <v>23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50">
        <v>23</v>
      </c>
      <c r="W16" s="52">
        <v>26</v>
      </c>
      <c r="X16" s="50">
        <v>23</v>
      </c>
      <c r="Y16" s="50">
        <v>23</v>
      </c>
      <c r="Z16" s="50">
        <v>23</v>
      </c>
      <c r="AA16" s="50">
        <v>23</v>
      </c>
      <c r="AB16" s="50">
        <v>23</v>
      </c>
      <c r="AC16" s="50">
        <v>23</v>
      </c>
      <c r="AD16" s="50">
        <v>23</v>
      </c>
      <c r="AE16" s="50">
        <v>23</v>
      </c>
      <c r="AF16" s="49">
        <v>0</v>
      </c>
      <c r="AG16" s="61">
        <v>45</v>
      </c>
      <c r="AH16" s="56">
        <f t="shared" si="2"/>
        <v>26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50">
        <v>23</v>
      </c>
      <c r="C17" s="50">
        <v>23</v>
      </c>
      <c r="D17" s="50">
        <v>23</v>
      </c>
      <c r="E17" s="50">
        <v>23</v>
      </c>
      <c r="F17" s="50">
        <v>23</v>
      </c>
      <c r="G17" s="50">
        <v>23</v>
      </c>
      <c r="H17" s="50">
        <v>23</v>
      </c>
      <c r="I17" s="50">
        <v>23</v>
      </c>
      <c r="J17" s="50">
        <v>23</v>
      </c>
      <c r="K17" s="50">
        <v>23</v>
      </c>
      <c r="L17" s="50">
        <v>23</v>
      </c>
      <c r="M17" s="50">
        <v>23</v>
      </c>
      <c r="N17" s="50">
        <v>23</v>
      </c>
      <c r="O17" s="50">
        <v>23</v>
      </c>
      <c r="P17" s="50">
        <v>23</v>
      </c>
      <c r="Q17" s="50">
        <v>23</v>
      </c>
      <c r="R17" s="50">
        <v>23</v>
      </c>
      <c r="S17" s="50">
        <v>23</v>
      </c>
      <c r="T17" s="50">
        <v>23</v>
      </c>
      <c r="U17" s="50">
        <v>23</v>
      </c>
      <c r="V17" s="50">
        <v>23</v>
      </c>
      <c r="W17" s="52">
        <v>23</v>
      </c>
      <c r="X17" s="50">
        <v>23</v>
      </c>
      <c r="Y17" s="50">
        <v>23</v>
      </c>
      <c r="Z17" s="50">
        <v>23</v>
      </c>
      <c r="AA17" s="50">
        <v>23</v>
      </c>
      <c r="AB17" s="50">
        <v>23</v>
      </c>
      <c r="AC17" s="50">
        <v>23</v>
      </c>
      <c r="AD17" s="50">
        <v>23</v>
      </c>
      <c r="AE17" s="50">
        <v>23</v>
      </c>
      <c r="AF17" s="50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2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23.4</v>
      </c>
      <c r="C19" s="50">
        <v>23.5</v>
      </c>
      <c r="D19" s="50">
        <v>23.5</v>
      </c>
      <c r="E19" s="50">
        <v>23.5</v>
      </c>
      <c r="F19" s="50">
        <v>23.5</v>
      </c>
      <c r="G19" s="50">
        <v>23.5</v>
      </c>
      <c r="H19" s="50">
        <v>23.5</v>
      </c>
      <c r="I19" s="50">
        <v>23.5</v>
      </c>
      <c r="J19" s="50">
        <v>23.5</v>
      </c>
      <c r="K19" s="50">
        <v>23.5</v>
      </c>
      <c r="L19" s="50">
        <v>23.4</v>
      </c>
      <c r="M19" s="50">
        <v>23.4</v>
      </c>
      <c r="N19" s="50">
        <v>23.4</v>
      </c>
      <c r="O19" s="50">
        <v>23.4</v>
      </c>
      <c r="P19" s="50">
        <v>23.4</v>
      </c>
      <c r="Q19" s="50">
        <v>23.4</v>
      </c>
      <c r="R19" s="50">
        <v>23.4</v>
      </c>
      <c r="S19" s="50">
        <v>23.4</v>
      </c>
      <c r="T19" s="50">
        <v>22.6</v>
      </c>
      <c r="U19" s="50">
        <v>22.6</v>
      </c>
      <c r="V19" s="50">
        <v>22.6</v>
      </c>
      <c r="W19" s="52">
        <v>22.6</v>
      </c>
      <c r="X19" s="50">
        <v>22.6</v>
      </c>
      <c r="Y19" s="50">
        <v>22.6</v>
      </c>
      <c r="Z19" s="50">
        <v>22.6</v>
      </c>
      <c r="AA19" s="50">
        <v>22.6</v>
      </c>
      <c r="AB19" s="50">
        <v>22.6</v>
      </c>
      <c r="AC19" s="50">
        <v>22.6</v>
      </c>
      <c r="AD19" s="50">
        <v>22.6</v>
      </c>
      <c r="AE19" s="50">
        <v>22.6</v>
      </c>
      <c r="AF19" s="50">
        <v>22.6</v>
      </c>
      <c r="AG19" s="61">
        <v>30</v>
      </c>
      <c r="AH19" s="56">
        <f t="shared" si="2"/>
        <v>23.5</v>
      </c>
      <c r="AI19" s="57">
        <f t="shared" si="3"/>
        <v>22.6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2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2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23.3</v>
      </c>
      <c r="C22" s="50">
        <v>23.3</v>
      </c>
      <c r="D22" s="50">
        <v>23.3</v>
      </c>
      <c r="E22" s="50">
        <v>23.3</v>
      </c>
      <c r="F22" s="50">
        <v>23.3</v>
      </c>
      <c r="G22" s="50">
        <v>23.3</v>
      </c>
      <c r="H22" s="50">
        <v>23.3</v>
      </c>
      <c r="I22" s="50">
        <v>23.3</v>
      </c>
      <c r="J22" s="50">
        <v>23.3</v>
      </c>
      <c r="K22" s="50">
        <v>23.3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2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23.3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11.5</v>
      </c>
      <c r="C23" s="50">
        <v>11.5</v>
      </c>
      <c r="D23" s="50">
        <v>11.5</v>
      </c>
      <c r="E23" s="50">
        <v>11.5</v>
      </c>
      <c r="F23" s="50">
        <v>11.5</v>
      </c>
      <c r="G23" s="50">
        <v>11.5</v>
      </c>
      <c r="H23" s="50">
        <v>11.5</v>
      </c>
      <c r="I23" s="50">
        <v>11.5</v>
      </c>
      <c r="J23" s="50">
        <v>11.5</v>
      </c>
      <c r="K23" s="50">
        <v>11.5</v>
      </c>
      <c r="L23" s="50">
        <v>11.5</v>
      </c>
      <c r="M23" s="50">
        <v>11.5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2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61">
        <v>25</v>
      </c>
      <c r="AH23" s="56">
        <f t="shared" si="2"/>
        <v>11.5</v>
      </c>
      <c r="AI23" s="57">
        <f t="shared" si="3"/>
        <v>10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18</v>
      </c>
      <c r="C24" s="50">
        <v>18</v>
      </c>
      <c r="D24" s="50">
        <v>18</v>
      </c>
      <c r="E24" s="50">
        <v>18</v>
      </c>
      <c r="F24" s="50">
        <v>18</v>
      </c>
      <c r="G24" s="50">
        <v>18</v>
      </c>
      <c r="H24" s="50">
        <v>18</v>
      </c>
      <c r="I24" s="50">
        <v>18</v>
      </c>
      <c r="J24" s="50">
        <v>18</v>
      </c>
      <c r="K24" s="50">
        <v>18</v>
      </c>
      <c r="L24" s="50">
        <v>18</v>
      </c>
      <c r="M24" s="50">
        <v>18</v>
      </c>
      <c r="N24" s="50">
        <v>18</v>
      </c>
      <c r="O24" s="50">
        <v>18</v>
      </c>
      <c r="P24" s="50">
        <v>18</v>
      </c>
      <c r="Q24" s="50">
        <v>18</v>
      </c>
      <c r="R24" s="50">
        <v>18</v>
      </c>
      <c r="S24" s="50">
        <v>18</v>
      </c>
      <c r="T24" s="50">
        <v>16</v>
      </c>
      <c r="U24" s="50">
        <v>16</v>
      </c>
      <c r="V24" s="50">
        <v>16</v>
      </c>
      <c r="W24" s="52">
        <v>16</v>
      </c>
      <c r="X24" s="50">
        <v>16</v>
      </c>
      <c r="Y24" s="50">
        <v>16</v>
      </c>
      <c r="Z24" s="50">
        <v>16</v>
      </c>
      <c r="AA24" s="50">
        <v>16</v>
      </c>
      <c r="AB24" s="50">
        <v>16</v>
      </c>
      <c r="AC24" s="50">
        <v>16</v>
      </c>
      <c r="AD24" s="50">
        <v>16</v>
      </c>
      <c r="AE24" s="50">
        <v>16</v>
      </c>
      <c r="AF24" s="50">
        <v>16</v>
      </c>
      <c r="AG24" s="61">
        <v>25</v>
      </c>
      <c r="AH24" s="56">
        <f t="shared" si="2"/>
        <v>18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21.5</v>
      </c>
      <c r="C25" s="50">
        <v>21.5</v>
      </c>
      <c r="D25" s="50">
        <v>21.5</v>
      </c>
      <c r="E25" s="50">
        <v>21.5</v>
      </c>
      <c r="F25" s="50">
        <v>21.5</v>
      </c>
      <c r="G25" s="50">
        <v>21.5</v>
      </c>
      <c r="H25" s="50">
        <v>21.5</v>
      </c>
      <c r="I25" s="50">
        <v>21.5</v>
      </c>
      <c r="J25" s="50">
        <v>21.5</v>
      </c>
      <c r="K25" s="50">
        <v>21.5</v>
      </c>
      <c r="L25" s="50">
        <v>21.5</v>
      </c>
      <c r="M25" s="50">
        <v>21.5</v>
      </c>
      <c r="N25" s="50">
        <v>21.5</v>
      </c>
      <c r="O25" s="50">
        <v>21.5</v>
      </c>
      <c r="P25" s="50">
        <v>21.5</v>
      </c>
      <c r="Q25" s="50">
        <v>21.5</v>
      </c>
      <c r="R25" s="50">
        <v>21.5</v>
      </c>
      <c r="S25" s="50">
        <v>21.5</v>
      </c>
      <c r="T25" s="50">
        <v>21.5</v>
      </c>
      <c r="U25" s="50">
        <v>21.5</v>
      </c>
      <c r="V25" s="50">
        <v>21.5</v>
      </c>
      <c r="W25" s="52">
        <v>21.5</v>
      </c>
      <c r="X25" s="50">
        <v>21.5</v>
      </c>
      <c r="Y25" s="50">
        <v>21.5</v>
      </c>
      <c r="Z25" s="50">
        <v>21.5</v>
      </c>
      <c r="AA25" s="50">
        <v>21.5</v>
      </c>
      <c r="AB25" s="50">
        <v>21.5</v>
      </c>
      <c r="AC25" s="50">
        <v>21.5</v>
      </c>
      <c r="AD25" s="50">
        <v>21.5</v>
      </c>
      <c r="AE25" s="50">
        <v>21.5</v>
      </c>
      <c r="AF25" s="50">
        <v>21.5</v>
      </c>
      <c r="AG25" s="61">
        <v>24.2</v>
      </c>
      <c r="AH25" s="56">
        <f t="shared" si="2"/>
        <v>21.5</v>
      </c>
      <c r="AI25" s="57">
        <f t="shared" si="3"/>
        <v>21.5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2">
        <v>8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49">
        <v>8</v>
      </c>
      <c r="AG26" s="61">
        <v>20</v>
      </c>
      <c r="AH26" s="56">
        <f>MAX(B26:AF26)</f>
        <v>8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2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1">
        <v>23.5</v>
      </c>
      <c r="AH27" s="56">
        <f t="shared" si="2"/>
        <v>10</v>
      </c>
      <c r="AI27" s="57">
        <f t="shared" si="3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2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2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2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2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2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9.9</v>
      </c>
      <c r="C33" s="50">
        <v>9.9</v>
      </c>
      <c r="D33" s="50">
        <v>9.9</v>
      </c>
      <c r="E33" s="50">
        <v>9.9</v>
      </c>
      <c r="F33" s="50">
        <v>9.9</v>
      </c>
      <c r="G33" s="50">
        <v>9.9</v>
      </c>
      <c r="H33" s="50">
        <v>9.9</v>
      </c>
      <c r="I33" s="50">
        <v>9.9</v>
      </c>
      <c r="J33" s="50">
        <v>9.9</v>
      </c>
      <c r="K33" s="50">
        <v>9.9</v>
      </c>
      <c r="L33" s="50">
        <v>9.9</v>
      </c>
      <c r="M33" s="50">
        <v>9.9</v>
      </c>
      <c r="N33" s="50">
        <v>9.9</v>
      </c>
      <c r="O33" s="50">
        <v>9.9</v>
      </c>
      <c r="P33" s="50">
        <v>9.9</v>
      </c>
      <c r="Q33" s="50">
        <v>9.9</v>
      </c>
      <c r="R33" s="50">
        <v>9.9</v>
      </c>
      <c r="S33" s="50">
        <v>9.9</v>
      </c>
      <c r="T33" s="50">
        <v>9.9</v>
      </c>
      <c r="U33" s="50">
        <v>9.9</v>
      </c>
      <c r="V33" s="50">
        <v>9.9</v>
      </c>
      <c r="W33" s="52">
        <v>9.9</v>
      </c>
      <c r="X33" s="50">
        <v>9.9</v>
      </c>
      <c r="Y33" s="50">
        <v>9.9</v>
      </c>
      <c r="Z33" s="50">
        <v>9.9</v>
      </c>
      <c r="AA33" s="50">
        <v>9.9</v>
      </c>
      <c r="AB33" s="50">
        <v>9.9</v>
      </c>
      <c r="AC33" s="50">
        <v>9.9</v>
      </c>
      <c r="AD33" s="50">
        <v>9.9</v>
      </c>
      <c r="AE33" s="50">
        <v>9.9</v>
      </c>
      <c r="AF33" s="50">
        <v>9.9</v>
      </c>
      <c r="AG33" s="69">
        <v>20</v>
      </c>
      <c r="AH33" s="56">
        <f t="shared" si="2"/>
        <v>9.9</v>
      </c>
      <c r="AI33" s="57">
        <f t="shared" si="3"/>
        <v>9.9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2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52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72">
        <f>54.7+65.4</f>
        <v>120.10000000000001</v>
      </c>
      <c r="C36" s="72">
        <f>54.8+65.4</f>
        <v>120.2</v>
      </c>
      <c r="D36" s="63">
        <v>111.2</v>
      </c>
      <c r="E36" s="63">
        <v>117.3</v>
      </c>
      <c r="F36" s="63">
        <v>118.8</v>
      </c>
      <c r="G36" s="63">
        <v>118.4</v>
      </c>
      <c r="H36" s="63">
        <v>117.7</v>
      </c>
      <c r="I36" s="63">
        <v>117.4</v>
      </c>
      <c r="J36" s="63">
        <v>115.9</v>
      </c>
      <c r="K36" s="63">
        <v>116</v>
      </c>
      <c r="L36" s="72">
        <v>116</v>
      </c>
      <c r="M36" s="72">
        <f>63.8+52.7</f>
        <v>116.5</v>
      </c>
      <c r="N36" s="72">
        <f>63.8+52.7</f>
        <v>116.5</v>
      </c>
      <c r="O36" s="72">
        <f>61.9+53.1</f>
        <v>115</v>
      </c>
      <c r="P36" s="72">
        <f>61.9+53.1</f>
        <v>115</v>
      </c>
      <c r="Q36" s="72">
        <f>64.1+52.6</f>
        <v>116.69999999999999</v>
      </c>
      <c r="R36" s="72">
        <f>63+52.2</f>
        <v>115.2</v>
      </c>
      <c r="S36" s="72">
        <f>63.7+52.2</f>
        <v>115.9</v>
      </c>
      <c r="T36" s="72">
        <v>115</v>
      </c>
      <c r="U36" s="72">
        <f>51.5+62.7</f>
        <v>114.2</v>
      </c>
      <c r="V36" s="72">
        <f>51.5+62.7</f>
        <v>114.2</v>
      </c>
      <c r="W36" s="72">
        <f>51.5+62.7</f>
        <v>114.2</v>
      </c>
      <c r="X36" s="72">
        <f>51.5+62.7</f>
        <v>114.2</v>
      </c>
      <c r="Y36" s="72">
        <f>51.5+62.7</f>
        <v>114.2</v>
      </c>
      <c r="Z36" s="72">
        <f>50.9+61.7</f>
        <v>112.6</v>
      </c>
      <c r="AA36" s="72">
        <f>50.2+56.1</f>
        <v>106.30000000000001</v>
      </c>
      <c r="AB36" s="72">
        <v>113</v>
      </c>
      <c r="AC36" s="72">
        <v>113.1</v>
      </c>
      <c r="AD36" s="72">
        <v>114.3</v>
      </c>
      <c r="AE36" s="63">
        <v>114.6</v>
      </c>
      <c r="AF36" s="63">
        <v>115.5</v>
      </c>
      <c r="AG36" s="69">
        <v>240</v>
      </c>
      <c r="AH36" s="56">
        <f t="shared" si="2"/>
        <v>120.2</v>
      </c>
      <c r="AI36" s="57">
        <f t="shared" si="3"/>
        <v>106.30000000000001</v>
      </c>
      <c r="AK36" s="58"/>
    </row>
    <row r="37" spans="1:88" ht="15.75" thickBot="1" x14ac:dyDescent="0.3">
      <c r="A37" s="73" t="s">
        <v>44</v>
      </c>
      <c r="B37" s="74">
        <f>SUM(B11:B35)</f>
        <v>670.8</v>
      </c>
      <c r="C37" s="74">
        <f t="shared" ref="C37:AF37" si="4">SUM(C11:C35)</f>
        <v>670.9</v>
      </c>
      <c r="D37" s="74">
        <f t="shared" si="4"/>
        <v>670.9</v>
      </c>
      <c r="E37" s="74">
        <f t="shared" si="4"/>
        <v>670.9</v>
      </c>
      <c r="F37" s="74">
        <f t="shared" si="4"/>
        <v>670.9</v>
      </c>
      <c r="G37" s="74">
        <f t="shared" si="4"/>
        <v>690.9</v>
      </c>
      <c r="H37" s="74">
        <f t="shared" si="4"/>
        <v>720.9</v>
      </c>
      <c r="I37" s="74">
        <f t="shared" si="4"/>
        <v>760.9</v>
      </c>
      <c r="J37" s="74">
        <f t="shared" si="4"/>
        <v>830.9</v>
      </c>
      <c r="K37" s="74">
        <f t="shared" si="4"/>
        <v>860.9</v>
      </c>
      <c r="L37" s="74">
        <f t="shared" si="4"/>
        <v>837.9</v>
      </c>
      <c r="M37" s="74">
        <f t="shared" si="4"/>
        <v>807.9</v>
      </c>
      <c r="N37" s="74">
        <f t="shared" si="4"/>
        <v>786.4</v>
      </c>
      <c r="O37" s="74">
        <f t="shared" si="4"/>
        <v>786.4</v>
      </c>
      <c r="P37" s="74">
        <f t="shared" si="4"/>
        <v>786.4</v>
      </c>
      <c r="Q37" s="74">
        <f t="shared" si="4"/>
        <v>766.4</v>
      </c>
      <c r="R37" s="74">
        <f t="shared" si="4"/>
        <v>766.4</v>
      </c>
      <c r="S37" s="74">
        <f t="shared" si="4"/>
        <v>741.4</v>
      </c>
      <c r="T37" s="74">
        <f t="shared" si="4"/>
        <v>738.6</v>
      </c>
      <c r="U37" s="74">
        <f t="shared" si="4"/>
        <v>758.6</v>
      </c>
      <c r="V37" s="74">
        <f t="shared" si="4"/>
        <v>848.6</v>
      </c>
      <c r="W37" s="74">
        <f>SUM(W11:W35)</f>
        <v>858.6</v>
      </c>
      <c r="X37" s="74">
        <f>SUM(X11:X35)</f>
        <v>858.6</v>
      </c>
      <c r="Y37" s="74">
        <f t="shared" si="4"/>
        <v>838.6</v>
      </c>
      <c r="Z37" s="74">
        <f t="shared" si="4"/>
        <v>808.6</v>
      </c>
      <c r="AA37" s="74">
        <f t="shared" si="4"/>
        <v>753.6</v>
      </c>
      <c r="AB37" s="74">
        <f t="shared" si="4"/>
        <v>713.59999999999991</v>
      </c>
      <c r="AC37" s="74">
        <f t="shared" si="4"/>
        <v>713.59999999999991</v>
      </c>
      <c r="AD37" s="74">
        <f t="shared" si="4"/>
        <v>693.59999999999991</v>
      </c>
      <c r="AE37" s="74">
        <f t="shared" si="4"/>
        <v>673.59999999999991</v>
      </c>
      <c r="AF37" s="74">
        <f t="shared" si="4"/>
        <v>664.59999999999991</v>
      </c>
      <c r="AG37" s="69">
        <f>SUM(AG11:AG36)</f>
        <v>1481.8299999999997</v>
      </c>
      <c r="AH37" s="56">
        <f t="shared" si="2"/>
        <v>860.9</v>
      </c>
      <c r="AI37" s="57">
        <f t="shared" si="3"/>
        <v>664.59999999999991</v>
      </c>
      <c r="AK37" s="58"/>
    </row>
    <row r="38" spans="1:88" x14ac:dyDescent="0.25">
      <c r="A38" s="59" t="s">
        <v>45</v>
      </c>
      <c r="B38" s="49">
        <v>30.7</v>
      </c>
      <c r="C38" s="63">
        <v>30.7</v>
      </c>
      <c r="D38" s="63">
        <v>30.7</v>
      </c>
      <c r="E38" s="63">
        <v>30.7</v>
      </c>
      <c r="F38" s="63">
        <v>47.8</v>
      </c>
      <c r="G38" s="63">
        <v>48.9</v>
      </c>
      <c r="H38" s="63">
        <v>48.5</v>
      </c>
      <c r="I38" s="63">
        <v>71.099999999999994</v>
      </c>
      <c r="J38" s="63">
        <v>91.8</v>
      </c>
      <c r="K38" s="63">
        <v>110.2</v>
      </c>
      <c r="L38" s="50">
        <v>111.6</v>
      </c>
      <c r="M38" s="50">
        <v>111.6</v>
      </c>
      <c r="N38" s="50">
        <v>93.2</v>
      </c>
      <c r="O38" s="50">
        <v>81.5</v>
      </c>
      <c r="P38" s="50">
        <v>81.5</v>
      </c>
      <c r="Q38" s="50">
        <v>81.5</v>
      </c>
      <c r="R38" s="50">
        <v>71</v>
      </c>
      <c r="S38" s="50">
        <v>81.3</v>
      </c>
      <c r="T38" s="50">
        <v>111</v>
      </c>
      <c r="U38" s="50">
        <v>142.5</v>
      </c>
      <c r="V38" s="50">
        <v>141.69999999999999</v>
      </c>
      <c r="W38" s="50">
        <v>145.9</v>
      </c>
      <c r="X38" s="50">
        <v>141.6</v>
      </c>
      <c r="Y38" s="50">
        <v>141.69999999999999</v>
      </c>
      <c r="Z38" s="50">
        <v>133.69999999999999</v>
      </c>
      <c r="AA38" s="50">
        <v>131.6</v>
      </c>
      <c r="AB38" s="50">
        <v>112.1</v>
      </c>
      <c r="AC38" s="50">
        <v>101.7</v>
      </c>
      <c r="AD38" s="50">
        <v>60</v>
      </c>
      <c r="AE38" s="49">
        <v>40.6</v>
      </c>
      <c r="AF38" s="49">
        <v>48.6</v>
      </c>
      <c r="AG38" s="64">
        <v>144</v>
      </c>
      <c r="AH38" s="56">
        <f t="shared" si="2"/>
        <v>145.9</v>
      </c>
      <c r="AI38" s="57">
        <f t="shared" si="3"/>
        <v>30.7</v>
      </c>
      <c r="AK38" s="58"/>
    </row>
    <row r="39" spans="1:88" x14ac:dyDescent="0.25">
      <c r="A39" s="68" t="s">
        <v>46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18.7</v>
      </c>
      <c r="H39" s="63">
        <v>24.6</v>
      </c>
      <c r="I39" s="63">
        <v>24.8</v>
      </c>
      <c r="J39" s="63">
        <v>35.4</v>
      </c>
      <c r="K39" s="63">
        <v>36.299999999999997</v>
      </c>
      <c r="L39" s="52">
        <v>45.1</v>
      </c>
      <c r="M39" s="52">
        <v>45.1</v>
      </c>
      <c r="N39" s="52">
        <v>45.1</v>
      </c>
      <c r="O39" s="52">
        <v>29.2</v>
      </c>
      <c r="P39" s="52">
        <v>29.2</v>
      </c>
      <c r="Q39" s="52">
        <v>29.2</v>
      </c>
      <c r="R39" s="52">
        <v>30</v>
      </c>
      <c r="S39" s="52">
        <v>26.5</v>
      </c>
      <c r="T39" s="52">
        <v>45.7</v>
      </c>
      <c r="U39" s="52">
        <v>70</v>
      </c>
      <c r="V39" s="52">
        <v>69.900000000000006</v>
      </c>
      <c r="W39" s="50">
        <v>72.099999999999994</v>
      </c>
      <c r="X39" s="52">
        <v>62.5</v>
      </c>
      <c r="Y39" s="52">
        <v>60.5</v>
      </c>
      <c r="Z39" s="52">
        <v>54.8</v>
      </c>
      <c r="AA39" s="52">
        <v>59.3</v>
      </c>
      <c r="AB39" s="52">
        <v>49.6</v>
      </c>
      <c r="AC39" s="52">
        <v>49.3</v>
      </c>
      <c r="AD39" s="52">
        <v>26.6</v>
      </c>
      <c r="AE39" s="63">
        <v>23.4</v>
      </c>
      <c r="AF39" s="63">
        <v>34.700000000000003</v>
      </c>
      <c r="AG39" s="69">
        <v>70</v>
      </c>
      <c r="AH39" s="56">
        <f t="shared" si="2"/>
        <v>72.099999999999994</v>
      </c>
      <c r="AI39" s="57">
        <f t="shared" si="3"/>
        <v>0</v>
      </c>
      <c r="AK39" s="58"/>
    </row>
    <row r="40" spans="1:88" x14ac:dyDescent="0.25">
      <c r="A40" s="68" t="s">
        <v>47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0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63">
        <v>0</v>
      </c>
      <c r="AF40" s="63">
        <v>0</v>
      </c>
      <c r="AG40" s="69">
        <v>69</v>
      </c>
      <c r="AH40" s="56">
        <f t="shared" si="2"/>
        <v>0</v>
      </c>
      <c r="AI40" s="57">
        <f t="shared" si="3"/>
        <v>0</v>
      </c>
      <c r="AK40" s="58"/>
    </row>
    <row r="41" spans="1:88" x14ac:dyDescent="0.25">
      <c r="A41" s="68" t="s">
        <v>48</v>
      </c>
      <c r="B41" s="63">
        <v>9.6</v>
      </c>
      <c r="C41" s="63">
        <v>9.3000000000000007</v>
      </c>
      <c r="D41" s="63">
        <v>9.3000000000000007</v>
      </c>
      <c r="E41" s="63">
        <v>9.3000000000000007</v>
      </c>
      <c r="F41" s="63">
        <v>21.7</v>
      </c>
      <c r="G41" s="63">
        <v>30.7</v>
      </c>
      <c r="H41" s="63">
        <v>30.7</v>
      </c>
      <c r="I41" s="63">
        <v>30.7</v>
      </c>
      <c r="J41" s="63">
        <v>30.7</v>
      </c>
      <c r="K41" s="63">
        <v>30.7</v>
      </c>
      <c r="L41" s="52">
        <v>42.1</v>
      </c>
      <c r="M41" s="52">
        <v>42.1</v>
      </c>
      <c r="N41" s="52">
        <v>42.1</v>
      </c>
      <c r="O41" s="52">
        <v>29.7</v>
      </c>
      <c r="P41" s="52">
        <v>29.7</v>
      </c>
      <c r="Q41" s="52">
        <v>9</v>
      </c>
      <c r="R41" s="52">
        <v>9.6</v>
      </c>
      <c r="S41" s="52">
        <v>28.3</v>
      </c>
      <c r="T41" s="52">
        <v>51</v>
      </c>
      <c r="U41" s="52">
        <v>61.4</v>
      </c>
      <c r="V41" s="52">
        <v>61.4</v>
      </c>
      <c r="W41" s="50">
        <v>61.4</v>
      </c>
      <c r="X41" s="52">
        <v>55.7</v>
      </c>
      <c r="Y41" s="52">
        <v>55.7</v>
      </c>
      <c r="Z41" s="52">
        <v>54.1</v>
      </c>
      <c r="AA41" s="52">
        <v>54.1</v>
      </c>
      <c r="AB41" s="52">
        <v>40.1</v>
      </c>
      <c r="AC41" s="52">
        <v>40.1</v>
      </c>
      <c r="AD41" s="52">
        <v>20</v>
      </c>
      <c r="AE41" s="63">
        <v>9.6</v>
      </c>
      <c r="AF41" s="63">
        <v>30.7</v>
      </c>
      <c r="AG41" s="69">
        <v>60</v>
      </c>
      <c r="AH41" s="56">
        <f t="shared" si="2"/>
        <v>61.4</v>
      </c>
      <c r="AI41" s="57">
        <f t="shared" si="3"/>
        <v>9</v>
      </c>
      <c r="AK41" s="58"/>
    </row>
    <row r="42" spans="1:88" x14ac:dyDescent="0.25">
      <c r="A42" s="68" t="s">
        <v>49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14.9</v>
      </c>
      <c r="H42" s="63">
        <v>14.9</v>
      </c>
      <c r="I42" s="63">
        <v>14.9</v>
      </c>
      <c r="J42" s="63">
        <v>14.9</v>
      </c>
      <c r="K42" s="63">
        <v>26.7</v>
      </c>
      <c r="L42" s="50">
        <v>26.5</v>
      </c>
      <c r="M42" s="50">
        <v>26.5</v>
      </c>
      <c r="N42" s="50">
        <v>26.5</v>
      </c>
      <c r="O42" s="50">
        <v>26.5</v>
      </c>
      <c r="P42" s="50">
        <v>26.5</v>
      </c>
      <c r="Q42" s="50">
        <v>26.5</v>
      </c>
      <c r="R42" s="50">
        <v>22.8</v>
      </c>
      <c r="S42" s="50">
        <v>23.6</v>
      </c>
      <c r="T42" s="50">
        <v>29.5</v>
      </c>
      <c r="U42" s="50">
        <v>29.4</v>
      </c>
      <c r="V42" s="50">
        <v>29.4</v>
      </c>
      <c r="W42" s="50">
        <v>29.3</v>
      </c>
      <c r="X42" s="50">
        <v>29.2</v>
      </c>
      <c r="Y42" s="50">
        <v>29.2</v>
      </c>
      <c r="Z42" s="50">
        <v>29.2</v>
      </c>
      <c r="AA42" s="50">
        <v>29.2</v>
      </c>
      <c r="AB42" s="52">
        <v>25.2</v>
      </c>
      <c r="AC42" s="52">
        <v>14.2</v>
      </c>
      <c r="AD42" s="52">
        <v>14.2</v>
      </c>
      <c r="AE42" s="52">
        <v>14.2</v>
      </c>
      <c r="AF42" s="52">
        <v>14.2</v>
      </c>
      <c r="AG42" s="69">
        <v>30</v>
      </c>
      <c r="AH42" s="56">
        <f t="shared" si="2"/>
        <v>29.5</v>
      </c>
      <c r="AI42" s="57">
        <f t="shared" si="3"/>
        <v>0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63">
        <v>17</v>
      </c>
      <c r="C44" s="75">
        <v>17</v>
      </c>
      <c r="D44" s="75">
        <v>17</v>
      </c>
      <c r="E44" s="75">
        <v>17</v>
      </c>
      <c r="F44" s="75">
        <v>17</v>
      </c>
      <c r="G44" s="75">
        <v>17</v>
      </c>
      <c r="H44" s="75">
        <v>17</v>
      </c>
      <c r="I44" s="75">
        <v>17</v>
      </c>
      <c r="J44" s="75">
        <v>17</v>
      </c>
      <c r="K44" s="75">
        <v>17</v>
      </c>
      <c r="L44" s="50">
        <v>17</v>
      </c>
      <c r="M44" s="50">
        <v>17</v>
      </c>
      <c r="N44" s="50">
        <v>17</v>
      </c>
      <c r="O44" s="50">
        <v>17</v>
      </c>
      <c r="P44" s="50">
        <v>17</v>
      </c>
      <c r="Q44" s="50">
        <v>17</v>
      </c>
      <c r="R44" s="50">
        <v>17</v>
      </c>
      <c r="S44" s="50">
        <v>17</v>
      </c>
      <c r="T44" s="50">
        <v>17</v>
      </c>
      <c r="U44" s="50">
        <v>17</v>
      </c>
      <c r="V44" s="50">
        <v>17</v>
      </c>
      <c r="W44" s="50">
        <v>17.5</v>
      </c>
      <c r="X44" s="50">
        <v>17</v>
      </c>
      <c r="Y44" s="50">
        <v>17</v>
      </c>
      <c r="Z44" s="50">
        <v>17</v>
      </c>
      <c r="AA44" s="50">
        <v>17</v>
      </c>
      <c r="AB44" s="50">
        <v>17</v>
      </c>
      <c r="AC44" s="50">
        <v>17</v>
      </c>
      <c r="AD44" s="50">
        <v>17</v>
      </c>
      <c r="AE44" s="50">
        <v>17</v>
      </c>
      <c r="AF44" s="50">
        <v>17</v>
      </c>
      <c r="AG44" s="69">
        <v>24</v>
      </c>
      <c r="AH44" s="56">
        <f t="shared" si="2"/>
        <v>17.5</v>
      </c>
      <c r="AI44" s="57">
        <f t="shared" si="3"/>
        <v>17</v>
      </c>
      <c r="AK44" s="1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K45" s="1"/>
      <c r="AL45" s="76"/>
      <c r="AO45" s="76"/>
    </row>
    <row r="46" spans="1:88" s="76" customFormat="1" x14ac:dyDescent="0.25">
      <c r="A46" s="68" t="s">
        <v>53</v>
      </c>
      <c r="B46" s="63">
        <v>13</v>
      </c>
      <c r="C46" s="63">
        <v>13</v>
      </c>
      <c r="D46" s="63">
        <v>13</v>
      </c>
      <c r="E46" s="63">
        <v>13</v>
      </c>
      <c r="F46" s="63">
        <v>13</v>
      </c>
      <c r="G46" s="63">
        <v>13</v>
      </c>
      <c r="H46" s="63">
        <v>13</v>
      </c>
      <c r="I46" s="63">
        <v>13</v>
      </c>
      <c r="J46" s="63">
        <v>13</v>
      </c>
      <c r="K46" s="63">
        <v>13</v>
      </c>
      <c r="L46" s="50">
        <v>13</v>
      </c>
      <c r="M46" s="50">
        <v>13</v>
      </c>
      <c r="N46" s="50">
        <v>13</v>
      </c>
      <c r="O46" s="50">
        <v>13</v>
      </c>
      <c r="P46" s="50">
        <v>13</v>
      </c>
      <c r="Q46" s="50">
        <v>13</v>
      </c>
      <c r="R46" s="50">
        <v>13</v>
      </c>
      <c r="S46" s="50">
        <v>13</v>
      </c>
      <c r="T46" s="50">
        <v>13</v>
      </c>
      <c r="U46" s="50">
        <v>13</v>
      </c>
      <c r="V46" s="50">
        <v>13</v>
      </c>
      <c r="W46" s="50">
        <v>13</v>
      </c>
      <c r="X46" s="50">
        <v>13</v>
      </c>
      <c r="Y46" s="50">
        <v>13</v>
      </c>
      <c r="Z46" s="50">
        <v>13</v>
      </c>
      <c r="AA46" s="50">
        <v>13</v>
      </c>
      <c r="AB46" s="50">
        <v>13</v>
      </c>
      <c r="AC46" s="50">
        <v>13</v>
      </c>
      <c r="AD46" s="50">
        <v>13</v>
      </c>
      <c r="AE46" s="50">
        <v>13</v>
      </c>
      <c r="AF46" s="50">
        <v>13</v>
      </c>
      <c r="AG46" s="69">
        <v>14.1</v>
      </c>
      <c r="AH46" s="56">
        <f t="shared" si="2"/>
        <v>13</v>
      </c>
      <c r="AI46" s="57">
        <f t="shared" si="3"/>
        <v>13</v>
      </c>
      <c r="AJ46" s="1"/>
      <c r="AK46" s="1"/>
      <c r="AL46"/>
      <c r="AM46"/>
      <c r="AN46"/>
      <c r="AO46"/>
    </row>
    <row r="47" spans="1:88" x14ac:dyDescent="0.25">
      <c r="A47" s="77" t="s">
        <v>54</v>
      </c>
      <c r="B47" s="63">
        <v>14</v>
      </c>
      <c r="C47" s="75">
        <v>14</v>
      </c>
      <c r="D47" s="75">
        <v>14</v>
      </c>
      <c r="E47" s="75">
        <v>14</v>
      </c>
      <c r="F47" s="75">
        <v>14</v>
      </c>
      <c r="G47" s="75">
        <v>14</v>
      </c>
      <c r="H47" s="75">
        <v>14</v>
      </c>
      <c r="I47" s="75">
        <v>14</v>
      </c>
      <c r="J47" s="75">
        <v>14</v>
      </c>
      <c r="K47" s="75">
        <v>14</v>
      </c>
      <c r="L47" s="50">
        <v>14</v>
      </c>
      <c r="M47" s="50">
        <v>14</v>
      </c>
      <c r="N47" s="50">
        <v>14</v>
      </c>
      <c r="O47" s="50">
        <v>14</v>
      </c>
      <c r="P47" s="50">
        <v>14</v>
      </c>
      <c r="Q47" s="50">
        <v>14</v>
      </c>
      <c r="R47" s="50">
        <v>14</v>
      </c>
      <c r="S47" s="50">
        <v>14</v>
      </c>
      <c r="T47" s="50">
        <v>14</v>
      </c>
      <c r="U47" s="50">
        <v>14</v>
      </c>
      <c r="V47" s="50">
        <v>14</v>
      </c>
      <c r="W47" s="50">
        <v>14</v>
      </c>
      <c r="X47" s="50">
        <v>14</v>
      </c>
      <c r="Y47" s="50">
        <v>14</v>
      </c>
      <c r="Z47" s="50">
        <v>14</v>
      </c>
      <c r="AA47" s="50">
        <v>14</v>
      </c>
      <c r="AB47" s="50">
        <v>14</v>
      </c>
      <c r="AC47" s="50">
        <v>14</v>
      </c>
      <c r="AD47" s="50">
        <v>14</v>
      </c>
      <c r="AE47" s="50">
        <v>14</v>
      </c>
      <c r="AF47" s="50">
        <v>7.1</v>
      </c>
      <c r="AG47" s="69">
        <v>14</v>
      </c>
      <c r="AH47" s="56">
        <f t="shared" si="2"/>
        <v>14</v>
      </c>
      <c r="AI47" s="57">
        <f t="shared" si="3"/>
        <v>7.1</v>
      </c>
      <c r="AK47" s="58"/>
    </row>
    <row r="48" spans="1:88" x14ac:dyDescent="0.25">
      <c r="A48" s="68" t="s">
        <v>55</v>
      </c>
      <c r="B48" s="63">
        <v>9</v>
      </c>
      <c r="C48" s="63">
        <v>9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0">
        <v>9</v>
      </c>
      <c r="M48" s="50">
        <v>9</v>
      </c>
      <c r="N48" s="50">
        <v>9</v>
      </c>
      <c r="O48" s="50">
        <v>9</v>
      </c>
      <c r="P48" s="50">
        <v>9</v>
      </c>
      <c r="Q48" s="50">
        <v>9</v>
      </c>
      <c r="R48" s="50">
        <v>9</v>
      </c>
      <c r="S48" s="50">
        <v>9</v>
      </c>
      <c r="T48" s="50">
        <v>9</v>
      </c>
      <c r="U48" s="50">
        <v>9</v>
      </c>
      <c r="V48" s="50">
        <v>9</v>
      </c>
      <c r="W48" s="50">
        <v>9</v>
      </c>
      <c r="X48" s="50">
        <v>9</v>
      </c>
      <c r="Y48" s="50">
        <v>9</v>
      </c>
      <c r="Z48" s="50">
        <v>9</v>
      </c>
      <c r="AA48" s="50">
        <v>9</v>
      </c>
      <c r="AB48" s="50">
        <v>9</v>
      </c>
      <c r="AC48" s="50">
        <v>9</v>
      </c>
      <c r="AD48" s="50">
        <v>9</v>
      </c>
      <c r="AE48" s="50">
        <v>9</v>
      </c>
      <c r="AF48" s="50">
        <v>9</v>
      </c>
      <c r="AG48" s="69">
        <v>10.050000000000001</v>
      </c>
      <c r="AH48" s="56">
        <f t="shared" si="2"/>
        <v>9</v>
      </c>
      <c r="AI48" s="57">
        <f t="shared" si="3"/>
        <v>9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>SUM(B38:B50)</f>
        <v>103.04</v>
      </c>
      <c r="C51" s="74">
        <f t="shared" ref="C51:AF51" si="6">SUM(C38:C50)</f>
        <v>102.74000000000001</v>
      </c>
      <c r="D51" s="74">
        <f t="shared" si="6"/>
        <v>102.74000000000001</v>
      </c>
      <c r="E51" s="74">
        <f t="shared" si="6"/>
        <v>102.74000000000001</v>
      </c>
      <c r="F51" s="74">
        <f t="shared" si="6"/>
        <v>132.23999999999998</v>
      </c>
      <c r="G51" s="74">
        <f t="shared" si="6"/>
        <v>175.93999999999997</v>
      </c>
      <c r="H51" s="74">
        <f t="shared" si="6"/>
        <v>181.43999999999997</v>
      </c>
      <c r="I51" s="74">
        <f t="shared" si="6"/>
        <v>204.23999999999998</v>
      </c>
      <c r="J51" s="74">
        <f t="shared" si="6"/>
        <v>235.53999999999996</v>
      </c>
      <c r="K51" s="74">
        <f t="shared" si="6"/>
        <v>266.64</v>
      </c>
      <c r="L51" s="74">
        <f t="shared" si="6"/>
        <v>288.03999999999996</v>
      </c>
      <c r="M51" s="74">
        <f t="shared" si="6"/>
        <v>288.03999999999996</v>
      </c>
      <c r="N51" s="74">
        <f t="shared" si="6"/>
        <v>269.64</v>
      </c>
      <c r="O51" s="74">
        <f t="shared" si="6"/>
        <v>229.64</v>
      </c>
      <c r="P51" s="74">
        <f t="shared" si="6"/>
        <v>229.64</v>
      </c>
      <c r="Q51" s="74">
        <f t="shared" si="6"/>
        <v>208.93999999999997</v>
      </c>
      <c r="R51" s="74">
        <f t="shared" si="6"/>
        <v>196.14</v>
      </c>
      <c r="S51" s="74">
        <f t="shared" si="6"/>
        <v>222.43999999999997</v>
      </c>
      <c r="T51" s="74">
        <f t="shared" si="6"/>
        <v>299.94</v>
      </c>
      <c r="U51" s="74">
        <f t="shared" si="6"/>
        <v>366.03999999999996</v>
      </c>
      <c r="V51" s="74">
        <f t="shared" si="6"/>
        <v>365.14</v>
      </c>
      <c r="W51" s="74">
        <f t="shared" si="6"/>
        <v>371.94</v>
      </c>
      <c r="X51" s="74">
        <f t="shared" si="6"/>
        <v>351.74</v>
      </c>
      <c r="Y51" s="74">
        <f t="shared" si="6"/>
        <v>349.84</v>
      </c>
      <c r="Z51" s="74">
        <f t="shared" si="6"/>
        <v>334.54</v>
      </c>
      <c r="AA51" s="74">
        <f t="shared" si="6"/>
        <v>336.94</v>
      </c>
      <c r="AB51" s="74">
        <f t="shared" si="6"/>
        <v>289.74</v>
      </c>
      <c r="AC51" s="74">
        <f t="shared" si="6"/>
        <v>268.03999999999996</v>
      </c>
      <c r="AD51" s="74">
        <f t="shared" si="6"/>
        <v>183.54</v>
      </c>
      <c r="AE51" s="74">
        <f t="shared" si="6"/>
        <v>150.54</v>
      </c>
      <c r="AF51" s="74">
        <f t="shared" si="6"/>
        <v>184.04</v>
      </c>
      <c r="AG51" s="79">
        <f>SUM(AG38:AG50)</f>
        <v>489.91</v>
      </c>
      <c r="AH51" s="56">
        <f t="shared" si="2"/>
        <v>371.94</v>
      </c>
      <c r="AI51" s="57">
        <f t="shared" si="3"/>
        <v>102.74000000000001</v>
      </c>
      <c r="AK51" s="58"/>
    </row>
    <row r="52" spans="1:37" x14ac:dyDescent="0.25">
      <c r="A52" s="59" t="s">
        <v>59</v>
      </c>
      <c r="B52" s="50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48.8</v>
      </c>
      <c r="X52" s="50">
        <v>45.3</v>
      </c>
      <c r="Y52" s="50">
        <v>13.6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48.8</v>
      </c>
      <c r="AI52" s="57">
        <f t="shared" si="3"/>
        <v>0</v>
      </c>
      <c r="AK52" s="58"/>
    </row>
    <row r="53" spans="1:37" x14ac:dyDescent="0.25">
      <c r="A53" s="68" t="s">
        <v>60</v>
      </c>
      <c r="B53" s="52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22</v>
      </c>
      <c r="X53" s="52">
        <v>20.2</v>
      </c>
      <c r="Y53" s="52">
        <v>6.8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22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82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5</v>
      </c>
      <c r="N54" s="81">
        <v>5</v>
      </c>
      <c r="O54" s="81">
        <v>0</v>
      </c>
      <c r="P54" s="81">
        <v>0</v>
      </c>
      <c r="Q54" s="81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8</v>
      </c>
      <c r="X54" s="82">
        <v>7.4</v>
      </c>
      <c r="Y54" s="82">
        <v>2.5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8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5</v>
      </c>
      <c r="N55" s="74">
        <f t="shared" si="7"/>
        <v>5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 t="shared" si="7"/>
        <v>78.8</v>
      </c>
      <c r="X55" s="74">
        <f t="shared" si="7"/>
        <v>72.900000000000006</v>
      </c>
      <c r="Y55" s="74">
        <f t="shared" si="7"/>
        <v>22.9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78.8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-55</v>
      </c>
      <c r="C58" s="52">
        <v>-74</v>
      </c>
      <c r="D58" s="52">
        <v>-74.2</v>
      </c>
      <c r="E58" s="52">
        <v>-76.2</v>
      </c>
      <c r="F58" s="52">
        <v>-63</v>
      </c>
      <c r="G58" s="52">
        <v>-52.9</v>
      </c>
      <c r="H58" s="52">
        <v>-56.4</v>
      </c>
      <c r="I58" s="52">
        <v>-42</v>
      </c>
      <c r="J58" s="52">
        <v>-50.8</v>
      </c>
      <c r="K58" s="52">
        <v>-60.6</v>
      </c>
      <c r="L58" s="52">
        <v>-54</v>
      </c>
      <c r="M58" s="52">
        <v>-92</v>
      </c>
      <c r="N58" s="52">
        <v>-85.2</v>
      </c>
      <c r="O58" s="52">
        <v>-71.3</v>
      </c>
      <c r="P58" s="52">
        <v>-70</v>
      </c>
      <c r="Q58" s="52">
        <v>-47</v>
      </c>
      <c r="R58" s="52">
        <v>-51.5</v>
      </c>
      <c r="S58" s="52">
        <v>-51.5</v>
      </c>
      <c r="T58" s="52">
        <v>-58</v>
      </c>
      <c r="U58" s="52">
        <v>-60.7</v>
      </c>
      <c r="V58" s="52">
        <v>-47</v>
      </c>
      <c r="W58" s="50">
        <v>-68</v>
      </c>
      <c r="X58" s="52">
        <v>-86</v>
      </c>
      <c r="Y58" s="52">
        <v>-68.8</v>
      </c>
      <c r="Z58" s="52">
        <v>-45.6</v>
      </c>
      <c r="AA58" s="52">
        <v>-63.6</v>
      </c>
      <c r="AB58" s="52">
        <v>-38</v>
      </c>
      <c r="AC58" s="52">
        <v>-65.8</v>
      </c>
      <c r="AD58" s="52">
        <v>-54</v>
      </c>
      <c r="AE58" s="52">
        <v>-43.7</v>
      </c>
      <c r="AF58" s="52">
        <v>-63.9</v>
      </c>
      <c r="AG58" s="86"/>
      <c r="AH58" s="56">
        <f t="shared" si="2"/>
        <v>-38</v>
      </c>
      <c r="AI58" s="57">
        <f t="shared" si="3"/>
        <v>-92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0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0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  <c r="Q62" s="50">
        <v>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0</v>
      </c>
      <c r="Y62" s="50">
        <v>0</v>
      </c>
      <c r="Z62" s="50">
        <v>0</v>
      </c>
      <c r="AA62" s="50">
        <v>0</v>
      </c>
      <c r="AB62" s="50">
        <v>0</v>
      </c>
      <c r="AC62" s="50">
        <v>0</v>
      </c>
      <c r="AD62" s="50">
        <v>0</v>
      </c>
      <c r="AE62" s="50">
        <v>0</v>
      </c>
      <c r="AF62" s="50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5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5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0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50">
        <v>0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50">
        <v>0</v>
      </c>
      <c r="Y66" s="50">
        <v>0</v>
      </c>
      <c r="Z66" s="50">
        <v>0</v>
      </c>
      <c r="AA66" s="50">
        <v>0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-55</v>
      </c>
      <c r="C67" s="74">
        <f t="shared" ref="C67:AF67" si="8">SUM(C56:C66)</f>
        <v>-74</v>
      </c>
      <c r="D67" s="74">
        <f t="shared" si="8"/>
        <v>-74.2</v>
      </c>
      <c r="E67" s="74">
        <f t="shared" si="8"/>
        <v>-76.2</v>
      </c>
      <c r="F67" s="74">
        <f t="shared" si="8"/>
        <v>-63</v>
      </c>
      <c r="G67" s="74">
        <f t="shared" si="8"/>
        <v>-52.9</v>
      </c>
      <c r="H67" s="74">
        <f t="shared" si="8"/>
        <v>-56.4</v>
      </c>
      <c r="I67" s="74">
        <f t="shared" si="8"/>
        <v>-42</v>
      </c>
      <c r="J67" s="74">
        <f t="shared" si="8"/>
        <v>-50.8</v>
      </c>
      <c r="K67" s="74">
        <f t="shared" si="8"/>
        <v>-60.6</v>
      </c>
      <c r="L67" s="74">
        <f t="shared" si="8"/>
        <v>-54</v>
      </c>
      <c r="M67" s="74">
        <f t="shared" si="8"/>
        <v>-92</v>
      </c>
      <c r="N67" s="74">
        <f t="shared" si="8"/>
        <v>-85.2</v>
      </c>
      <c r="O67" s="74">
        <f t="shared" si="8"/>
        <v>-71.3</v>
      </c>
      <c r="P67" s="74">
        <f t="shared" si="8"/>
        <v>-70</v>
      </c>
      <c r="Q67" s="74">
        <f t="shared" si="8"/>
        <v>-47</v>
      </c>
      <c r="R67" s="74">
        <f t="shared" si="8"/>
        <v>-51.5</v>
      </c>
      <c r="S67" s="74">
        <f t="shared" si="8"/>
        <v>-51.5</v>
      </c>
      <c r="T67" s="74">
        <f t="shared" si="8"/>
        <v>-58</v>
      </c>
      <c r="U67" s="74">
        <f t="shared" si="8"/>
        <v>-60.7</v>
      </c>
      <c r="V67" s="74">
        <f t="shared" si="8"/>
        <v>-47</v>
      </c>
      <c r="W67" s="74">
        <f t="shared" si="8"/>
        <v>-68</v>
      </c>
      <c r="X67" s="74">
        <f t="shared" si="8"/>
        <v>-86</v>
      </c>
      <c r="Y67" s="74">
        <f t="shared" si="8"/>
        <v>-68.8</v>
      </c>
      <c r="Z67" s="74">
        <f t="shared" si="8"/>
        <v>-45.6</v>
      </c>
      <c r="AA67" s="74">
        <f t="shared" si="8"/>
        <v>-63.6</v>
      </c>
      <c r="AB67" s="74">
        <f t="shared" si="8"/>
        <v>-38</v>
      </c>
      <c r="AC67" s="74">
        <f t="shared" si="8"/>
        <v>-65.8</v>
      </c>
      <c r="AD67" s="74">
        <f t="shared" si="8"/>
        <v>-54</v>
      </c>
      <c r="AE67" s="74">
        <f t="shared" si="8"/>
        <v>-43.7</v>
      </c>
      <c r="AF67" s="74">
        <f t="shared" si="8"/>
        <v>-63.9</v>
      </c>
      <c r="AG67" s="79">
        <f>SUM(AG56:AG66)</f>
        <v>0</v>
      </c>
      <c r="AH67" s="56">
        <f t="shared" si="2"/>
        <v>-38</v>
      </c>
      <c r="AI67" s="57">
        <f t="shared" si="3"/>
        <v>-92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5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65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718.83999999999992</v>
      </c>
      <c r="C72" s="90">
        <f t="shared" ref="C72:AG72" si="10">C67+C55+C51+C37+C71</f>
        <v>699.64</v>
      </c>
      <c r="D72" s="90">
        <f t="shared" si="10"/>
        <v>699.43999999999994</v>
      </c>
      <c r="E72" s="90">
        <f t="shared" si="10"/>
        <v>697.43999999999994</v>
      </c>
      <c r="F72" s="90">
        <f t="shared" si="10"/>
        <v>740.14</v>
      </c>
      <c r="G72" s="90">
        <f t="shared" si="10"/>
        <v>813.93999999999994</v>
      </c>
      <c r="H72" s="90">
        <f t="shared" si="10"/>
        <v>845.93999999999994</v>
      </c>
      <c r="I72" s="90">
        <f t="shared" si="10"/>
        <v>923.14</v>
      </c>
      <c r="J72" s="90">
        <f t="shared" si="10"/>
        <v>1015.6399999999999</v>
      </c>
      <c r="K72" s="90">
        <f t="shared" si="10"/>
        <v>1066.94</v>
      </c>
      <c r="L72" s="90">
        <f t="shared" si="10"/>
        <v>1071.94</v>
      </c>
      <c r="M72" s="90">
        <f t="shared" si="10"/>
        <v>1008.9399999999999</v>
      </c>
      <c r="N72" s="90">
        <f t="shared" si="10"/>
        <v>975.83999999999992</v>
      </c>
      <c r="O72" s="90">
        <f t="shared" si="10"/>
        <v>944.74</v>
      </c>
      <c r="P72" s="90">
        <f t="shared" si="10"/>
        <v>946.04</v>
      </c>
      <c r="Q72" s="90">
        <f t="shared" si="10"/>
        <v>928.33999999999992</v>
      </c>
      <c r="R72" s="90">
        <f t="shared" si="10"/>
        <v>911.04</v>
      </c>
      <c r="S72" s="90">
        <f t="shared" si="10"/>
        <v>912.33999999999992</v>
      </c>
      <c r="T72" s="90">
        <f t="shared" si="10"/>
        <v>980.54</v>
      </c>
      <c r="U72" s="90">
        <f t="shared" si="10"/>
        <v>1063.94</v>
      </c>
      <c r="V72" s="90">
        <f t="shared" si="10"/>
        <v>1166.74</v>
      </c>
      <c r="W72" s="90">
        <f t="shared" si="10"/>
        <v>1241.3400000000001</v>
      </c>
      <c r="X72" s="90">
        <f t="shared" si="10"/>
        <v>1197.24</v>
      </c>
      <c r="Y72" s="90">
        <f t="shared" si="10"/>
        <v>1142.54</v>
      </c>
      <c r="Z72" s="90">
        <f t="shared" si="10"/>
        <v>1097.54</v>
      </c>
      <c r="AA72" s="90">
        <f t="shared" si="10"/>
        <v>1026.94</v>
      </c>
      <c r="AB72" s="90">
        <f t="shared" si="10"/>
        <v>965.33999999999992</v>
      </c>
      <c r="AC72" s="90">
        <f t="shared" si="10"/>
        <v>915.83999999999992</v>
      </c>
      <c r="AD72" s="90">
        <f t="shared" si="10"/>
        <v>823.13999999999987</v>
      </c>
      <c r="AE72" s="90">
        <f t="shared" si="10"/>
        <v>780.43999999999994</v>
      </c>
      <c r="AF72" s="90">
        <f t="shared" si="10"/>
        <v>784.7399999999999</v>
      </c>
      <c r="AG72" s="90">
        <f t="shared" si="10"/>
        <v>2133.14</v>
      </c>
      <c r="AH72" s="56">
        <f t="shared" si="2"/>
        <v>1241.3400000000001</v>
      </c>
      <c r="AI72" s="57">
        <f t="shared" si="3"/>
        <v>697.43999999999994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B71+B67+B55+B51+B37+B73</f>
        <v>718.83999999999992</v>
      </c>
      <c r="C74" s="90">
        <f t="shared" ref="C74:AF74" si="11">C71+C67+C55+C51+C37+C73</f>
        <v>699.64</v>
      </c>
      <c r="D74" s="90">
        <f t="shared" si="11"/>
        <v>699.43999999999994</v>
      </c>
      <c r="E74" s="90">
        <f t="shared" si="11"/>
        <v>697.43999999999994</v>
      </c>
      <c r="F74" s="90">
        <f t="shared" si="11"/>
        <v>740.14</v>
      </c>
      <c r="G74" s="90">
        <f t="shared" si="11"/>
        <v>813.93999999999994</v>
      </c>
      <c r="H74" s="90">
        <f t="shared" si="11"/>
        <v>845.93999999999994</v>
      </c>
      <c r="I74" s="90">
        <f t="shared" si="11"/>
        <v>923.14</v>
      </c>
      <c r="J74" s="90">
        <f t="shared" si="11"/>
        <v>1015.6399999999999</v>
      </c>
      <c r="K74" s="90">
        <f t="shared" si="11"/>
        <v>1066.94</v>
      </c>
      <c r="L74" s="90">
        <f t="shared" si="11"/>
        <v>1071.94</v>
      </c>
      <c r="M74" s="90">
        <f t="shared" si="11"/>
        <v>1008.9399999999999</v>
      </c>
      <c r="N74" s="90">
        <f t="shared" si="11"/>
        <v>975.83999999999992</v>
      </c>
      <c r="O74" s="90">
        <f t="shared" si="11"/>
        <v>944.74</v>
      </c>
      <c r="P74" s="90">
        <f t="shared" si="11"/>
        <v>946.04</v>
      </c>
      <c r="Q74" s="90">
        <f t="shared" si="11"/>
        <v>928.33999999999992</v>
      </c>
      <c r="R74" s="90">
        <f t="shared" si="11"/>
        <v>911.04</v>
      </c>
      <c r="S74" s="90">
        <f t="shared" si="11"/>
        <v>912.33999999999992</v>
      </c>
      <c r="T74" s="90">
        <f t="shared" si="11"/>
        <v>980.54</v>
      </c>
      <c r="U74" s="90">
        <f t="shared" si="11"/>
        <v>1063.94</v>
      </c>
      <c r="V74" s="90">
        <f t="shared" si="11"/>
        <v>1166.74</v>
      </c>
      <c r="W74" s="90">
        <f>SUM(W72+W73)</f>
        <v>1241.3400000000001</v>
      </c>
      <c r="X74" s="90">
        <f t="shared" si="11"/>
        <v>1197.24</v>
      </c>
      <c r="Y74" s="90">
        <f t="shared" si="11"/>
        <v>1142.54</v>
      </c>
      <c r="Z74" s="90">
        <f t="shared" si="11"/>
        <v>1097.54</v>
      </c>
      <c r="AA74" s="90">
        <f t="shared" si="11"/>
        <v>1026.94</v>
      </c>
      <c r="AB74" s="90">
        <f t="shared" si="11"/>
        <v>965.33999999999992</v>
      </c>
      <c r="AC74" s="90">
        <f t="shared" si="11"/>
        <v>915.83999999999992</v>
      </c>
      <c r="AD74" s="90">
        <f t="shared" si="11"/>
        <v>823.13999999999987</v>
      </c>
      <c r="AE74" s="90">
        <f t="shared" si="11"/>
        <v>780.43999999999994</v>
      </c>
      <c r="AF74" s="90">
        <f t="shared" si="11"/>
        <v>784.7399999999999</v>
      </c>
      <c r="AG74" s="79">
        <f>AG71+AG67+AG55+AG51+AG37+AG73</f>
        <v>2133.14</v>
      </c>
      <c r="AH74" s="56">
        <f t="shared" si="2"/>
        <v>1241.3400000000001</v>
      </c>
      <c r="AI74" s="57">
        <f t="shared" si="3"/>
        <v>697.43999999999994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>IF(W59&lt;0,W59*-1,0)</f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>IF(W57&lt;0,W57*-1,0)</f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55</v>
      </c>
      <c r="C78" s="60">
        <f t="shared" ref="C78:AF78" si="15">IF(C58&lt;0,C58*-1,0)</f>
        <v>74</v>
      </c>
      <c r="D78" s="60">
        <f t="shared" si="15"/>
        <v>74.2</v>
      </c>
      <c r="E78" s="60">
        <f t="shared" si="15"/>
        <v>76.2</v>
      </c>
      <c r="F78" s="60">
        <f t="shared" si="15"/>
        <v>63</v>
      </c>
      <c r="G78" s="60">
        <f t="shared" si="15"/>
        <v>52.9</v>
      </c>
      <c r="H78" s="60">
        <f t="shared" si="15"/>
        <v>56.4</v>
      </c>
      <c r="I78" s="60">
        <f t="shared" si="15"/>
        <v>42</v>
      </c>
      <c r="J78" s="60">
        <f t="shared" si="15"/>
        <v>50.8</v>
      </c>
      <c r="K78" s="60">
        <f t="shared" si="15"/>
        <v>60.6</v>
      </c>
      <c r="L78" s="60">
        <f t="shared" si="15"/>
        <v>54</v>
      </c>
      <c r="M78" s="60">
        <f t="shared" si="15"/>
        <v>92</v>
      </c>
      <c r="N78" s="60">
        <f t="shared" si="15"/>
        <v>85.2</v>
      </c>
      <c r="O78" s="60">
        <f t="shared" si="15"/>
        <v>71.3</v>
      </c>
      <c r="P78" s="60">
        <f t="shared" si="15"/>
        <v>70</v>
      </c>
      <c r="Q78" s="60">
        <f t="shared" si="15"/>
        <v>47</v>
      </c>
      <c r="R78" s="60">
        <f t="shared" si="15"/>
        <v>51.5</v>
      </c>
      <c r="S78" s="60">
        <f t="shared" si="15"/>
        <v>51.5</v>
      </c>
      <c r="T78" s="60">
        <f t="shared" si="15"/>
        <v>58</v>
      </c>
      <c r="U78" s="60">
        <f t="shared" si="15"/>
        <v>60.7</v>
      </c>
      <c r="V78" s="60">
        <f t="shared" si="15"/>
        <v>47</v>
      </c>
      <c r="W78" s="60">
        <f>IF(W60&lt;0,W60*-1,0)</f>
        <v>0</v>
      </c>
      <c r="X78" s="60">
        <f t="shared" si="15"/>
        <v>86</v>
      </c>
      <c r="Y78" s="60">
        <f t="shared" si="15"/>
        <v>68.8</v>
      </c>
      <c r="Z78" s="60">
        <f t="shared" si="15"/>
        <v>45.6</v>
      </c>
      <c r="AA78" s="60">
        <f t="shared" si="15"/>
        <v>63.6</v>
      </c>
      <c r="AB78" s="60">
        <f t="shared" si="15"/>
        <v>38</v>
      </c>
      <c r="AC78" s="60">
        <f t="shared" si="15"/>
        <v>65.8</v>
      </c>
      <c r="AD78" s="60">
        <f t="shared" si="15"/>
        <v>54</v>
      </c>
      <c r="AE78" s="60">
        <f t="shared" si="15"/>
        <v>43.7</v>
      </c>
      <c r="AF78" s="60">
        <f t="shared" si="15"/>
        <v>63.9</v>
      </c>
      <c r="AG78" s="93"/>
      <c r="AH78" s="56">
        <f t="shared" ref="AH78:AH90" si="16">MAX(B78:AF78)</f>
        <v>92</v>
      </c>
      <c r="AI78" s="57">
        <f t="shared" ref="AI78:AI90" si="17">MIN(B78:AF78)</f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>IF(W58&lt;0,W58*-1,0)</f>
        <v>68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68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>SUM(B75:B80)</f>
        <v>55</v>
      </c>
      <c r="C81" s="74">
        <f t="shared" ref="C81:AG81" si="19">SUM(C75:C80)</f>
        <v>74</v>
      </c>
      <c r="D81" s="74">
        <f t="shared" si="19"/>
        <v>74.2</v>
      </c>
      <c r="E81" s="74">
        <f t="shared" si="19"/>
        <v>76.2</v>
      </c>
      <c r="F81" s="74">
        <f t="shared" si="19"/>
        <v>63</v>
      </c>
      <c r="G81" s="74">
        <f t="shared" si="19"/>
        <v>52.9</v>
      </c>
      <c r="H81" s="74">
        <f t="shared" si="19"/>
        <v>56.4</v>
      </c>
      <c r="I81" s="74">
        <f t="shared" si="19"/>
        <v>42</v>
      </c>
      <c r="J81" s="74">
        <f t="shared" si="19"/>
        <v>50.8</v>
      </c>
      <c r="K81" s="74">
        <f t="shared" si="19"/>
        <v>60.6</v>
      </c>
      <c r="L81" s="74">
        <f t="shared" si="19"/>
        <v>54</v>
      </c>
      <c r="M81" s="74">
        <f t="shared" si="19"/>
        <v>92</v>
      </c>
      <c r="N81" s="74">
        <f t="shared" si="19"/>
        <v>85.2</v>
      </c>
      <c r="O81" s="74">
        <f t="shared" si="19"/>
        <v>71.3</v>
      </c>
      <c r="P81" s="74">
        <f t="shared" si="19"/>
        <v>70</v>
      </c>
      <c r="Q81" s="74">
        <f t="shared" si="19"/>
        <v>47</v>
      </c>
      <c r="R81" s="74">
        <f t="shared" si="19"/>
        <v>51.5</v>
      </c>
      <c r="S81" s="74">
        <f t="shared" si="19"/>
        <v>51.5</v>
      </c>
      <c r="T81" s="74">
        <f t="shared" si="19"/>
        <v>58</v>
      </c>
      <c r="U81" s="74">
        <f t="shared" si="19"/>
        <v>60.7</v>
      </c>
      <c r="V81" s="74">
        <f t="shared" si="19"/>
        <v>47</v>
      </c>
      <c r="W81" s="74">
        <f>SUM(W76:W80)</f>
        <v>68</v>
      </c>
      <c r="X81" s="74">
        <f t="shared" si="19"/>
        <v>86</v>
      </c>
      <c r="Y81" s="74">
        <f t="shared" si="19"/>
        <v>68.8</v>
      </c>
      <c r="Z81" s="74">
        <f t="shared" si="19"/>
        <v>45.6</v>
      </c>
      <c r="AA81" s="74">
        <f t="shared" si="19"/>
        <v>63.6</v>
      </c>
      <c r="AB81" s="74">
        <f t="shared" si="19"/>
        <v>38</v>
      </c>
      <c r="AC81" s="74">
        <f t="shared" si="19"/>
        <v>65.8</v>
      </c>
      <c r="AD81" s="74">
        <f t="shared" si="19"/>
        <v>54</v>
      </c>
      <c r="AE81" s="74">
        <f t="shared" si="19"/>
        <v>43.7</v>
      </c>
      <c r="AF81" s="74">
        <f t="shared" si="19"/>
        <v>63.9</v>
      </c>
      <c r="AG81" s="79">
        <f t="shared" si="19"/>
        <v>0</v>
      </c>
      <c r="AH81" s="56">
        <f t="shared" si="16"/>
        <v>92</v>
      </c>
      <c r="AI81" s="57">
        <f t="shared" si="17"/>
        <v>38</v>
      </c>
      <c r="AK81" s="58"/>
    </row>
    <row r="82" spans="1:88" s="1" customFormat="1" ht="15.75" thickBot="1" x14ac:dyDescent="0.3">
      <c r="A82" s="73" t="s">
        <v>86</v>
      </c>
      <c r="B82" s="74">
        <f>SUM(B69:B81)</f>
        <v>1547.6799999999998</v>
      </c>
      <c r="C82" s="74">
        <f t="shared" ref="C82:AG82" si="20">SUM(C69:C81)</f>
        <v>1547.28</v>
      </c>
      <c r="D82" s="74">
        <f t="shared" si="20"/>
        <v>1547.28</v>
      </c>
      <c r="E82" s="74">
        <f t="shared" si="20"/>
        <v>1547.28</v>
      </c>
      <c r="F82" s="74">
        <f t="shared" si="20"/>
        <v>1606.28</v>
      </c>
      <c r="G82" s="74">
        <f t="shared" si="20"/>
        <v>1733.68</v>
      </c>
      <c r="H82" s="74">
        <f t="shared" si="20"/>
        <v>1804.68</v>
      </c>
      <c r="I82" s="74">
        <f t="shared" si="20"/>
        <v>1930.28</v>
      </c>
      <c r="J82" s="74">
        <f t="shared" si="20"/>
        <v>2132.88</v>
      </c>
      <c r="K82" s="74">
        <f t="shared" si="20"/>
        <v>2255.08</v>
      </c>
      <c r="L82" s="74">
        <f t="shared" si="20"/>
        <v>2251.88</v>
      </c>
      <c r="M82" s="74">
        <f t="shared" si="20"/>
        <v>2201.88</v>
      </c>
      <c r="N82" s="74">
        <f t="shared" si="20"/>
        <v>2122.08</v>
      </c>
      <c r="O82" s="74">
        <f t="shared" si="20"/>
        <v>2032.08</v>
      </c>
      <c r="P82" s="74">
        <f t="shared" si="20"/>
        <v>2032.08</v>
      </c>
      <c r="Q82" s="74">
        <f t="shared" si="20"/>
        <v>1950.6799999999998</v>
      </c>
      <c r="R82" s="74">
        <f t="shared" si="20"/>
        <v>1925.08</v>
      </c>
      <c r="S82" s="74">
        <f t="shared" si="20"/>
        <v>1927.6799999999998</v>
      </c>
      <c r="T82" s="74">
        <f t="shared" si="20"/>
        <v>2077.08</v>
      </c>
      <c r="U82" s="74">
        <f t="shared" si="20"/>
        <v>2249.2799999999997</v>
      </c>
      <c r="V82" s="74">
        <f t="shared" si="20"/>
        <v>2427.48</v>
      </c>
      <c r="W82" s="74">
        <f>W67-W81</f>
        <v>-136</v>
      </c>
      <c r="X82" s="74">
        <f t="shared" si="20"/>
        <v>2566.48</v>
      </c>
      <c r="Y82" s="74">
        <f t="shared" si="20"/>
        <v>2422.6800000000003</v>
      </c>
      <c r="Z82" s="74">
        <f t="shared" si="20"/>
        <v>2286.2799999999997</v>
      </c>
      <c r="AA82" s="74">
        <f t="shared" si="20"/>
        <v>2181.08</v>
      </c>
      <c r="AB82" s="74">
        <f t="shared" si="20"/>
        <v>2006.6799999999998</v>
      </c>
      <c r="AC82" s="74">
        <f t="shared" si="20"/>
        <v>1963.2799999999997</v>
      </c>
      <c r="AD82" s="74">
        <f t="shared" si="20"/>
        <v>1754.2799999999997</v>
      </c>
      <c r="AE82" s="74">
        <f t="shared" si="20"/>
        <v>1648.28</v>
      </c>
      <c r="AF82" s="74">
        <f t="shared" si="20"/>
        <v>1697.28</v>
      </c>
      <c r="AG82" s="79">
        <f t="shared" si="20"/>
        <v>4338.08</v>
      </c>
      <c r="AH82" s="56">
        <f t="shared" si="16"/>
        <v>2566.48</v>
      </c>
      <c r="AI82" s="57">
        <f t="shared" si="17"/>
        <v>-136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7">
        <v>50</v>
      </c>
      <c r="C83" s="96">
        <v>50.01</v>
      </c>
      <c r="D83" s="96">
        <v>50.06</v>
      </c>
      <c r="E83" s="96">
        <v>50.015999999999998</v>
      </c>
      <c r="F83" s="96">
        <v>49.978000000000002</v>
      </c>
      <c r="G83" s="96">
        <v>50.05</v>
      </c>
      <c r="H83" s="96">
        <v>50.043999999999997</v>
      </c>
      <c r="I83" s="96">
        <v>50.057000000000002</v>
      </c>
      <c r="J83" s="96">
        <v>50.015999999999998</v>
      </c>
      <c r="K83" s="96">
        <v>49.832999999999998</v>
      </c>
      <c r="L83" s="96">
        <v>49.973999999999997</v>
      </c>
      <c r="M83" s="96">
        <v>50.054000000000002</v>
      </c>
      <c r="N83" s="96">
        <v>49.927</v>
      </c>
      <c r="O83" s="96">
        <v>50.029000000000003</v>
      </c>
      <c r="P83" s="96">
        <v>50.029000000000003</v>
      </c>
      <c r="Q83" s="96">
        <v>50.073</v>
      </c>
      <c r="R83" s="96">
        <v>50</v>
      </c>
      <c r="S83" s="96">
        <v>49.98</v>
      </c>
      <c r="T83" s="96">
        <v>50</v>
      </c>
      <c r="U83" s="96">
        <v>49.83</v>
      </c>
      <c r="V83" s="96">
        <v>49.94</v>
      </c>
      <c r="W83" s="136">
        <v>49.75</v>
      </c>
      <c r="X83" s="96">
        <v>49.81</v>
      </c>
      <c r="Y83" s="96">
        <v>50.05</v>
      </c>
      <c r="Z83" s="96">
        <v>50</v>
      </c>
      <c r="AA83" s="96">
        <v>50.037999999999997</v>
      </c>
      <c r="AB83" s="96">
        <v>50.037999999999997</v>
      </c>
      <c r="AC83" s="96">
        <v>50.03</v>
      </c>
      <c r="AD83" s="96">
        <v>50.037999999999997</v>
      </c>
      <c r="AE83" s="96">
        <v>49.999000000000002</v>
      </c>
      <c r="AF83" s="97">
        <v>50.02</v>
      </c>
      <c r="AG83" s="98"/>
      <c r="AH83" s="56">
        <f t="shared" si="16"/>
        <v>50.073</v>
      </c>
      <c r="AI83" s="57">
        <f t="shared" si="17"/>
        <v>49.75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101">
        <v>130.4</v>
      </c>
      <c r="C84" s="52">
        <v>131.19999999999999</v>
      </c>
      <c r="D84" s="52">
        <v>131.30000000000001</v>
      </c>
      <c r="E84" s="52">
        <v>131.4</v>
      </c>
      <c r="F84" s="52">
        <v>130.4</v>
      </c>
      <c r="G84" s="52">
        <v>129.69999999999999</v>
      </c>
      <c r="H84" s="52">
        <v>128.80000000000001</v>
      </c>
      <c r="I84" s="52">
        <v>127.1</v>
      </c>
      <c r="J84" s="52">
        <v>126.2</v>
      </c>
      <c r="K84" s="52">
        <v>123.9</v>
      </c>
      <c r="L84" s="52">
        <v>125.1</v>
      </c>
      <c r="M84" s="52">
        <v>126</v>
      </c>
      <c r="N84" s="52">
        <v>125.5</v>
      </c>
      <c r="O84" s="52">
        <v>126.1</v>
      </c>
      <c r="P84" s="52">
        <v>126.1</v>
      </c>
      <c r="Q84" s="52">
        <v>125.2</v>
      </c>
      <c r="R84" s="52">
        <v>125.4</v>
      </c>
      <c r="S84" s="52">
        <v>125.4</v>
      </c>
      <c r="T84" s="100">
        <v>126</v>
      </c>
      <c r="U84" s="100">
        <v>126.4</v>
      </c>
      <c r="V84" s="100">
        <v>124.4</v>
      </c>
      <c r="W84" s="136">
        <v>127.7</v>
      </c>
      <c r="X84" s="100">
        <v>127</v>
      </c>
      <c r="Y84" s="100">
        <v>126.5</v>
      </c>
      <c r="Z84" s="100">
        <v>126.8</v>
      </c>
      <c r="AA84" s="52">
        <v>127.6</v>
      </c>
      <c r="AB84" s="52">
        <v>127.9</v>
      </c>
      <c r="AC84" s="52">
        <v>128.19999999999999</v>
      </c>
      <c r="AD84" s="52">
        <v>128</v>
      </c>
      <c r="AE84" s="52">
        <v>128.80000000000001</v>
      </c>
      <c r="AF84" s="101">
        <v>129.5</v>
      </c>
      <c r="AG84" s="102"/>
      <c r="AH84" s="56">
        <f t="shared" si="16"/>
        <v>131.4</v>
      </c>
      <c r="AI84" s="57">
        <f t="shared" si="17"/>
        <v>123.9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101">
        <v>132.80000000000001</v>
      </c>
      <c r="C85" s="52">
        <v>133.30000000000001</v>
      </c>
      <c r="D85" s="52">
        <v>133.5</v>
      </c>
      <c r="E85" s="52">
        <v>133.6</v>
      </c>
      <c r="F85" s="52">
        <v>132.80000000000001</v>
      </c>
      <c r="G85" s="52">
        <v>132</v>
      </c>
      <c r="H85" s="52">
        <v>131</v>
      </c>
      <c r="I85" s="52">
        <v>128.6</v>
      </c>
      <c r="J85" s="52">
        <v>127.4</v>
      </c>
      <c r="K85" s="52">
        <v>125.6</v>
      </c>
      <c r="L85" s="52">
        <v>126.9</v>
      </c>
      <c r="M85" s="52">
        <v>127.8</v>
      </c>
      <c r="N85" s="52">
        <v>127.5</v>
      </c>
      <c r="O85" s="52">
        <v>127.9</v>
      </c>
      <c r="P85" s="52">
        <v>127.9</v>
      </c>
      <c r="Q85" s="52">
        <v>127.3</v>
      </c>
      <c r="R85" s="52">
        <v>127.3</v>
      </c>
      <c r="S85" s="52">
        <v>127.3</v>
      </c>
      <c r="T85" s="100">
        <v>128.5</v>
      </c>
      <c r="U85" s="100">
        <v>128.30000000000001</v>
      </c>
      <c r="V85" s="100">
        <v>126.7</v>
      </c>
      <c r="W85" s="136">
        <v>129.5</v>
      </c>
      <c r="X85" s="100">
        <v>128.9</v>
      </c>
      <c r="Y85" s="100">
        <v>128.5</v>
      </c>
      <c r="Z85" s="100">
        <v>128.80000000000001</v>
      </c>
      <c r="AA85" s="52">
        <v>129.80000000000001</v>
      </c>
      <c r="AB85" s="52">
        <v>130.1</v>
      </c>
      <c r="AC85" s="52">
        <v>130.6</v>
      </c>
      <c r="AD85" s="52">
        <v>130.80000000000001</v>
      </c>
      <c r="AE85" s="52">
        <v>131.30000000000001</v>
      </c>
      <c r="AF85" s="101">
        <v>132.1</v>
      </c>
      <c r="AG85" s="102"/>
      <c r="AH85" s="56">
        <f t="shared" si="16"/>
        <v>133.6</v>
      </c>
      <c r="AI85" s="57">
        <f t="shared" si="17"/>
        <v>125.6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101">
        <v>129.30000000000001</v>
      </c>
      <c r="C86" s="52">
        <v>129.5</v>
      </c>
      <c r="D86" s="52">
        <v>129.9</v>
      </c>
      <c r="E86" s="52">
        <v>129.80000000000001</v>
      </c>
      <c r="F86" s="52">
        <v>129</v>
      </c>
      <c r="G86" s="52">
        <v>128.1</v>
      </c>
      <c r="H86" s="52">
        <v>128.9</v>
      </c>
      <c r="I86" s="52">
        <v>128.30000000000001</v>
      </c>
      <c r="J86" s="52">
        <v>127.8</v>
      </c>
      <c r="K86" s="52">
        <v>127.5</v>
      </c>
      <c r="L86" s="52">
        <v>128.4</v>
      </c>
      <c r="M86" s="52">
        <v>129.9</v>
      </c>
      <c r="N86" s="52">
        <v>129.19999999999999</v>
      </c>
      <c r="O86" s="52">
        <v>129.9</v>
      </c>
      <c r="P86" s="52">
        <v>129.9</v>
      </c>
      <c r="Q86" s="52">
        <v>130.19999999999999</v>
      </c>
      <c r="R86" s="52">
        <v>129.1</v>
      </c>
      <c r="S86" s="52">
        <v>129.1</v>
      </c>
      <c r="T86" s="52">
        <v>129</v>
      </c>
      <c r="U86" s="52">
        <v>128.30000000000001</v>
      </c>
      <c r="V86" s="52">
        <v>126.2</v>
      </c>
      <c r="W86" s="136">
        <v>129.1</v>
      </c>
      <c r="X86" s="100">
        <v>129.9</v>
      </c>
      <c r="Y86" s="100">
        <v>129.9</v>
      </c>
      <c r="Z86" s="100">
        <v>130.80000000000001</v>
      </c>
      <c r="AA86" s="52">
        <v>129.9</v>
      </c>
      <c r="AB86" s="52">
        <v>130</v>
      </c>
      <c r="AC86" s="52">
        <v>129.80000000000001</v>
      </c>
      <c r="AD86" s="52">
        <v>128.80000000000001</v>
      </c>
      <c r="AE86" s="52">
        <v>128.19999999999999</v>
      </c>
      <c r="AF86" s="101">
        <v>128.6</v>
      </c>
      <c r="AG86" s="102"/>
      <c r="AH86" s="56">
        <f t="shared" si="16"/>
        <v>130.80000000000001</v>
      </c>
      <c r="AI86" s="57">
        <f t="shared" si="17"/>
        <v>126.2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101">
        <v>132.4</v>
      </c>
      <c r="C87" s="52">
        <v>132.80000000000001</v>
      </c>
      <c r="D87" s="52">
        <v>133.19999999999999</v>
      </c>
      <c r="E87" s="52">
        <v>133.1</v>
      </c>
      <c r="F87" s="52">
        <v>132.6</v>
      </c>
      <c r="G87" s="52">
        <v>131.30000000000001</v>
      </c>
      <c r="H87" s="52">
        <v>131.4</v>
      </c>
      <c r="I87" s="52">
        <v>130.80000000000001</v>
      </c>
      <c r="J87" s="52">
        <v>129.6</v>
      </c>
      <c r="K87" s="52">
        <v>129.19999999999999</v>
      </c>
      <c r="L87" s="52">
        <v>130.69999999999999</v>
      </c>
      <c r="M87" s="52">
        <v>131.9</v>
      </c>
      <c r="N87" s="52">
        <v>131.30000000000001</v>
      </c>
      <c r="O87" s="52">
        <v>131.9</v>
      </c>
      <c r="P87" s="52">
        <v>131.9</v>
      </c>
      <c r="Q87" s="52">
        <v>132.6</v>
      </c>
      <c r="R87" s="52">
        <v>132.30000000000001</v>
      </c>
      <c r="S87" s="52">
        <v>132.30000000000001</v>
      </c>
      <c r="T87" s="52">
        <v>131</v>
      </c>
      <c r="U87" s="52">
        <v>131.19999999999999</v>
      </c>
      <c r="V87" s="52">
        <v>128.4</v>
      </c>
      <c r="W87" s="136">
        <v>131.69999999999999</v>
      </c>
      <c r="X87" s="100">
        <v>132.9</v>
      </c>
      <c r="Y87" s="100">
        <v>133.19999999999999</v>
      </c>
      <c r="Z87" s="100">
        <v>134.19999999999999</v>
      </c>
      <c r="AA87" s="52">
        <v>133.6</v>
      </c>
      <c r="AB87" s="52">
        <v>134</v>
      </c>
      <c r="AC87" s="52">
        <v>134.30000000000001</v>
      </c>
      <c r="AD87" s="52">
        <v>133.80000000000001</v>
      </c>
      <c r="AE87" s="52">
        <v>133.30000000000001</v>
      </c>
      <c r="AF87" s="101">
        <v>133.4</v>
      </c>
      <c r="AG87" s="102"/>
      <c r="AH87" s="56">
        <f t="shared" si="16"/>
        <v>134.30000000000001</v>
      </c>
      <c r="AI87" s="57">
        <f t="shared" si="17"/>
        <v>128.4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5">
        <v>132.1</v>
      </c>
      <c r="C88" s="104">
        <v>134.80000000000001</v>
      </c>
      <c r="D88" s="104">
        <v>134</v>
      </c>
      <c r="E88" s="104">
        <v>134</v>
      </c>
      <c r="F88" s="104">
        <v>134.69999999999999</v>
      </c>
      <c r="G88" s="104">
        <v>133.30000000000001</v>
      </c>
      <c r="H88" s="104">
        <v>130.5</v>
      </c>
      <c r="I88" s="104">
        <v>128.69999999999999</v>
      </c>
      <c r="J88" s="104">
        <v>134.9</v>
      </c>
      <c r="K88" s="104">
        <v>133.5</v>
      </c>
      <c r="L88" s="104">
        <v>132.6</v>
      </c>
      <c r="M88" s="104">
        <v>132.80000000000001</v>
      </c>
      <c r="N88" s="104">
        <v>131.30000000000001</v>
      </c>
      <c r="O88" s="104">
        <v>133.30000000000001</v>
      </c>
      <c r="P88" s="104">
        <v>133.30000000000001</v>
      </c>
      <c r="Q88" s="104">
        <v>133</v>
      </c>
      <c r="R88" s="104">
        <v>129.1</v>
      </c>
      <c r="S88" s="104">
        <v>129.1</v>
      </c>
      <c r="T88" s="104">
        <v>134</v>
      </c>
      <c r="U88" s="104">
        <v>135.69999999999999</v>
      </c>
      <c r="V88" s="104">
        <v>132.30000000000001</v>
      </c>
      <c r="W88" s="136">
        <v>136.9</v>
      </c>
      <c r="X88" s="100">
        <v>132.4</v>
      </c>
      <c r="Y88" s="100">
        <v>133.9</v>
      </c>
      <c r="Z88" s="100">
        <v>133.9</v>
      </c>
      <c r="AA88" s="104">
        <v>134</v>
      </c>
      <c r="AB88" s="104">
        <v>133.9</v>
      </c>
      <c r="AC88" s="104">
        <v>134.5</v>
      </c>
      <c r="AD88" s="104">
        <v>132</v>
      </c>
      <c r="AE88" s="104">
        <v>131.5</v>
      </c>
      <c r="AF88" s="105">
        <v>134.1</v>
      </c>
      <c r="AG88" s="106"/>
      <c r="AH88" s="56">
        <f t="shared" si="16"/>
        <v>136.9</v>
      </c>
      <c r="AI88" s="57">
        <f t="shared" si="17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101">
        <v>133.1</v>
      </c>
      <c r="C89" s="52">
        <v>135.69999999999999</v>
      </c>
      <c r="D89" s="52">
        <v>135.1</v>
      </c>
      <c r="E89" s="52">
        <v>135.1</v>
      </c>
      <c r="F89" s="52">
        <v>134.5</v>
      </c>
      <c r="G89" s="52">
        <v>132.1</v>
      </c>
      <c r="H89" s="52">
        <v>129.1</v>
      </c>
      <c r="I89" s="52">
        <v>127.9</v>
      </c>
      <c r="J89" s="52">
        <v>133.1</v>
      </c>
      <c r="K89" s="52">
        <v>131.5</v>
      </c>
      <c r="L89" s="52">
        <v>130.19999999999999</v>
      </c>
      <c r="M89" s="52">
        <v>129.9</v>
      </c>
      <c r="N89" s="52">
        <v>129.1</v>
      </c>
      <c r="O89" s="52">
        <v>133.4</v>
      </c>
      <c r="P89" s="52">
        <v>133.4</v>
      </c>
      <c r="Q89" s="52">
        <v>134.19999999999999</v>
      </c>
      <c r="R89" s="52">
        <v>126.4</v>
      </c>
      <c r="S89" s="52">
        <v>126.4</v>
      </c>
      <c r="T89" s="52">
        <v>129</v>
      </c>
      <c r="U89" s="52">
        <v>131.69999999999999</v>
      </c>
      <c r="V89" s="52">
        <v>131.69999999999999</v>
      </c>
      <c r="W89" s="136">
        <v>137.9</v>
      </c>
      <c r="X89" s="100">
        <v>132.4</v>
      </c>
      <c r="Y89" s="100">
        <v>135.30000000000001</v>
      </c>
      <c r="Z89" s="100">
        <v>135.30000000000001</v>
      </c>
      <c r="AA89" s="52">
        <v>131.80000000000001</v>
      </c>
      <c r="AB89" s="52">
        <v>132.4</v>
      </c>
      <c r="AC89" s="52">
        <v>133.80000000000001</v>
      </c>
      <c r="AD89" s="52">
        <v>133.19999999999999</v>
      </c>
      <c r="AE89" s="52">
        <v>133.1</v>
      </c>
      <c r="AF89" s="101">
        <v>135.5</v>
      </c>
      <c r="AG89" s="102"/>
      <c r="AH89" s="56">
        <f t="shared" si="16"/>
        <v>137.9</v>
      </c>
      <c r="AI89" s="57">
        <f t="shared" si="17"/>
        <v>126.4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8">
        <v>67</v>
      </c>
      <c r="C90" s="107">
        <v>67.5</v>
      </c>
      <c r="D90" s="107">
        <v>67.900000000000006</v>
      </c>
      <c r="E90" s="107">
        <v>67.900000000000006</v>
      </c>
      <c r="F90" s="107">
        <v>67.5</v>
      </c>
      <c r="G90" s="107">
        <v>67.099999999999994</v>
      </c>
      <c r="H90" s="107">
        <v>66.599999999999994</v>
      </c>
      <c r="I90" s="107">
        <v>65.5</v>
      </c>
      <c r="J90" s="107">
        <v>65.099999999999994</v>
      </c>
      <c r="K90" s="107">
        <v>64.099999999999994</v>
      </c>
      <c r="L90" s="107">
        <v>64.7</v>
      </c>
      <c r="M90" s="107">
        <v>65.2</v>
      </c>
      <c r="N90" s="107">
        <v>64.900000000000006</v>
      </c>
      <c r="O90" s="107">
        <v>65</v>
      </c>
      <c r="P90" s="107">
        <v>65</v>
      </c>
      <c r="Q90" s="107">
        <v>64.8</v>
      </c>
      <c r="R90" s="107">
        <v>64.8</v>
      </c>
      <c r="S90" s="107">
        <v>64.8</v>
      </c>
      <c r="T90" s="107">
        <v>65</v>
      </c>
      <c r="U90" s="107">
        <v>65.3</v>
      </c>
      <c r="V90" s="107">
        <v>64.8</v>
      </c>
      <c r="W90" s="55">
        <v>66.3</v>
      </c>
      <c r="X90" s="107">
        <v>65.8</v>
      </c>
      <c r="Y90" s="107">
        <v>65.599999999999994</v>
      </c>
      <c r="Z90" s="107">
        <v>65.599999999999994</v>
      </c>
      <c r="AA90" s="107">
        <v>66</v>
      </c>
      <c r="AB90" s="107">
        <v>66.2</v>
      </c>
      <c r="AC90" s="107">
        <v>66.5</v>
      </c>
      <c r="AD90" s="107">
        <v>66.900000000000006</v>
      </c>
      <c r="AE90" s="107">
        <v>67.2</v>
      </c>
      <c r="AF90" s="108">
        <v>67.7</v>
      </c>
      <c r="AG90" s="109"/>
      <c r="AH90" s="56">
        <f t="shared" si="16"/>
        <v>67.900000000000006</v>
      </c>
      <c r="AI90" s="57">
        <f t="shared" si="17"/>
        <v>64.099999999999994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5">
        <f>SUM(B15,B18,B21:B22,B41,B43:B44,B46,B48,B93:B96,B101,B107,B113,B122,B124,B136,B143,B146:B147,B154,B156,B158,B162:B164,B166:B168,B173,B179:B180,B182:B184,B192,B197)</f>
        <v>128.33999999999995</v>
      </c>
      <c r="C92" s="114">
        <f t="shared" ref="C92:AF92" si="21">SUM(C15,C18,C21:C22,C41,C43:C44,C46,C48,C93:C96,C101,C107,C113,C122,C124,C136,C143,C146:C147,C154,C156,C158,C162:C164,C166:C168,C173,C179:C180,C182:C184,C192,C197)</f>
        <v>127.14</v>
      </c>
      <c r="D92" s="114">
        <f t="shared" si="21"/>
        <v>124.24</v>
      </c>
      <c r="E92" s="114">
        <f t="shared" si="21"/>
        <v>129.63999999999996</v>
      </c>
      <c r="F92" s="115">
        <f t="shared" si="21"/>
        <v>147.93999999999997</v>
      </c>
      <c r="G92" s="115">
        <f t="shared" si="21"/>
        <v>172.14</v>
      </c>
      <c r="H92" s="115">
        <f t="shared" si="21"/>
        <v>197.93999999999994</v>
      </c>
      <c r="I92" s="115">
        <f t="shared" si="21"/>
        <v>264.74</v>
      </c>
      <c r="J92" s="115">
        <f t="shared" si="21"/>
        <v>281.34000000000003</v>
      </c>
      <c r="K92" s="115">
        <f t="shared" si="21"/>
        <v>295.54000000000002</v>
      </c>
      <c r="L92" s="115">
        <f t="shared" si="21"/>
        <v>288.54000000000002</v>
      </c>
      <c r="M92" s="115">
        <f t="shared" si="21"/>
        <v>269.53999999999996</v>
      </c>
      <c r="N92" s="115">
        <f t="shared" si="21"/>
        <v>270.34000000000003</v>
      </c>
      <c r="O92" s="115">
        <f t="shared" si="21"/>
        <v>261.64000000000004</v>
      </c>
      <c r="P92" s="115">
        <f t="shared" si="21"/>
        <v>261.64000000000004</v>
      </c>
      <c r="Q92" s="115">
        <f t="shared" si="21"/>
        <v>244.73999999999998</v>
      </c>
      <c r="R92" s="115">
        <f t="shared" si="21"/>
        <v>240.13999999999993</v>
      </c>
      <c r="S92" s="115">
        <f t="shared" si="21"/>
        <v>260.84000000000003</v>
      </c>
      <c r="T92" s="115">
        <f t="shared" si="21"/>
        <v>251.04</v>
      </c>
      <c r="U92" s="115">
        <f t="shared" si="21"/>
        <v>286.83999999999997</v>
      </c>
      <c r="V92" s="115">
        <f t="shared" si="21"/>
        <v>327.24</v>
      </c>
      <c r="W92" s="115">
        <f>SUM(W15,W18,W21:W22,W41,W43:W44,W46,W48,W93:W96,W101,W107,W113,W122,W124,W136,W143,W146:W147,W154,W156,W158,W162:W164,W166:W168,W173,W179:W180,W182:W184,W192,W197)</f>
        <v>350.64</v>
      </c>
      <c r="X92" s="115">
        <f>SUM(X15,X18,X21:X22,X41,X43:X44,X46,X48,X93:X96,X101,X107,X113,X122,X124,X136,X143,X146:X147,X154,X156,X158,X162:X164,X166:X168,X173,X179:X180,X182:X184,X192,X197)</f>
        <v>339.04</v>
      </c>
      <c r="Y92" s="115">
        <f t="shared" si="21"/>
        <v>321.44000000000005</v>
      </c>
      <c r="Z92" s="115">
        <f t="shared" si="21"/>
        <v>337.44</v>
      </c>
      <c r="AA92" s="115">
        <f t="shared" si="21"/>
        <v>287.64</v>
      </c>
      <c r="AB92" s="115">
        <f t="shared" si="21"/>
        <v>256.73999999999995</v>
      </c>
      <c r="AC92" s="115">
        <f t="shared" si="21"/>
        <v>239.63999999999996</v>
      </c>
      <c r="AD92" s="115">
        <f t="shared" si="21"/>
        <v>186.73999999999998</v>
      </c>
      <c r="AE92" s="115">
        <f t="shared" si="21"/>
        <v>150.83999999999997</v>
      </c>
      <c r="AF92" s="115">
        <f t="shared" si="21"/>
        <v>139.83999999999997</v>
      </c>
      <c r="AG92" s="116"/>
      <c r="AH92" s="56">
        <f>MAX(B92:AF92)</f>
        <v>350.64</v>
      </c>
      <c r="AI92" s="57">
        <f>MIN(B92:AF92)</f>
        <v>124.24</v>
      </c>
    </row>
    <row r="93" spans="1:88" x14ac:dyDescent="0.25">
      <c r="A93" s="117" t="s">
        <v>96</v>
      </c>
      <c r="B93" s="119">
        <v>-19.899999999999999</v>
      </c>
      <c r="C93" s="60">
        <v>-11.1</v>
      </c>
      <c r="D93" s="60">
        <v>-13.1</v>
      </c>
      <c r="E93" s="60">
        <v>-14</v>
      </c>
      <c r="F93" s="118">
        <v>-10.4</v>
      </c>
      <c r="G93" s="118">
        <v>-6.6</v>
      </c>
      <c r="H93" s="118">
        <v>-12.8</v>
      </c>
      <c r="I93" s="118">
        <v>-7.6</v>
      </c>
      <c r="J93" s="118">
        <v>-6</v>
      </c>
      <c r="K93" s="118">
        <v>2.2000000000000002</v>
      </c>
      <c r="L93" s="54">
        <v>4.5</v>
      </c>
      <c r="M93" s="118">
        <v>15</v>
      </c>
      <c r="N93" s="118">
        <v>11.7</v>
      </c>
      <c r="O93" s="118">
        <v>8.5</v>
      </c>
      <c r="P93" s="118">
        <v>8.5</v>
      </c>
      <c r="Q93" s="118">
        <v>11.9</v>
      </c>
      <c r="R93" s="118">
        <v>4.5999999999999996</v>
      </c>
      <c r="S93" s="118">
        <v>5.6</v>
      </c>
      <c r="T93" s="54">
        <v>21.4</v>
      </c>
      <c r="U93" s="54">
        <v>33.299999999999997</v>
      </c>
      <c r="V93" s="54">
        <v>17.899999999999999</v>
      </c>
      <c r="W93" s="118">
        <v>6.4</v>
      </c>
      <c r="X93" s="118">
        <v>10.5</v>
      </c>
      <c r="Y93" s="118">
        <v>22.3</v>
      </c>
      <c r="Z93" s="118">
        <v>10.5</v>
      </c>
      <c r="AA93" s="54">
        <v>35.5</v>
      </c>
      <c r="AB93" s="54">
        <v>32.9</v>
      </c>
      <c r="AC93" s="54">
        <v>31</v>
      </c>
      <c r="AD93" s="54">
        <v>17.2</v>
      </c>
      <c r="AE93" s="54">
        <v>11.2</v>
      </c>
      <c r="AF93" s="119">
        <v>-3.9</v>
      </c>
      <c r="AG93" s="120">
        <v>75</v>
      </c>
      <c r="AH93" s="56">
        <f t="shared" ref="AH93:AH98" si="22">IF(ABS(MAX(B93:AF93))&gt;ABS(MIN(B93:AF93)),MAX(B93:AF93),MIN(B93:AF93))</f>
        <v>35.5</v>
      </c>
      <c r="AI93" s="121">
        <f t="shared" ref="AI93:AI98" si="23">INDEX($B$9:$AF$9,1,MATCH(AH93,B93:AF93,0))</f>
        <v>0.83333333333333337</v>
      </c>
    </row>
    <row r="94" spans="1:88" x14ac:dyDescent="0.25">
      <c r="A94" s="122" t="s">
        <v>97</v>
      </c>
      <c r="B94" s="123">
        <f>-23.6-27.9</f>
        <v>-51.5</v>
      </c>
      <c r="C94" s="62">
        <f>-24.3-29.3</f>
        <v>-53.6</v>
      </c>
      <c r="D94" s="62">
        <v>-52.6</v>
      </c>
      <c r="E94" s="62">
        <v>-50.2</v>
      </c>
      <c r="F94" s="62">
        <v>-51.8</v>
      </c>
      <c r="G94" s="62">
        <v>-46.5</v>
      </c>
      <c r="H94" s="62">
        <v>-37.200000000000003</v>
      </c>
      <c r="I94" s="62">
        <v>-12.6</v>
      </c>
      <c r="J94" s="62">
        <v>-9.1999999999999993</v>
      </c>
      <c r="K94" s="62">
        <v>-6.5</v>
      </c>
      <c r="L94" s="62">
        <v>-16</v>
      </c>
      <c r="M94" s="62">
        <v>-25</v>
      </c>
      <c r="N94" s="62">
        <v>-20</v>
      </c>
      <c r="O94" s="62">
        <v>-19</v>
      </c>
      <c r="P94" s="62">
        <v>-19</v>
      </c>
      <c r="Q94" s="62">
        <v>-14</v>
      </c>
      <c r="R94" s="62">
        <f>-6.7-8.2</f>
        <v>-14.899999999999999</v>
      </c>
      <c r="S94" s="62">
        <f>-6.7-8.2</f>
        <v>-14.899999999999999</v>
      </c>
      <c r="T94" s="62">
        <v>-37.6</v>
      </c>
      <c r="U94" s="62">
        <f>-14.3-17.2</f>
        <v>-31.5</v>
      </c>
      <c r="V94" s="62">
        <f>-9.5-11.8</f>
        <v>-21.3</v>
      </c>
      <c r="W94" s="62">
        <f>0-5.9</f>
        <v>-5.9</v>
      </c>
      <c r="X94" s="62">
        <f>-1-7.4</f>
        <v>-8.4</v>
      </c>
      <c r="Y94" s="62">
        <v>-15.7</v>
      </c>
      <c r="Z94" s="62">
        <f>-1-7.4</f>
        <v>-8.4</v>
      </c>
      <c r="AA94" s="52">
        <v>-23</v>
      </c>
      <c r="AB94" s="52">
        <v>-30.5</v>
      </c>
      <c r="AC94" s="52">
        <v>-36</v>
      </c>
      <c r="AD94" s="52">
        <v>-44.5</v>
      </c>
      <c r="AE94" s="52">
        <v>-52</v>
      </c>
      <c r="AF94" s="123">
        <v>-65</v>
      </c>
      <c r="AG94" s="120">
        <v>240</v>
      </c>
      <c r="AH94" s="56">
        <f t="shared" si="22"/>
        <v>-65</v>
      </c>
      <c r="AI94" s="121">
        <f t="shared" si="23"/>
        <v>1</v>
      </c>
    </row>
    <row r="95" spans="1:88" x14ac:dyDescent="0.25">
      <c r="A95" s="122" t="s">
        <v>98</v>
      </c>
      <c r="B95" s="123">
        <v>-0.2</v>
      </c>
      <c r="C95" s="62">
        <v>-1.4</v>
      </c>
      <c r="D95" s="62">
        <v>-1.7</v>
      </c>
      <c r="E95" s="62">
        <v>0.6</v>
      </c>
      <c r="F95" s="62">
        <v>0.8</v>
      </c>
      <c r="G95" s="62">
        <v>0.4</v>
      </c>
      <c r="H95" s="62">
        <v>6.6</v>
      </c>
      <c r="I95" s="62">
        <v>16.5</v>
      </c>
      <c r="J95" s="62">
        <v>17</v>
      </c>
      <c r="K95" s="62">
        <v>15.4</v>
      </c>
      <c r="L95" s="62">
        <v>16.600000000000001</v>
      </c>
      <c r="M95" s="62">
        <v>14.6</v>
      </c>
      <c r="N95" s="62">
        <v>11.8</v>
      </c>
      <c r="O95" s="62">
        <v>14.9</v>
      </c>
      <c r="P95" s="62">
        <v>14.9</v>
      </c>
      <c r="Q95" s="62">
        <v>10</v>
      </c>
      <c r="R95" s="62">
        <v>9.6999999999999993</v>
      </c>
      <c r="S95" s="62">
        <v>10</v>
      </c>
      <c r="T95" s="62">
        <v>7.8</v>
      </c>
      <c r="U95" s="62">
        <v>11.2</v>
      </c>
      <c r="V95" s="62">
        <v>23.4</v>
      </c>
      <c r="W95" s="62">
        <v>37.799999999999997</v>
      </c>
      <c r="X95" s="62">
        <v>39.200000000000003</v>
      </c>
      <c r="Y95" s="62">
        <v>25.1</v>
      </c>
      <c r="Z95" s="62">
        <v>39.200000000000003</v>
      </c>
      <c r="AA95" s="52">
        <v>12.6</v>
      </c>
      <c r="AB95" s="52">
        <v>9.5</v>
      </c>
      <c r="AC95" s="52">
        <v>9.1999999999999993</v>
      </c>
      <c r="AD95" s="52">
        <v>-1.1000000000000001</v>
      </c>
      <c r="AE95" s="52">
        <v>-3.6</v>
      </c>
      <c r="AF95" s="123">
        <v>-6.5</v>
      </c>
      <c r="AG95" s="120">
        <v>60</v>
      </c>
      <c r="AH95" s="56">
        <f t="shared" si="22"/>
        <v>39.200000000000003</v>
      </c>
      <c r="AI95" s="121">
        <f t="shared" si="23"/>
        <v>0.77083333333333337</v>
      </c>
    </row>
    <row r="96" spans="1:88" x14ac:dyDescent="0.25">
      <c r="A96" s="124" t="s">
        <v>99</v>
      </c>
      <c r="B96" s="126">
        <v>20.7</v>
      </c>
      <c r="C96" s="65">
        <v>14.3</v>
      </c>
      <c r="D96" s="65">
        <v>12.7</v>
      </c>
      <c r="E96" s="65">
        <v>14.3</v>
      </c>
      <c r="F96" s="65">
        <v>18</v>
      </c>
      <c r="G96" s="65">
        <v>24.5</v>
      </c>
      <c r="H96" s="65">
        <v>41</v>
      </c>
      <c r="I96" s="65">
        <v>68.099999999999994</v>
      </c>
      <c r="J96" s="65">
        <v>79.2</v>
      </c>
      <c r="K96" s="65">
        <v>84.1</v>
      </c>
      <c r="L96" s="65">
        <v>74.5</v>
      </c>
      <c r="M96" s="65">
        <v>56</v>
      </c>
      <c r="N96" s="65">
        <v>57.9</v>
      </c>
      <c r="O96" s="65">
        <v>60.7</v>
      </c>
      <c r="P96" s="65">
        <v>60.7</v>
      </c>
      <c r="Q96" s="65">
        <v>61</v>
      </c>
      <c r="R96" s="65">
        <v>64.3</v>
      </c>
      <c r="S96" s="65">
        <v>65</v>
      </c>
      <c r="T96" s="65">
        <v>41.6</v>
      </c>
      <c r="U96" s="65">
        <v>45.6</v>
      </c>
      <c r="V96" s="65">
        <v>79</v>
      </c>
      <c r="W96" s="65">
        <v>80.599999999999994</v>
      </c>
      <c r="X96" s="65">
        <v>75.2</v>
      </c>
      <c r="Y96" s="65">
        <v>67.2</v>
      </c>
      <c r="Z96" s="65">
        <v>75.2</v>
      </c>
      <c r="AA96" s="125">
        <v>41.6</v>
      </c>
      <c r="AB96" s="125">
        <v>37.9</v>
      </c>
      <c r="AC96" s="125">
        <v>28.5</v>
      </c>
      <c r="AD96" s="125">
        <v>28.3</v>
      </c>
      <c r="AE96" s="125">
        <v>18.8</v>
      </c>
      <c r="AF96" s="126">
        <v>17.7</v>
      </c>
      <c r="AG96" s="127">
        <v>120</v>
      </c>
      <c r="AH96" s="56">
        <f t="shared" si="22"/>
        <v>84.1</v>
      </c>
      <c r="AI96" s="121">
        <f t="shared" si="23"/>
        <v>0.3125</v>
      </c>
    </row>
    <row r="97" spans="1:37" x14ac:dyDescent="0.25">
      <c r="A97" s="124" t="s">
        <v>100</v>
      </c>
      <c r="B97" s="126">
        <v>25.5</v>
      </c>
      <c r="C97" s="65">
        <v>23.3</v>
      </c>
      <c r="D97" s="65">
        <v>19</v>
      </c>
      <c r="E97" s="65">
        <v>22.4</v>
      </c>
      <c r="F97" s="65">
        <v>25.3</v>
      </c>
      <c r="G97" s="65">
        <v>25.6</v>
      </c>
      <c r="H97" s="65">
        <v>39.4</v>
      </c>
      <c r="I97" s="65">
        <v>56.6</v>
      </c>
      <c r="J97" s="65">
        <v>63.9</v>
      </c>
      <c r="K97" s="65">
        <v>63.7</v>
      </c>
      <c r="L97" s="65">
        <v>59.5</v>
      </c>
      <c r="M97" s="65">
        <v>45.7</v>
      </c>
      <c r="N97" s="65">
        <v>48.2</v>
      </c>
      <c r="O97" s="65">
        <v>50</v>
      </c>
      <c r="P97" s="65">
        <v>50</v>
      </c>
      <c r="Q97" s="65">
        <v>55</v>
      </c>
      <c r="R97" s="65">
        <v>57</v>
      </c>
      <c r="S97" s="65">
        <v>54</v>
      </c>
      <c r="T97" s="65">
        <v>40.6</v>
      </c>
      <c r="U97" s="65">
        <v>39.4</v>
      </c>
      <c r="V97" s="65">
        <v>60.5</v>
      </c>
      <c r="W97" s="65">
        <v>59.1</v>
      </c>
      <c r="X97" s="65">
        <v>55.6</v>
      </c>
      <c r="Y97" s="65">
        <v>52.6</v>
      </c>
      <c r="Z97" s="65">
        <v>55.6</v>
      </c>
      <c r="AA97" s="125">
        <v>34.200000000000003</v>
      </c>
      <c r="AB97" s="125">
        <v>36.799999999999997</v>
      </c>
      <c r="AC97" s="125">
        <v>29.7</v>
      </c>
      <c r="AD97" s="125">
        <v>32</v>
      </c>
      <c r="AE97" s="125">
        <v>29.1</v>
      </c>
      <c r="AF97" s="126">
        <v>30.5</v>
      </c>
      <c r="AG97" s="127"/>
      <c r="AH97" s="56">
        <f t="shared" si="22"/>
        <v>63.9</v>
      </c>
      <c r="AI97" s="121">
        <f t="shared" si="23"/>
        <v>0.29166666666666669</v>
      </c>
    </row>
    <row r="98" spans="1:37" ht="15.75" thickBot="1" x14ac:dyDescent="0.3">
      <c r="A98" s="124" t="s">
        <v>101</v>
      </c>
      <c r="B98" s="126">
        <v>59.4</v>
      </c>
      <c r="C98" s="65">
        <v>56.8</v>
      </c>
      <c r="D98" s="65">
        <v>56.5</v>
      </c>
      <c r="E98" s="65">
        <v>58</v>
      </c>
      <c r="F98" s="65">
        <v>52.7</v>
      </c>
      <c r="G98" s="65">
        <v>56.8</v>
      </c>
      <c r="H98" s="65">
        <v>63.1</v>
      </c>
      <c r="I98" s="65">
        <v>63.9</v>
      </c>
      <c r="J98" s="65">
        <v>63.6</v>
      </c>
      <c r="K98" s="65">
        <v>47.8</v>
      </c>
      <c r="L98" s="65">
        <v>51.6</v>
      </c>
      <c r="M98" s="65">
        <v>42.3</v>
      </c>
      <c r="N98" s="65">
        <v>45.8</v>
      </c>
      <c r="O98" s="65">
        <v>48.3</v>
      </c>
      <c r="P98" s="65">
        <v>48.3</v>
      </c>
      <c r="Q98" s="65">
        <v>44</v>
      </c>
      <c r="R98" s="65">
        <v>54.4</v>
      </c>
      <c r="S98" s="65">
        <v>58</v>
      </c>
      <c r="T98" s="65">
        <v>43.3</v>
      </c>
      <c r="U98" s="65">
        <v>30.6</v>
      </c>
      <c r="V98" s="65">
        <v>47.5</v>
      </c>
      <c r="W98" s="65">
        <v>60.3</v>
      </c>
      <c r="X98" s="65">
        <v>60.3</v>
      </c>
      <c r="Y98" s="65">
        <v>42.9</v>
      </c>
      <c r="Z98" s="65">
        <v>60.3</v>
      </c>
      <c r="AA98" s="125">
        <v>29.1</v>
      </c>
      <c r="AB98" s="125">
        <v>30.5</v>
      </c>
      <c r="AC98" s="125">
        <v>30.9</v>
      </c>
      <c r="AD98" s="125">
        <v>38.5</v>
      </c>
      <c r="AE98" s="125">
        <v>42</v>
      </c>
      <c r="AF98" s="126">
        <v>53.9</v>
      </c>
      <c r="AG98" s="128"/>
      <c r="AH98" s="56">
        <f t="shared" si="22"/>
        <v>63.9</v>
      </c>
      <c r="AI98" s="121">
        <f t="shared" si="23"/>
        <v>0.27083333333333331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1071.94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26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2078/07/26)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2078/07/26)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718.83999999999992</v>
      </c>
      <c r="U212" s="173">
        <f t="shared" si="52"/>
        <v>699.64</v>
      </c>
      <c r="V212" s="173">
        <f t="shared" si="52"/>
        <v>699.43999999999994</v>
      </c>
      <c r="W212" s="173">
        <f t="shared" si="52"/>
        <v>697.43999999999994</v>
      </c>
      <c r="X212" s="173">
        <f t="shared" si="52"/>
        <v>740.14</v>
      </c>
      <c r="Y212" s="173">
        <f t="shared" si="52"/>
        <v>813.93999999999994</v>
      </c>
      <c r="Z212" s="173">
        <f t="shared" si="52"/>
        <v>845.93999999999994</v>
      </c>
      <c r="AA212" s="173">
        <f t="shared" si="52"/>
        <v>923.14</v>
      </c>
      <c r="AB212" s="173">
        <f t="shared" si="52"/>
        <v>1015.6399999999999</v>
      </c>
      <c r="AC212" s="173">
        <f t="shared" si="52"/>
        <v>1066.94</v>
      </c>
      <c r="AD212" s="173">
        <f t="shared" si="52"/>
        <v>1071.94</v>
      </c>
      <c r="AE212" s="173">
        <f t="shared" si="52"/>
        <v>1008.9399999999999</v>
      </c>
      <c r="AF212" s="173">
        <f t="shared" si="52"/>
        <v>975.83999999999992</v>
      </c>
      <c r="AG212" s="173">
        <f t="shared" si="52"/>
        <v>944.74</v>
      </c>
      <c r="AH212" s="173">
        <f t="shared" si="52"/>
        <v>946.04</v>
      </c>
      <c r="AI212" s="173">
        <f t="shared" si="52"/>
        <v>928.33999999999992</v>
      </c>
      <c r="AJ212" s="173">
        <f t="shared" si="52"/>
        <v>911.04</v>
      </c>
      <c r="AK212" s="173">
        <f t="shared" si="52"/>
        <v>912.33999999999992</v>
      </c>
      <c r="AL212" s="173">
        <f t="shared" si="52"/>
        <v>980.54</v>
      </c>
      <c r="AM212" s="173">
        <f t="shared" si="52"/>
        <v>1063.94</v>
      </c>
      <c r="AN212" s="173">
        <f t="shared" si="52"/>
        <v>1166.74</v>
      </c>
      <c r="AO212" s="173">
        <f t="shared" si="52"/>
        <v>1241.3400000000001</v>
      </c>
      <c r="AP212" s="173">
        <f t="shared" si="52"/>
        <v>1197.24</v>
      </c>
      <c r="AQ212" s="173">
        <f t="shared" si="52"/>
        <v>1142.54</v>
      </c>
      <c r="AR212" s="173">
        <f t="shared" si="52"/>
        <v>1097.54</v>
      </c>
      <c r="AS212" s="173">
        <f t="shared" si="52"/>
        <v>1026.94</v>
      </c>
      <c r="AT212" s="173">
        <f t="shared" si="52"/>
        <v>965.33999999999992</v>
      </c>
      <c r="AU212" s="173">
        <f t="shared" si="52"/>
        <v>915.83999999999992</v>
      </c>
      <c r="AV212" s="173">
        <f t="shared" si="52"/>
        <v>823.13999999999987</v>
      </c>
      <c r="AW212" s="173">
        <f t="shared" si="52"/>
        <v>780.43999999999994</v>
      </c>
      <c r="AX212" s="173">
        <f t="shared" si="52"/>
        <v>784.7399999999999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94" priority="429">
      <formula>S$9&gt;=20/24</formula>
    </cfRule>
    <cfRule type="expression" dxfId="1993" priority="430">
      <formula>AND(S$9&gt;=14/24,S$9&lt;20/24)</formula>
    </cfRule>
    <cfRule type="expression" dxfId="1992" priority="431">
      <formula>AND(S$9&gt;=8/24,S$9&lt;14/24)</formula>
    </cfRule>
    <cfRule type="expression" dxfId="1991" priority="432">
      <formula>S$9&lt;8/24</formula>
    </cfRule>
  </conditionalFormatting>
  <conditionalFormatting sqref="B8:AF10 AA80:AF80 C80:Q80 C81:V81 C192:AF198 C67:V71 T211:AX211 AA83:AF90 C73:V77 C79:V79 C56:K58 L38:S41 L52:V54 L16:V22 L11:V14 T39:V41 L57:V60 X79:AF79 X73:AF77 X67:AF71 X81:AF81 C55:AF55 W67 L36:Z36 X57:Z60 X84:Z90 X39:AD41 X11:AD14 X16:AE22 AE12:AF14 AF17:AF22 AB42:AF42 X52:AF54">
    <cfRule type="expression" dxfId="1990" priority="425">
      <formula>B$9&gt;=20/24</formula>
    </cfRule>
    <cfRule type="expression" dxfId="1989" priority="426">
      <formula>AND(B$9&gt;=14/24,B$9&lt;20/24)</formula>
    </cfRule>
    <cfRule type="expression" dxfId="1988" priority="427">
      <formula>AND(B$9&gt;=8/24,B$9&lt;14/24)</formula>
    </cfRule>
    <cfRule type="expression" dxfId="1987" priority="428">
      <formula>B$9&lt;8/24</formula>
    </cfRule>
  </conditionalFormatting>
  <conditionalFormatting sqref="B190:AF190">
    <cfRule type="expression" dxfId="1986" priority="421">
      <formula>B$9&gt;=20/24</formula>
    </cfRule>
    <cfRule type="expression" dxfId="1985" priority="422">
      <formula>AND(B$9&gt;=14/24,B$9&lt;20/24)</formula>
    </cfRule>
    <cfRule type="expression" dxfId="1984" priority="423">
      <formula>AND(B$9&gt;=8/24,B$9&lt;14/24)</formula>
    </cfRule>
    <cfRule type="expression" dxfId="1983" priority="424">
      <formula>B$9&lt;8/24</formula>
    </cfRule>
  </conditionalFormatting>
  <conditionalFormatting sqref="AL4:AL6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L56:V56 X56:Z56">
    <cfRule type="expression" dxfId="1982" priority="416">
      <formula>L$9&gt;=20/24</formula>
    </cfRule>
    <cfRule type="expression" dxfId="1981" priority="417">
      <formula>AND(L$9&gt;=14/24,L$9&lt;20/24)</formula>
    </cfRule>
    <cfRule type="expression" dxfId="1980" priority="418">
      <formula>AND(L$9&gt;=8/24,L$9&lt;14/24)</formula>
    </cfRule>
    <cfRule type="expression" dxfId="1979" priority="419">
      <formula>L$9&lt;8/24</formula>
    </cfRule>
  </conditionalFormatting>
  <conditionalFormatting sqref="L42:S42">
    <cfRule type="expression" dxfId="1978" priority="412">
      <formula>L$9&gt;=20/24</formula>
    </cfRule>
    <cfRule type="expression" dxfId="1977" priority="413">
      <formula>AND(L$9&gt;=14/24,L$9&lt;20/24)</formula>
    </cfRule>
    <cfRule type="expression" dxfId="1976" priority="414">
      <formula>AND(L$9&gt;=8/24,L$9&lt;14/24)</formula>
    </cfRule>
    <cfRule type="expression" dxfId="1975" priority="415">
      <formula>L$9&lt;8/24</formula>
    </cfRule>
  </conditionalFormatting>
  <conditionalFormatting sqref="T38:V38 X38:AD38">
    <cfRule type="expression" dxfId="1974" priority="404">
      <formula>T$9&gt;=20/24</formula>
    </cfRule>
    <cfRule type="expression" dxfId="1973" priority="405">
      <formula>AND(T$9&gt;=14/24,T$9&lt;20/24)</formula>
    </cfRule>
    <cfRule type="expression" dxfId="1972" priority="406">
      <formula>AND(T$9&gt;=8/24,T$9&lt;14/24)</formula>
    </cfRule>
    <cfRule type="expression" dxfId="1971" priority="407">
      <formula>T$9&lt;8/24</formula>
    </cfRule>
  </conditionalFormatting>
  <conditionalFormatting sqref="AA56:AF56">
    <cfRule type="expression" dxfId="1970" priority="400">
      <formula>AA$9&gt;=20/24</formula>
    </cfRule>
    <cfRule type="expression" dxfId="1969" priority="401">
      <formula>AND(AA$9&gt;=14/24,AA$9&lt;20/24)</formula>
    </cfRule>
    <cfRule type="expression" dxfId="1968" priority="402">
      <formula>AND(AA$9&gt;=8/24,AA$9&lt;14/24)</formula>
    </cfRule>
    <cfRule type="expression" dxfId="1967" priority="403">
      <formula>AA$9&lt;8/24</formula>
    </cfRule>
  </conditionalFormatting>
  <conditionalFormatting sqref="R80:V80 X80:Z80">
    <cfRule type="expression" dxfId="1966" priority="396">
      <formula>R$9&gt;=20/24</formula>
    </cfRule>
    <cfRule type="expression" dxfId="1965" priority="397">
      <formula>AND(R$9&gt;=14/24,R$9&lt;20/24)</formula>
    </cfRule>
    <cfRule type="expression" dxfId="1964" priority="398">
      <formula>AND(R$9&gt;=8/24,R$9&lt;14/24)</formula>
    </cfRule>
    <cfRule type="expression" dxfId="1963" priority="399">
      <formula>R$9&lt;8/24</formula>
    </cfRule>
  </conditionalFormatting>
  <conditionalFormatting sqref="T83:V83 X83:Z83">
    <cfRule type="expression" dxfId="1962" priority="392">
      <formula>T$9&gt;=20/24</formula>
    </cfRule>
    <cfRule type="expression" dxfId="1961" priority="393">
      <formula>AND(T$9&gt;=14/24,T$9&lt;20/24)</formula>
    </cfRule>
    <cfRule type="expression" dxfId="1960" priority="394">
      <formula>AND(T$9&gt;=8/24,T$9&lt;14/24)</formula>
    </cfRule>
    <cfRule type="expression" dxfId="1959" priority="395">
      <formula>T$9&lt;8/24</formula>
    </cfRule>
  </conditionalFormatting>
  <conditionalFormatting sqref="L48:V48 X48:AF48">
    <cfRule type="expression" dxfId="1958" priority="384">
      <formula>L$9&gt;=20/24</formula>
    </cfRule>
    <cfRule type="expression" dxfId="1957" priority="385">
      <formula>AND(L$9&gt;=14/24,L$9&lt;20/24)</formula>
    </cfRule>
    <cfRule type="expression" dxfId="1956" priority="386">
      <formula>AND(L$9&gt;=8/24,L$9&lt;14/24)</formula>
    </cfRule>
    <cfRule type="expression" dxfId="1955" priority="387">
      <formula>L$9&lt;8/24</formula>
    </cfRule>
  </conditionalFormatting>
  <conditionalFormatting sqref="L49:V49 X49:AF49">
    <cfRule type="expression" dxfId="1954" priority="380">
      <formula>L$9&gt;=20/24</formula>
    </cfRule>
    <cfRule type="expression" dxfId="1953" priority="381">
      <formula>AND(L$9&gt;=14/24,L$9&lt;20/24)</formula>
    </cfRule>
    <cfRule type="expression" dxfId="1952" priority="382">
      <formula>AND(L$9&gt;=8/24,L$9&lt;14/24)</formula>
    </cfRule>
    <cfRule type="expression" dxfId="1951" priority="383">
      <formula>L$9&lt;8/24</formula>
    </cfRule>
  </conditionalFormatting>
  <conditionalFormatting sqref="L44:V47 X44:AF47">
    <cfRule type="expression" dxfId="1950" priority="376">
      <formula>L$9&gt;=20/24</formula>
    </cfRule>
    <cfRule type="expression" dxfId="1949" priority="377">
      <formula>AND(L$9&gt;=14/24,L$9&lt;20/24)</formula>
    </cfRule>
    <cfRule type="expression" dxfId="1948" priority="378">
      <formula>AND(L$9&gt;=8/24,L$9&lt;14/24)</formula>
    </cfRule>
    <cfRule type="expression" dxfId="1947" priority="379">
      <formula>L$9&lt;8/24</formula>
    </cfRule>
  </conditionalFormatting>
  <conditionalFormatting sqref="AA36:AD36">
    <cfRule type="expression" dxfId="1946" priority="372">
      <formula>AA$9&gt;=20/24</formula>
    </cfRule>
    <cfRule type="expression" dxfId="1945" priority="373">
      <formula>AND(AA$9&gt;=14/24,AA$9&lt;20/24)</formula>
    </cfRule>
    <cfRule type="expression" dxfId="1944" priority="374">
      <formula>AND(AA$9&gt;=8/24,AA$9&lt;14/24)</formula>
    </cfRule>
    <cfRule type="expression" dxfId="1943" priority="375">
      <formula>AA$9&lt;8/24</formula>
    </cfRule>
  </conditionalFormatting>
  <conditionalFormatting sqref="T42:V42 X42:AA42">
    <cfRule type="expression" dxfId="1942" priority="364">
      <formula>T$9&gt;=20/24</formula>
    </cfRule>
    <cfRule type="expression" dxfId="1941" priority="365">
      <formula>AND(T$9&gt;=14/24,T$9&lt;20/24)</formula>
    </cfRule>
    <cfRule type="expression" dxfId="1940" priority="366">
      <formula>AND(T$9&gt;=8/24,T$9&lt;14/24)</formula>
    </cfRule>
    <cfRule type="expression" dxfId="1939" priority="367">
      <formula>T$9&lt;8/24</formula>
    </cfRule>
  </conditionalFormatting>
  <conditionalFormatting sqref="AA59:AF60">
    <cfRule type="expression" dxfId="1938" priority="352">
      <formula>AA$9&gt;=20/24</formula>
    </cfRule>
    <cfRule type="expression" dxfId="1937" priority="353">
      <formula>AND(AA$9&gt;=14/24,AA$9&lt;20/24)</formula>
    </cfRule>
    <cfRule type="expression" dxfId="1936" priority="354">
      <formula>AND(AA$9&gt;=8/24,AA$9&lt;14/24)</formula>
    </cfRule>
    <cfRule type="expression" dxfId="1935" priority="355">
      <formula>AA$9&lt;8/24</formula>
    </cfRule>
  </conditionalFormatting>
  <conditionalFormatting sqref="AA93:AF96">
    <cfRule type="expression" dxfId="1934" priority="348">
      <formula>AA$9&gt;=20/24</formula>
    </cfRule>
    <cfRule type="expression" dxfId="1933" priority="349">
      <formula>AND(AA$9&gt;=14/24,AA$9&lt;20/24)</formula>
    </cfRule>
    <cfRule type="expression" dxfId="1932" priority="350">
      <formula>AND(AA$9&gt;=8/24,AA$9&lt;14/24)</formula>
    </cfRule>
    <cfRule type="expression" dxfId="1931" priority="351">
      <formula>AA$9&lt;8/24</formula>
    </cfRule>
  </conditionalFormatting>
  <conditionalFormatting sqref="T93:Y96">
    <cfRule type="expression" dxfId="1930" priority="340">
      <formula>T$9&gt;=20/24</formula>
    </cfRule>
    <cfRule type="expression" dxfId="1929" priority="341">
      <formula>AND(T$9&gt;=14/24,T$9&lt;20/24)</formula>
    </cfRule>
    <cfRule type="expression" dxfId="1928" priority="342">
      <formula>AND(T$9&gt;=8/24,T$9&lt;14/24)</formula>
    </cfRule>
    <cfRule type="expression" dxfId="1927" priority="343">
      <formula>T$9&lt;8/24</formula>
    </cfRule>
  </conditionalFormatting>
  <conditionalFormatting sqref="AG50 G11:O11 L12:O14 L16:V22 P11:V14 C37:V42 C44:V55 W51 W55:AF55 D36:AF36 X11:AF14 AF26 X16:AF22 X37:AF42 X44:AF54">
    <cfRule type="expression" dxfId="1926" priority="339">
      <formula>C11&gt;$AG11</formula>
    </cfRule>
  </conditionalFormatting>
  <conditionalFormatting sqref="A99:A155 A83:A96 A11:A14 A16:A32 A44:A71 A79:A81 A73:A77 A34:A42 A168:A199">
    <cfRule type="expression" dxfId="1925" priority="338">
      <formula>$AH11=0</formula>
    </cfRule>
  </conditionalFormatting>
  <conditionalFormatting sqref="AA97:AF97">
    <cfRule type="expression" dxfId="1924" priority="334">
      <formula>AA$9&gt;=20/24</formula>
    </cfRule>
    <cfRule type="expression" dxfId="1923" priority="335">
      <formula>AND(AA$9&gt;=14/24,AA$9&lt;20/24)</formula>
    </cfRule>
    <cfRule type="expression" dxfId="1922" priority="336">
      <formula>AND(AA$9&gt;=8/24,AA$9&lt;14/24)</formula>
    </cfRule>
    <cfRule type="expression" dxfId="1921" priority="337">
      <formula>AA$9&lt;8/24</formula>
    </cfRule>
  </conditionalFormatting>
  <conditionalFormatting sqref="T97:Y97">
    <cfRule type="expression" dxfId="1920" priority="330">
      <formula>T$9&gt;=20/24</formula>
    </cfRule>
    <cfRule type="expression" dxfId="1919" priority="331">
      <formula>AND(T$9&gt;=14/24,T$9&lt;20/24)</formula>
    </cfRule>
    <cfRule type="expression" dxfId="1918" priority="332">
      <formula>AND(T$9&gt;=8/24,T$9&lt;14/24)</formula>
    </cfRule>
    <cfRule type="expression" dxfId="1917" priority="333">
      <formula>T$9&lt;8/24</formula>
    </cfRule>
  </conditionalFormatting>
  <conditionalFormatting sqref="A97">
    <cfRule type="expression" dxfId="1916" priority="329">
      <formula>$AH97=0</formula>
    </cfRule>
  </conditionalFormatting>
  <conditionalFormatting sqref="L61:V66 X61:AF66">
    <cfRule type="expression" dxfId="1915" priority="309">
      <formula>L$9&gt;=20/24</formula>
    </cfRule>
    <cfRule type="expression" dxfId="1914" priority="310">
      <formula>AND(L$9&gt;=14/24,L$9&lt;20/24)</formula>
    </cfRule>
    <cfRule type="expression" dxfId="1913" priority="311">
      <formula>AND(L$9&gt;=8/24,L$9&lt;14/24)</formula>
    </cfRule>
    <cfRule type="expression" dxfId="1912" priority="312">
      <formula>L$9&lt;8/24</formula>
    </cfRule>
  </conditionalFormatting>
  <conditionalFormatting sqref="AL3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911" priority="294">
      <formula>$AH33=0</formula>
    </cfRule>
  </conditionalFormatting>
  <conditionalFormatting sqref="C82:V82 X82:AF82">
    <cfRule type="expression" dxfId="1910" priority="290">
      <formula>C$9&gt;=20/24</formula>
    </cfRule>
    <cfRule type="expression" dxfId="1909" priority="291">
      <formula>AND(C$9&gt;=14/24,C$9&lt;20/24)</formula>
    </cfRule>
    <cfRule type="expression" dxfId="1908" priority="292">
      <formula>AND(C$9&gt;=8/24,C$9&lt;14/24)</formula>
    </cfRule>
    <cfRule type="expression" dxfId="1907" priority="293">
      <formula>C$9&lt;8/24</formula>
    </cfRule>
  </conditionalFormatting>
  <conditionalFormatting sqref="A82">
    <cfRule type="expression" dxfId="1906" priority="289">
      <formula>$AH82=0</formula>
    </cfRule>
  </conditionalFormatting>
  <conditionalFormatting sqref="L15:V15 X15:AF15">
    <cfRule type="expression" dxfId="1905" priority="281">
      <formula>L$9&gt;=20/24</formula>
    </cfRule>
    <cfRule type="expression" dxfId="1904" priority="282">
      <formula>AND(L$9&gt;=14/24,L$9&lt;20/24)</formula>
    </cfRule>
    <cfRule type="expression" dxfId="1903" priority="283">
      <formula>AND(L$9&gt;=8/24,L$9&lt;14/24)</formula>
    </cfRule>
    <cfRule type="expression" dxfId="1902" priority="284">
      <formula>L$9&lt;8/24</formula>
    </cfRule>
  </conditionalFormatting>
  <conditionalFormatting sqref="L15:V15 X15:AF15">
    <cfRule type="expression" dxfId="1901" priority="280">
      <formula>L15&gt;$AG15</formula>
    </cfRule>
  </conditionalFormatting>
  <conditionalFormatting sqref="A15">
    <cfRule type="expression" dxfId="1900" priority="279">
      <formula>$AH15=0</formula>
    </cfRule>
  </conditionalFormatting>
  <conditionalFormatting sqref="A162:A167">
    <cfRule type="expression" dxfId="1899" priority="278">
      <formula>$AH162=0</formula>
    </cfRule>
  </conditionalFormatting>
  <conditionalFormatting sqref="A156:A161">
    <cfRule type="expression" dxfId="1898" priority="277">
      <formula>$AH156=0</formula>
    </cfRule>
  </conditionalFormatting>
  <conditionalFormatting sqref="L43:V43 X43:AF43">
    <cfRule type="expression" dxfId="1897" priority="269">
      <formula>L$9&gt;=20/24</formula>
    </cfRule>
    <cfRule type="expression" dxfId="1896" priority="270">
      <formula>AND(L$9&gt;=14/24,L$9&lt;20/24)</formula>
    </cfRule>
    <cfRule type="expression" dxfId="1895" priority="271">
      <formula>AND(L$9&gt;=8/24,L$9&lt;14/24)</formula>
    </cfRule>
    <cfRule type="expression" dxfId="1894" priority="272">
      <formula>L$9&lt;8/24</formula>
    </cfRule>
  </conditionalFormatting>
  <conditionalFormatting sqref="C43:V43 X43:AF43">
    <cfRule type="expression" dxfId="1893" priority="264">
      <formula>C43&gt;$AG43</formula>
    </cfRule>
  </conditionalFormatting>
  <conditionalFormatting sqref="A43">
    <cfRule type="expression" dxfId="1892" priority="263">
      <formula>$AH43=0</formula>
    </cfRule>
  </conditionalFormatting>
  <conditionalFormatting sqref="C78:V78 X78:AF78">
    <cfRule type="expression" dxfId="1891" priority="259">
      <formula>C$9&gt;=20/24</formula>
    </cfRule>
    <cfRule type="expression" dxfId="1890" priority="260">
      <formula>AND(C$9&gt;=14/24,C$9&lt;20/24)</formula>
    </cfRule>
    <cfRule type="expression" dxfId="1889" priority="261">
      <formula>AND(C$9&gt;=8/24,C$9&lt;14/24)</formula>
    </cfRule>
    <cfRule type="expression" dxfId="1888" priority="262">
      <formula>C$9&lt;8/24</formula>
    </cfRule>
  </conditionalFormatting>
  <conditionalFormatting sqref="A78">
    <cfRule type="expression" dxfId="1887" priority="258">
      <formula>$AH78=0</formula>
    </cfRule>
  </conditionalFormatting>
  <conditionalFormatting sqref="C72:AG72">
    <cfRule type="expression" dxfId="1886" priority="254">
      <formula>C$9&gt;=20/24</formula>
    </cfRule>
    <cfRule type="expression" dxfId="1885" priority="255">
      <formula>AND(C$9&gt;=14/24,C$9&lt;20/24)</formula>
    </cfRule>
    <cfRule type="expression" dxfId="1884" priority="256">
      <formula>AND(C$9&gt;=8/24,C$9&lt;14/24)</formula>
    </cfRule>
    <cfRule type="expression" dxfId="1883" priority="257">
      <formula>C$9&lt;8/24</formula>
    </cfRule>
  </conditionalFormatting>
  <conditionalFormatting sqref="A72">
    <cfRule type="expression" dxfId="1882" priority="253">
      <formula>$AH72=0</formula>
    </cfRule>
  </conditionalFormatting>
  <conditionalFormatting sqref="AL33:AL34 AL7:AL31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1881" priority="245">
      <formula>T$9&gt;=20/24</formula>
    </cfRule>
    <cfRule type="expression" dxfId="1880" priority="246">
      <formula>AND(T$9&gt;=14/24,T$9&lt;20/24)</formula>
    </cfRule>
    <cfRule type="expression" dxfId="1879" priority="247">
      <formula>AND(T$9&gt;=8/24,T$9&lt;14/24)</formula>
    </cfRule>
    <cfRule type="expression" dxfId="1878" priority="248">
      <formula>T$9&lt;8/24</formula>
    </cfRule>
  </conditionalFormatting>
  <conditionalFormatting sqref="C83:Q90 R84:S90">
    <cfRule type="expression" dxfId="1877" priority="241">
      <formula>C$9&gt;=20/24</formula>
    </cfRule>
    <cfRule type="expression" dxfId="1876" priority="242">
      <formula>AND(C$9&gt;=14/24,C$9&lt;20/24)</formula>
    </cfRule>
    <cfRule type="expression" dxfId="1875" priority="243">
      <formula>AND(C$9&gt;=8/24,C$9&lt;14/24)</formula>
    </cfRule>
    <cfRule type="expression" dxfId="1874" priority="244">
      <formula>C$9&lt;8/24</formula>
    </cfRule>
  </conditionalFormatting>
  <conditionalFormatting sqref="R83:S83">
    <cfRule type="expression" dxfId="1873" priority="237">
      <formula>R$9&gt;=20/24</formula>
    </cfRule>
    <cfRule type="expression" dxfId="1872" priority="238">
      <formula>AND(R$9&gt;=14/24,R$9&lt;20/24)</formula>
    </cfRule>
    <cfRule type="expression" dxfId="1871" priority="239">
      <formula>AND(R$9&gt;=8/24,R$9&lt;14/24)</formula>
    </cfRule>
    <cfRule type="expression" dxfId="1870" priority="240">
      <formula>R$9&lt;8/24</formula>
    </cfRule>
  </conditionalFormatting>
  <conditionalFormatting sqref="C94:L96 C93:E93">
    <cfRule type="expression" dxfId="1869" priority="233">
      <formula>C$9&gt;=20/24</formula>
    </cfRule>
    <cfRule type="expression" dxfId="1868" priority="234">
      <formula>AND(C$9&gt;=14/24,C$9&lt;20/24)</formula>
    </cfRule>
    <cfRule type="expression" dxfId="1867" priority="235">
      <formula>AND(C$9&gt;=8/24,C$9&lt;14/24)</formula>
    </cfRule>
    <cfRule type="expression" dxfId="1866" priority="236">
      <formula>C$9&lt;8/24</formula>
    </cfRule>
  </conditionalFormatting>
  <conditionalFormatting sqref="M94:O96 N93:O93 P93:S96">
    <cfRule type="expression" dxfId="1865" priority="229">
      <formula>M$9&gt;=20/24</formula>
    </cfRule>
    <cfRule type="expression" dxfId="1864" priority="230">
      <formula>AND(M$9&gt;=14/24,M$9&lt;20/24)</formula>
    </cfRule>
    <cfRule type="expression" dxfId="1863" priority="231">
      <formula>AND(M$9&gt;=8/24,M$9&lt;14/24)</formula>
    </cfRule>
    <cfRule type="expression" dxfId="1862" priority="232">
      <formula>M$9&lt;8/24</formula>
    </cfRule>
  </conditionalFormatting>
  <conditionalFormatting sqref="C97:L97">
    <cfRule type="expression" dxfId="1861" priority="221">
      <formula>C$9&gt;=20/24</formula>
    </cfRule>
    <cfRule type="expression" dxfId="1860" priority="222">
      <formula>AND(C$9&gt;=14/24,C$9&lt;20/24)</formula>
    </cfRule>
    <cfRule type="expression" dxfId="1859" priority="223">
      <formula>AND(C$9&gt;=8/24,C$9&lt;14/24)</formula>
    </cfRule>
    <cfRule type="expression" dxfId="1858" priority="224">
      <formula>C$9&lt;8/24</formula>
    </cfRule>
  </conditionalFormatting>
  <conditionalFormatting sqref="M97:S97">
    <cfRule type="expression" dxfId="1857" priority="217">
      <formula>M$9&gt;=20/24</formula>
    </cfRule>
    <cfRule type="expression" dxfId="1856" priority="218">
      <formula>AND(M$9&gt;=14/24,M$9&lt;20/24)</formula>
    </cfRule>
    <cfRule type="expression" dxfId="1855" priority="219">
      <formula>AND(M$9&gt;=8/24,M$9&lt;14/24)</formula>
    </cfRule>
    <cfRule type="expression" dxfId="1854" priority="220">
      <formula>M$9&lt;8/24</formula>
    </cfRule>
  </conditionalFormatting>
  <conditionalFormatting sqref="L93:M93">
    <cfRule type="expression" dxfId="1853" priority="209">
      <formula>L$9&gt;=20/24</formula>
    </cfRule>
    <cfRule type="expression" dxfId="1852" priority="210">
      <formula>AND(L$9&gt;=14/24,L$9&lt;20/24)</formula>
    </cfRule>
    <cfRule type="expression" dxfId="1851" priority="211">
      <formula>AND(L$9&gt;=8/24,L$9&lt;14/24)</formula>
    </cfRule>
    <cfRule type="expression" dxfId="1850" priority="212">
      <formula>L$9&lt;8/24</formula>
    </cfRule>
  </conditionalFormatting>
  <conditionalFormatting sqref="F93:K93">
    <cfRule type="expression" dxfId="1849" priority="205">
      <formula>F$9&gt;=20/24</formula>
    </cfRule>
    <cfRule type="expression" dxfId="1848" priority="206">
      <formula>AND(F$9&gt;=14/24,F$9&lt;20/24)</formula>
    </cfRule>
    <cfRule type="expression" dxfId="1847" priority="207">
      <formula>AND(F$9&gt;=8/24,F$9&lt;14/24)</formula>
    </cfRule>
    <cfRule type="expression" dxfId="1846" priority="208">
      <formula>F$9&lt;8/24</formula>
    </cfRule>
  </conditionalFormatting>
  <conditionalFormatting sqref="T93:V93">
    <cfRule type="expression" dxfId="1845" priority="201">
      <formula>T$9&gt;=20/24</formula>
    </cfRule>
    <cfRule type="expression" dxfId="1844" priority="202">
      <formula>AND(T$9&gt;=14/24,T$9&lt;20/24)</formula>
    </cfRule>
    <cfRule type="expression" dxfId="1843" priority="203">
      <formula>AND(T$9&gt;=8/24,T$9&lt;14/24)</formula>
    </cfRule>
    <cfRule type="expression" dxfId="1842" priority="204">
      <formula>T$9&lt;8/24</formula>
    </cfRule>
  </conditionalFormatting>
  <conditionalFormatting sqref="M93:S93">
    <cfRule type="expression" dxfId="1841" priority="197">
      <formula>M$9&gt;=20/24</formula>
    </cfRule>
    <cfRule type="expression" dxfId="1840" priority="198">
      <formula>AND(M$9&gt;=14/24,M$9&lt;20/24)</formula>
    </cfRule>
    <cfRule type="expression" dxfId="1839" priority="199">
      <formula>AND(M$9&gt;=8/24,M$9&lt;14/24)</formula>
    </cfRule>
    <cfRule type="expression" dxfId="1838" priority="200">
      <formula>M$9&lt;8/24</formula>
    </cfRule>
  </conditionalFormatting>
  <conditionalFormatting sqref="AA98:AF98">
    <cfRule type="expression" dxfId="1837" priority="193">
      <formula>AA$9&gt;=20/24</formula>
    </cfRule>
    <cfRule type="expression" dxfId="1836" priority="194">
      <formula>AND(AA$9&gt;=14/24,AA$9&lt;20/24)</formula>
    </cfRule>
    <cfRule type="expression" dxfId="1835" priority="195">
      <formula>AND(AA$9&gt;=8/24,AA$9&lt;14/24)</formula>
    </cfRule>
    <cfRule type="expression" dxfId="1834" priority="196">
      <formula>AA$9&lt;8/24</formula>
    </cfRule>
  </conditionalFormatting>
  <conditionalFormatting sqref="T98:Y98">
    <cfRule type="expression" dxfId="1833" priority="189">
      <formula>T$9&gt;=20/24</formula>
    </cfRule>
    <cfRule type="expression" dxfId="1832" priority="190">
      <formula>AND(T$9&gt;=14/24,T$9&lt;20/24)</formula>
    </cfRule>
    <cfRule type="expression" dxfId="1831" priority="191">
      <formula>AND(T$9&gt;=8/24,T$9&lt;14/24)</formula>
    </cfRule>
    <cfRule type="expression" dxfId="1830" priority="192">
      <formula>T$9&lt;8/24</formula>
    </cfRule>
  </conditionalFormatting>
  <conditionalFormatting sqref="A98">
    <cfRule type="expression" dxfId="1829" priority="188">
      <formula>$AH98=0</formula>
    </cfRule>
  </conditionalFormatting>
  <conditionalFormatting sqref="C98:L98">
    <cfRule type="expression" dxfId="1828" priority="184">
      <formula>C$9&gt;=20/24</formula>
    </cfRule>
    <cfRule type="expression" dxfId="1827" priority="185">
      <formula>AND(C$9&gt;=14/24,C$9&lt;20/24)</formula>
    </cfRule>
    <cfRule type="expression" dxfId="1826" priority="186">
      <formula>AND(C$9&gt;=8/24,C$9&lt;14/24)</formula>
    </cfRule>
    <cfRule type="expression" dxfId="1825" priority="187">
      <formula>C$9&lt;8/24</formula>
    </cfRule>
  </conditionalFormatting>
  <conditionalFormatting sqref="M98:S98">
    <cfRule type="expression" dxfId="1824" priority="180">
      <formula>M$9&gt;=20/24</formula>
    </cfRule>
    <cfRule type="expression" dxfId="1823" priority="181">
      <formula>AND(M$9&gt;=14/24,M$9&lt;20/24)</formula>
    </cfRule>
    <cfRule type="expression" dxfId="1822" priority="182">
      <formula>AND(M$9&gt;=8/24,M$9&lt;14/24)</formula>
    </cfRule>
    <cfRule type="expression" dxfId="1821" priority="183">
      <formula>M$9&lt;8/24</formula>
    </cfRule>
  </conditionalFormatting>
  <conditionalFormatting sqref="AA57:AF58">
    <cfRule type="expression" dxfId="1820" priority="160">
      <formula>AA$9&gt;=20/24</formula>
    </cfRule>
    <cfRule type="expression" dxfId="1819" priority="161">
      <formula>AND(AA$9&gt;=14/24,AA$9&lt;20/24)</formula>
    </cfRule>
    <cfRule type="expression" dxfId="1818" priority="162">
      <formula>AND(AA$9&gt;=8/24,AA$9&lt;14/24)</formula>
    </cfRule>
    <cfRule type="expression" dxfId="1817" priority="163">
      <formula>AA$9&lt;8/24</formula>
    </cfRule>
  </conditionalFormatting>
  <conditionalFormatting sqref="B67:B71 B83:B90 B73:B77 B79:B81 B52:B59 B11:F14 B16:K23 G12:K14 C59:K59 L23:V23 X23:AF23">
    <cfRule type="expression" dxfId="1816" priority="156">
      <formula>B$9&gt;=20/24</formula>
    </cfRule>
    <cfRule type="expression" dxfId="1815" priority="157">
      <formula>AND(B$9&gt;=14/24,B$9&lt;20/24)</formula>
    </cfRule>
    <cfRule type="expression" dxfId="1814" priority="158">
      <formula>AND(B$9&gt;=8/24,B$9&lt;14/24)</formula>
    </cfRule>
    <cfRule type="expression" dxfId="1813" priority="159">
      <formula>B$9&lt;8/24</formula>
    </cfRule>
  </conditionalFormatting>
  <conditionalFormatting sqref="B36:C36">
    <cfRule type="expression" dxfId="1812" priority="152">
      <formula>B$9&gt;=20/24</formula>
    </cfRule>
    <cfRule type="expression" dxfId="1811" priority="153">
      <formula>AND(B$9&gt;=14/24,B$9&lt;20/24)</formula>
    </cfRule>
    <cfRule type="expression" dxfId="1810" priority="154">
      <formula>AND(B$9&gt;=8/24,B$9&lt;14/24)</formula>
    </cfRule>
    <cfRule type="expression" dxfId="1809" priority="155">
      <formula>B$9&lt;8/24</formula>
    </cfRule>
  </conditionalFormatting>
  <conditionalFormatting sqref="B60:K66">
    <cfRule type="expression" dxfId="1808" priority="148">
      <formula>B$9&gt;=20/24</formula>
    </cfRule>
    <cfRule type="expression" dxfId="1807" priority="149">
      <formula>AND(B$9&gt;=14/24,B$9&lt;20/24)</formula>
    </cfRule>
    <cfRule type="expression" dxfId="1806" priority="150">
      <formula>AND(B$9&gt;=8/24,B$9&lt;14/24)</formula>
    </cfRule>
    <cfRule type="expression" dxfId="1805" priority="151">
      <formula>B$9&lt;8/24</formula>
    </cfRule>
  </conditionalFormatting>
  <conditionalFormatting sqref="B93:B96">
    <cfRule type="expression" dxfId="1804" priority="144">
      <formula>B$9&gt;=20/24</formula>
    </cfRule>
    <cfRule type="expression" dxfId="1803" priority="145">
      <formula>AND(B$9&gt;=14/24,B$9&lt;20/24)</formula>
    </cfRule>
    <cfRule type="expression" dxfId="1802" priority="146">
      <formula>AND(B$9&gt;=8/24,B$9&lt;14/24)</formula>
    </cfRule>
    <cfRule type="expression" dxfId="1801" priority="147">
      <formula>B$9&lt;8/24</formula>
    </cfRule>
  </conditionalFormatting>
  <conditionalFormatting sqref="B44:B55 B36:B42 C36 B11:F14 B16:K23 G12:K14 L23:V23 X23:AF23">
    <cfRule type="expression" dxfId="1800" priority="143">
      <formula>B11&gt;$AG11</formula>
    </cfRule>
  </conditionalFormatting>
  <conditionalFormatting sqref="B97">
    <cfRule type="expression" dxfId="1799" priority="139">
      <formula>B$9&gt;=20/24</formula>
    </cfRule>
    <cfRule type="expression" dxfId="1798" priority="140">
      <formula>AND(B$9&gt;=14/24,B$9&lt;20/24)</formula>
    </cfRule>
    <cfRule type="expression" dxfId="1797" priority="141">
      <formula>AND(B$9&gt;=8/24,B$9&lt;14/24)</formula>
    </cfRule>
    <cfRule type="expression" dxfId="1796" priority="142">
      <formula>B$9&lt;8/24</formula>
    </cfRule>
  </conditionalFormatting>
  <conditionalFormatting sqref="B82">
    <cfRule type="expression" dxfId="1795" priority="135">
      <formula>B$9&gt;=20/24</formula>
    </cfRule>
    <cfRule type="expression" dxfId="1794" priority="136">
      <formula>AND(B$9&gt;=14/24,B$9&lt;20/24)</formula>
    </cfRule>
    <cfRule type="expression" dxfId="1793" priority="137">
      <formula>AND(B$9&gt;=8/24,B$9&lt;14/24)</formula>
    </cfRule>
    <cfRule type="expression" dxfId="1792" priority="138">
      <formula>B$9&lt;8/24</formula>
    </cfRule>
  </conditionalFormatting>
  <conditionalFormatting sqref="B15:K15">
    <cfRule type="expression" dxfId="1791" priority="131">
      <formula>B$9&gt;=20/24</formula>
    </cfRule>
    <cfRule type="expression" dxfId="1790" priority="132">
      <formula>AND(B$9&gt;=14/24,B$9&lt;20/24)</formula>
    </cfRule>
    <cfRule type="expression" dxfId="1789" priority="133">
      <formula>AND(B$9&gt;=8/24,B$9&lt;14/24)</formula>
    </cfRule>
    <cfRule type="expression" dxfId="1788" priority="134">
      <formula>B$9&lt;8/24</formula>
    </cfRule>
  </conditionalFormatting>
  <conditionalFormatting sqref="B15:K15">
    <cfRule type="expression" dxfId="1787" priority="130">
      <formula>B15&gt;$AG15</formula>
    </cfRule>
  </conditionalFormatting>
  <conditionalFormatting sqref="B43">
    <cfRule type="expression" dxfId="1786" priority="129">
      <formula>B43&gt;$AG43</formula>
    </cfRule>
  </conditionalFormatting>
  <conditionalFormatting sqref="B78">
    <cfRule type="expression" dxfId="1785" priority="125">
      <formula>B$9&gt;=20/24</formula>
    </cfRule>
    <cfRule type="expression" dxfId="1784" priority="126">
      <formula>AND(B$9&gt;=14/24,B$9&lt;20/24)</formula>
    </cfRule>
    <cfRule type="expression" dxfId="1783" priority="127">
      <formula>AND(B$9&gt;=8/24,B$9&lt;14/24)</formula>
    </cfRule>
    <cfRule type="expression" dxfId="1782" priority="128">
      <formula>B$9&lt;8/24</formula>
    </cfRule>
  </conditionalFormatting>
  <conditionalFormatting sqref="B72">
    <cfRule type="expression" dxfId="1781" priority="121">
      <formula>B$9&gt;=20/24</formula>
    </cfRule>
    <cfRule type="expression" dxfId="1780" priority="122">
      <formula>AND(B$9&gt;=14/24,B$9&lt;20/24)</formula>
    </cfRule>
    <cfRule type="expression" dxfId="1779" priority="123">
      <formula>AND(B$9&gt;=8/24,B$9&lt;14/24)</formula>
    </cfRule>
    <cfRule type="expression" dxfId="1778" priority="124">
      <formula>B$9&lt;8/24</formula>
    </cfRule>
  </conditionalFormatting>
  <conditionalFormatting sqref="B98">
    <cfRule type="expression" dxfId="1777" priority="117">
      <formula>B$9&gt;=20/24</formula>
    </cfRule>
    <cfRule type="expression" dxfId="1776" priority="118">
      <formula>AND(B$9&gt;=14/24,B$9&lt;20/24)</formula>
    </cfRule>
    <cfRule type="expression" dxfId="1775" priority="119">
      <formula>AND(B$9&gt;=8/24,B$9&lt;14/24)</formula>
    </cfRule>
    <cfRule type="expression" dxfId="1774" priority="120">
      <formula>B$9&lt;8/24</formula>
    </cfRule>
  </conditionalFormatting>
  <conditionalFormatting sqref="B26:V27 X26:AE27 AF27">
    <cfRule type="expression" dxfId="1773" priority="113">
      <formula>B$9&gt;=20/24</formula>
    </cfRule>
    <cfRule type="expression" dxfId="1772" priority="114">
      <formula>AND(B$9&gt;=14/24,B$9&lt;20/24)</formula>
    </cfRule>
    <cfRule type="expression" dxfId="1771" priority="115">
      <formula>AND(B$9&gt;=8/24,B$9&lt;14/24)</formula>
    </cfRule>
    <cfRule type="expression" dxfId="1770" priority="116">
      <formula>B$9&lt;8/24</formula>
    </cfRule>
  </conditionalFormatting>
  <conditionalFormatting sqref="B26:V27 X26:AE27 AF27">
    <cfRule type="expression" dxfId="1769" priority="112">
      <formula>B26&gt;$AG26</formula>
    </cfRule>
  </conditionalFormatting>
  <conditionalFormatting sqref="B24:V25 X24:AF25">
    <cfRule type="expression" dxfId="1768" priority="108">
      <formula>B$9&gt;=20/24</formula>
    </cfRule>
    <cfRule type="expression" dxfId="1767" priority="109">
      <formula>AND(B$9&gt;=14/24,B$9&lt;20/24)</formula>
    </cfRule>
    <cfRule type="expression" dxfId="1766" priority="110">
      <formula>AND(B$9&gt;=8/24,B$9&lt;14/24)</formula>
    </cfRule>
    <cfRule type="expression" dxfId="1765" priority="111">
      <formula>B$9&lt;8/24</formula>
    </cfRule>
  </conditionalFormatting>
  <conditionalFormatting sqref="B24:V25 X24:AF25">
    <cfRule type="expression" dxfId="1764" priority="107">
      <formula>B24&gt;$AG24</formula>
    </cfRule>
  </conditionalFormatting>
  <conditionalFormatting sqref="B28:V30 X28:AF30">
    <cfRule type="expression" dxfId="1763" priority="103">
      <formula>B$9&gt;=20/24</formula>
    </cfRule>
    <cfRule type="expression" dxfId="1762" priority="104">
      <formula>AND(B$9&gt;=14/24,B$9&lt;20/24)</formula>
    </cfRule>
    <cfRule type="expression" dxfId="1761" priority="105">
      <formula>AND(B$9&gt;=8/24,B$9&lt;14/24)</formula>
    </cfRule>
    <cfRule type="expression" dxfId="1760" priority="106">
      <formula>B$9&lt;8/24</formula>
    </cfRule>
  </conditionalFormatting>
  <conditionalFormatting sqref="B31:V32 B34:V34 X34:AF34 X31:AF32">
    <cfRule type="expression" dxfId="1759" priority="99">
      <formula>B$9&gt;=20/24</formula>
    </cfRule>
    <cfRule type="expression" dxfId="1758" priority="100">
      <formula>AND(B$9&gt;=14/24,B$9&lt;20/24)</formula>
    </cfRule>
    <cfRule type="expression" dxfId="1757" priority="101">
      <formula>AND(B$9&gt;=8/24,B$9&lt;14/24)</formula>
    </cfRule>
    <cfRule type="expression" dxfId="1756" priority="102">
      <formula>B$9&lt;8/24</formula>
    </cfRule>
  </conditionalFormatting>
  <conditionalFormatting sqref="B34:V35 B28:V32 X28:AF32 X34:AF35">
    <cfRule type="expression" dxfId="1755" priority="98">
      <formula>B28&gt;$AG28</formula>
    </cfRule>
  </conditionalFormatting>
  <conditionalFormatting sqref="B35:V35 X35:AF35">
    <cfRule type="expression" dxfId="1754" priority="94">
      <formula>B$9&gt;=20/24</formula>
    </cfRule>
    <cfRule type="expression" dxfId="1753" priority="95">
      <formula>AND(B$9&gt;=14/24,B$9&lt;20/24)</formula>
    </cfRule>
    <cfRule type="expression" dxfId="1752" priority="96">
      <formula>AND(B$9&gt;=8/24,B$9&lt;14/24)</formula>
    </cfRule>
    <cfRule type="expression" dxfId="1751" priority="97">
      <formula>B$9&lt;8/24</formula>
    </cfRule>
  </conditionalFormatting>
  <conditionalFormatting sqref="B35:V35 X35:AF35">
    <cfRule type="expression" dxfId="1750" priority="90">
      <formula>B$9&gt;=20/24</formula>
    </cfRule>
    <cfRule type="expression" dxfId="1749" priority="91">
      <formula>AND(B$9&gt;=14/24,B$9&lt;20/24)</formula>
    </cfRule>
    <cfRule type="expression" dxfId="1748" priority="92">
      <formula>AND(B$9&gt;=8/24,B$9&lt;14/24)</formula>
    </cfRule>
    <cfRule type="expression" dxfId="1747" priority="93">
      <formula>B$9&lt;8/24</formula>
    </cfRule>
  </conditionalFormatting>
  <conditionalFormatting sqref="B33:V33 X33:AF33">
    <cfRule type="expression" dxfId="1746" priority="86">
      <formula>B$9&gt;=20/24</formula>
    </cfRule>
    <cfRule type="expression" dxfId="1745" priority="87">
      <formula>AND(B$9&gt;=14/24,B$9&lt;20/24)</formula>
    </cfRule>
    <cfRule type="expression" dxfId="1744" priority="88">
      <formula>AND(B$9&gt;=8/24,B$9&lt;14/24)</formula>
    </cfRule>
    <cfRule type="expression" dxfId="1743" priority="89">
      <formula>B$9&lt;8/24</formula>
    </cfRule>
  </conditionalFormatting>
  <conditionalFormatting sqref="B33:V33 X33:AF33">
    <cfRule type="expression" dxfId="1742" priority="85">
      <formula>B33&gt;$AG33</formula>
    </cfRule>
  </conditionalFormatting>
  <conditionalFormatting sqref="W11:W35">
    <cfRule type="expression" dxfId="1741" priority="66">
      <formula>W$9&gt;=20/24</formula>
    </cfRule>
    <cfRule type="expression" dxfId="1740" priority="67">
      <formula>AND(W$9&gt;=14/24,W$9&lt;20/24)</formula>
    </cfRule>
    <cfRule type="expression" dxfId="1739" priority="68">
      <formula>AND(W$9&gt;=8/24,W$9&lt;14/24)</formula>
    </cfRule>
    <cfRule type="expression" dxfId="1738" priority="69">
      <formula>W$9&lt;8/24</formula>
    </cfRule>
  </conditionalFormatting>
  <conditionalFormatting sqref="W11:W35">
    <cfRule type="expression" dxfId="1737" priority="65">
      <formula>W11&gt;$AG11</formula>
    </cfRule>
  </conditionalFormatting>
  <conditionalFormatting sqref="W38:W49">
    <cfRule type="expression" dxfId="1736" priority="61">
      <formula>W$9&gt;=20/24</formula>
    </cfRule>
    <cfRule type="expression" dxfId="1735" priority="62">
      <formula>AND(W$9&gt;=14/24,W$9&lt;20/24)</formula>
    </cfRule>
    <cfRule type="expression" dxfId="1734" priority="63">
      <formula>AND(W$9&gt;=8/24,W$9&lt;14/24)</formula>
    </cfRule>
    <cfRule type="expression" dxfId="1733" priority="64">
      <formula>W$9&lt;8/24</formula>
    </cfRule>
  </conditionalFormatting>
  <conditionalFormatting sqref="W38:W49">
    <cfRule type="expression" dxfId="1732" priority="60">
      <formula>W38&gt;$AG38</formula>
    </cfRule>
  </conditionalFormatting>
  <conditionalFormatting sqref="W52:W54">
    <cfRule type="expression" dxfId="1731" priority="56">
      <formula>W$9&gt;=20/24</formula>
    </cfRule>
    <cfRule type="expression" dxfId="1730" priority="57">
      <formula>AND(W$9&gt;=14/24,W$9&lt;20/24)</formula>
    </cfRule>
    <cfRule type="expression" dxfId="1729" priority="58">
      <formula>AND(W$9&gt;=8/24,W$9&lt;14/24)</formula>
    </cfRule>
    <cfRule type="expression" dxfId="1728" priority="59">
      <formula>W$9&lt;8/24</formula>
    </cfRule>
  </conditionalFormatting>
  <conditionalFormatting sqref="W52:W54">
    <cfRule type="expression" dxfId="1727" priority="55">
      <formula>W52&gt;$AG52</formula>
    </cfRule>
  </conditionalFormatting>
  <conditionalFormatting sqref="W56:W66">
    <cfRule type="expression" dxfId="1726" priority="51">
      <formula>W$9&gt;=20/24</formula>
    </cfRule>
    <cfRule type="expression" dxfId="1725" priority="52">
      <formula>AND(W$9&gt;=14/24,W$9&lt;20/24)</formula>
    </cfRule>
    <cfRule type="expression" dxfId="1724" priority="53">
      <formula>AND(W$9&gt;=8/24,W$9&lt;14/24)</formula>
    </cfRule>
    <cfRule type="expression" dxfId="1723" priority="54">
      <formula>W$9&lt;8/24</formula>
    </cfRule>
  </conditionalFormatting>
  <conditionalFormatting sqref="W68:W71">
    <cfRule type="expression" dxfId="1722" priority="47">
      <formula>W$9&gt;=20/24</formula>
    </cfRule>
    <cfRule type="expression" dxfId="1721" priority="48">
      <formula>AND(W$9&gt;=14/24,W$9&lt;20/24)</formula>
    </cfRule>
    <cfRule type="expression" dxfId="1720" priority="49">
      <formula>AND(W$9&gt;=8/24,W$9&lt;14/24)</formula>
    </cfRule>
    <cfRule type="expression" dxfId="1719" priority="50">
      <formula>W$9&lt;8/24</formula>
    </cfRule>
  </conditionalFormatting>
  <conditionalFormatting sqref="W75:W79">
    <cfRule type="expression" dxfId="1718" priority="43">
      <formula>W$9&gt;=20/24</formula>
    </cfRule>
    <cfRule type="expression" dxfId="1717" priority="44">
      <formula>AND(W$9&gt;=14/24,W$9&lt;20/24)</formula>
    </cfRule>
    <cfRule type="expression" dxfId="1716" priority="45">
      <formula>AND(W$9&gt;=8/24,W$9&lt;14/24)</formula>
    </cfRule>
    <cfRule type="expression" dxfId="1715" priority="46">
      <formula>W$9&lt;8/24</formula>
    </cfRule>
  </conditionalFormatting>
  <conditionalFormatting sqref="W83:W90">
    <cfRule type="expression" dxfId="1714" priority="35">
      <formula>W$9&gt;=20/24</formula>
    </cfRule>
    <cfRule type="expression" dxfId="1713" priority="36">
      <formula>AND(W$9&gt;=14/24,W$9&lt;20/24)</formula>
    </cfRule>
    <cfRule type="expression" dxfId="1712" priority="37">
      <formula>AND(W$9&gt;=8/24,W$9&lt;14/24)</formula>
    </cfRule>
    <cfRule type="expression" dxfId="1711" priority="38">
      <formula>W$9&lt;8/24</formula>
    </cfRule>
  </conditionalFormatting>
  <conditionalFormatting sqref="W80">
    <cfRule type="expression" dxfId="1710" priority="31">
      <formula>W$9&gt;=20/24</formula>
    </cfRule>
    <cfRule type="expression" dxfId="1709" priority="32">
      <formula>AND(W$9&gt;=14/24,W$9&lt;20/24)</formula>
    </cfRule>
    <cfRule type="expression" dxfId="1708" priority="33">
      <formula>AND(W$9&gt;=8/24,W$9&lt;14/24)</formula>
    </cfRule>
    <cfRule type="expression" dxfId="1707" priority="34">
      <formula>W$9&lt;8/24</formula>
    </cfRule>
  </conditionalFormatting>
  <conditionalFormatting sqref="W81">
    <cfRule type="expression" dxfId="1706" priority="27">
      <formula>W$9&gt;=20/24</formula>
    </cfRule>
    <cfRule type="expression" dxfId="1705" priority="28">
      <formula>AND(W$9&gt;=14/24,W$9&lt;20/24)</formula>
    </cfRule>
    <cfRule type="expression" dxfId="1704" priority="29">
      <formula>AND(W$9&gt;=8/24,W$9&lt;14/24)</formula>
    </cfRule>
    <cfRule type="expression" dxfId="1703" priority="30">
      <formula>W$9&lt;8/24</formula>
    </cfRule>
  </conditionalFormatting>
  <conditionalFormatting sqref="W74">
    <cfRule type="expression" dxfId="1702" priority="23">
      <formula>W$9&gt;=20/24</formula>
    </cfRule>
    <cfRule type="expression" dxfId="1701" priority="24">
      <formula>AND(W$9&gt;=14/24,W$9&lt;20/24)</formula>
    </cfRule>
    <cfRule type="expression" dxfId="1700" priority="25">
      <formula>AND(W$9&gt;=8/24,W$9&lt;14/24)</formula>
    </cfRule>
    <cfRule type="expression" dxfId="1699" priority="26">
      <formula>W$9&lt;8/24</formula>
    </cfRule>
  </conditionalFormatting>
  <conditionalFormatting sqref="W73">
    <cfRule type="expression" dxfId="1698" priority="19">
      <formula>W$9&gt;=20/24</formula>
    </cfRule>
    <cfRule type="expression" dxfId="1697" priority="20">
      <formula>AND(W$9&gt;=14/24,W$9&lt;20/24)</formula>
    </cfRule>
    <cfRule type="expression" dxfId="1696" priority="21">
      <formula>AND(W$9&gt;=8/24,W$9&lt;14/24)</formula>
    </cfRule>
    <cfRule type="expression" dxfId="1695" priority="22">
      <formula>W$9&lt;8/24</formula>
    </cfRule>
  </conditionalFormatting>
  <conditionalFormatting sqref="W82">
    <cfRule type="expression" dxfId="1694" priority="15">
      <formula>W$9&gt;=20/24</formula>
    </cfRule>
    <cfRule type="expression" dxfId="1693" priority="16">
      <formula>AND(W$9&gt;=14/24,W$9&lt;20/24)</formula>
    </cfRule>
    <cfRule type="expression" dxfId="1692" priority="17">
      <formula>AND(W$9&gt;=8/24,W$9&lt;14/24)</formula>
    </cfRule>
    <cfRule type="expression" dxfId="1691" priority="18">
      <formula>W$9&lt;8/24</formula>
    </cfRule>
  </conditionalFormatting>
  <conditionalFormatting sqref="W50">
    <cfRule type="expression" dxfId="1690" priority="14">
      <formula>W50&gt;$AG50</formula>
    </cfRule>
  </conditionalFormatting>
  <conditionalFormatting sqref="W37">
    <cfRule type="expression" dxfId="1689" priority="13">
      <formula>W37&gt;$AG37</formula>
    </cfRule>
  </conditionalFormatting>
  <conditionalFormatting sqref="Z93:Z96">
    <cfRule type="expression" dxfId="1688" priority="9">
      <formula>Z$9&gt;=20/24</formula>
    </cfRule>
    <cfRule type="expression" dxfId="1687" priority="10">
      <formula>AND(Z$9&gt;=14/24,Z$9&lt;20/24)</formula>
    </cfRule>
    <cfRule type="expression" dxfId="1686" priority="11">
      <formula>AND(Z$9&gt;=8/24,Z$9&lt;14/24)</formula>
    </cfRule>
    <cfRule type="expression" dxfId="1685" priority="12">
      <formula>Z$9&lt;8/24</formula>
    </cfRule>
  </conditionalFormatting>
  <conditionalFormatting sqref="Z97">
    <cfRule type="expression" dxfId="1684" priority="5">
      <formula>Z$9&gt;=20/24</formula>
    </cfRule>
    <cfRule type="expression" dxfId="1683" priority="6">
      <formula>AND(Z$9&gt;=14/24,Z$9&lt;20/24)</formula>
    </cfRule>
    <cfRule type="expression" dxfId="1682" priority="7">
      <formula>AND(Z$9&gt;=8/24,Z$9&lt;14/24)</formula>
    </cfRule>
    <cfRule type="expression" dxfId="1681" priority="8">
      <formula>Z$9&lt;8/24</formula>
    </cfRule>
  </conditionalFormatting>
  <conditionalFormatting sqref="Z98">
    <cfRule type="expression" dxfId="1680" priority="1">
      <formula>Z$9&gt;=20/24</formula>
    </cfRule>
    <cfRule type="expression" dxfId="1679" priority="2">
      <formula>AND(Z$9&gt;=14/24,Z$9&lt;20/24)</formula>
    </cfRule>
    <cfRule type="expression" dxfId="1678" priority="3">
      <formula>AND(Z$9&gt;=8/24,Z$9&lt;14/24)</formula>
    </cfRule>
    <cfRule type="expression" dxfId="1677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22" sqref="AJ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2078/07/27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J4" s="1" t="s">
        <v>265</v>
      </c>
      <c r="AK4">
        <v>210</v>
      </c>
      <c r="AL4">
        <v>140</v>
      </c>
      <c r="AM4">
        <f t="shared" ref="AM4:AM9" si="0">AK4-AL4</f>
        <v>70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-58.6</v>
      </c>
      <c r="C5" s="32">
        <f t="shared" ref="C5:AF5" si="1">C67</f>
        <v>-54.7</v>
      </c>
      <c r="D5" s="32">
        <f t="shared" si="1"/>
        <v>-74</v>
      </c>
      <c r="E5" s="32">
        <f t="shared" si="1"/>
        <v>-67</v>
      </c>
      <c r="F5" s="32">
        <f t="shared" si="1"/>
        <v>-67.3</v>
      </c>
      <c r="G5" s="32">
        <f t="shared" si="1"/>
        <v>-58.4</v>
      </c>
      <c r="H5" s="32">
        <f t="shared" si="1"/>
        <v>-60.5</v>
      </c>
      <c r="I5" s="32">
        <f t="shared" si="1"/>
        <v>-50.7</v>
      </c>
      <c r="J5" s="32">
        <f t="shared" si="1"/>
        <v>-60.6</v>
      </c>
      <c r="K5" s="32">
        <f t="shared" si="1"/>
        <v>-60.7</v>
      </c>
      <c r="L5" s="32">
        <f t="shared" si="1"/>
        <v>-58.2</v>
      </c>
      <c r="M5" s="32">
        <f t="shared" si="1"/>
        <v>-62</v>
      </c>
      <c r="N5" s="32">
        <f t="shared" si="1"/>
        <v>-92</v>
      </c>
      <c r="O5" s="32">
        <f t="shared" si="1"/>
        <v>-53.5</v>
      </c>
      <c r="P5" s="32">
        <f t="shared" si="1"/>
        <v>-60.6</v>
      </c>
      <c r="Q5" s="32">
        <f t="shared" si="1"/>
        <v>-48</v>
      </c>
      <c r="R5" s="32">
        <f t="shared" si="1"/>
        <v>-84</v>
      </c>
      <c r="S5" s="32">
        <f t="shared" si="1"/>
        <v>-64</v>
      </c>
      <c r="T5" s="32">
        <f t="shared" si="1"/>
        <v>-64</v>
      </c>
      <c r="U5" s="32">
        <f t="shared" si="1"/>
        <v>-56</v>
      </c>
      <c r="V5" s="32">
        <f t="shared" si="1"/>
        <v>-40</v>
      </c>
      <c r="W5" s="32">
        <f t="shared" si="1"/>
        <v>-57</v>
      </c>
      <c r="X5" s="32">
        <f t="shared" si="1"/>
        <v>-93.6</v>
      </c>
      <c r="Y5" s="32">
        <f t="shared" si="1"/>
        <v>-98.2</v>
      </c>
      <c r="Z5" s="32">
        <f t="shared" si="1"/>
        <v>-88</v>
      </c>
      <c r="AA5" s="32">
        <f t="shared" si="1"/>
        <v>-57.4</v>
      </c>
      <c r="AB5" s="32">
        <f t="shared" si="1"/>
        <v>-54.8</v>
      </c>
      <c r="AC5" s="32">
        <f t="shared" si="1"/>
        <v>-88</v>
      </c>
      <c r="AD5" s="32">
        <f t="shared" si="1"/>
        <v>-70.5</v>
      </c>
      <c r="AE5" s="32">
        <f t="shared" si="1"/>
        <v>-60</v>
      </c>
      <c r="AF5" s="32">
        <f t="shared" si="1"/>
        <v>-55.6</v>
      </c>
      <c r="AG5" s="24"/>
      <c r="AH5" s="13"/>
      <c r="AI5" s="14"/>
      <c r="AM5">
        <f t="shared" si="0"/>
        <v>0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1048MW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J6" s="1" t="s">
        <v>201</v>
      </c>
      <c r="AK6">
        <v>144</v>
      </c>
      <c r="AL6">
        <v>130</v>
      </c>
      <c r="AM6">
        <f t="shared" si="0"/>
        <v>14</v>
      </c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Load=730</v>
      </c>
      <c r="B7" s="37">
        <f t="shared" ref="B7:AF7" si="2">B74</f>
        <v>750.93999999999994</v>
      </c>
      <c r="C7" s="37">
        <f t="shared" si="2"/>
        <v>759.13999999999987</v>
      </c>
      <c r="D7" s="37">
        <f t="shared" si="2"/>
        <v>729.53999999999985</v>
      </c>
      <c r="E7" s="37">
        <f t="shared" si="2"/>
        <v>736.93999999999983</v>
      </c>
      <c r="F7" s="37">
        <f t="shared" si="2"/>
        <v>802.93999999999983</v>
      </c>
      <c r="G7" s="37">
        <f t="shared" si="2"/>
        <v>849.13999999999987</v>
      </c>
      <c r="H7" s="37">
        <f t="shared" si="2"/>
        <v>910.24</v>
      </c>
      <c r="I7" s="37">
        <f t="shared" si="2"/>
        <v>943.83999999999992</v>
      </c>
      <c r="J7" s="37">
        <f t="shared" si="2"/>
        <v>1000.84</v>
      </c>
      <c r="K7" s="37">
        <f t="shared" si="2"/>
        <v>1039.3400000000001</v>
      </c>
      <c r="L7" s="37">
        <f>L74</f>
        <v>1047.6400000000001</v>
      </c>
      <c r="M7" s="37">
        <f t="shared" si="2"/>
        <v>1043.8400000000001</v>
      </c>
      <c r="N7" s="37">
        <f t="shared" si="2"/>
        <v>955.24000000000012</v>
      </c>
      <c r="O7" s="37">
        <f t="shared" si="2"/>
        <v>949.33999999999992</v>
      </c>
      <c r="P7" s="37">
        <f t="shared" si="2"/>
        <v>916.74</v>
      </c>
      <c r="Q7" s="37">
        <f t="shared" si="2"/>
        <v>902.04</v>
      </c>
      <c r="R7" s="37">
        <f t="shared" si="2"/>
        <v>835.14</v>
      </c>
      <c r="S7" s="37">
        <f t="shared" si="2"/>
        <v>835.64</v>
      </c>
      <c r="T7" s="37">
        <f t="shared" si="2"/>
        <v>868.84</v>
      </c>
      <c r="U7" s="37">
        <f t="shared" si="2"/>
        <v>939.84</v>
      </c>
      <c r="V7" s="37">
        <f t="shared" si="2"/>
        <v>1123.94</v>
      </c>
      <c r="W7" s="37">
        <f t="shared" si="2"/>
        <v>1226.44</v>
      </c>
      <c r="X7" s="37">
        <f t="shared" si="2"/>
        <v>1189.8400000000001</v>
      </c>
      <c r="Y7" s="37">
        <f t="shared" si="2"/>
        <v>1145.24</v>
      </c>
      <c r="Z7" s="37">
        <f t="shared" si="2"/>
        <v>1057.8400000000001</v>
      </c>
      <c r="AA7" s="37">
        <f t="shared" si="2"/>
        <v>1048.74</v>
      </c>
      <c r="AB7" s="37">
        <f t="shared" si="2"/>
        <v>982.64</v>
      </c>
      <c r="AC7" s="37">
        <f t="shared" si="2"/>
        <v>888.44</v>
      </c>
      <c r="AD7" s="37">
        <f t="shared" si="2"/>
        <v>772.54</v>
      </c>
      <c r="AE7" s="37">
        <f t="shared" si="2"/>
        <v>769.84</v>
      </c>
      <c r="AF7" s="37">
        <f t="shared" si="2"/>
        <v>747.74</v>
      </c>
      <c r="AG7" s="38"/>
      <c r="AH7" s="56">
        <f>MAX(B7:AF7)</f>
        <v>1226.44</v>
      </c>
      <c r="AI7" s="57">
        <f>MIN(B7:AF7)</f>
        <v>729.53999999999985</v>
      </c>
      <c r="AJ7" s="1" t="s">
        <v>202</v>
      </c>
      <c r="AK7">
        <v>70</v>
      </c>
      <c r="AL7">
        <v>70</v>
      </c>
      <c r="AM7">
        <f t="shared" si="0"/>
        <v>0</v>
      </c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J8" s="1" t="s">
        <v>266</v>
      </c>
      <c r="AK8">
        <v>30</v>
      </c>
      <c r="AL8">
        <v>30</v>
      </c>
      <c r="AM8">
        <f t="shared" si="0"/>
        <v>0</v>
      </c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J9" s="1" t="s">
        <v>265</v>
      </c>
      <c r="AK9">
        <v>60</v>
      </c>
      <c r="AL9">
        <v>60</v>
      </c>
      <c r="AM9">
        <f t="shared" si="0"/>
        <v>0</v>
      </c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70</v>
      </c>
      <c r="D11" s="49">
        <v>60</v>
      </c>
      <c r="E11" s="49">
        <v>60</v>
      </c>
      <c r="F11" s="49">
        <v>80</v>
      </c>
      <c r="G11" s="49">
        <v>100</v>
      </c>
      <c r="H11" s="49">
        <v>140</v>
      </c>
      <c r="I11" s="49">
        <v>120</v>
      </c>
      <c r="J11" s="49">
        <v>140</v>
      </c>
      <c r="K11" s="49">
        <v>140</v>
      </c>
      <c r="L11" s="50">
        <v>160</v>
      </c>
      <c r="M11" s="50">
        <v>160</v>
      </c>
      <c r="N11" s="50">
        <v>160</v>
      </c>
      <c r="O11" s="50">
        <v>160</v>
      </c>
      <c r="P11" s="50">
        <v>160</v>
      </c>
      <c r="Q11" s="51">
        <v>130</v>
      </c>
      <c r="R11" s="52">
        <v>130</v>
      </c>
      <c r="S11" s="52">
        <v>130</v>
      </c>
      <c r="T11" s="52">
        <v>130</v>
      </c>
      <c r="U11" s="52">
        <v>130</v>
      </c>
      <c r="V11" s="52">
        <v>180</v>
      </c>
      <c r="W11" s="52">
        <v>300</v>
      </c>
      <c r="X11" s="52">
        <v>300</v>
      </c>
      <c r="Y11" s="53">
        <v>260</v>
      </c>
      <c r="Z11" s="54">
        <v>180</v>
      </c>
      <c r="AA11" s="54">
        <v>150</v>
      </c>
      <c r="AB11" s="54">
        <v>130</v>
      </c>
      <c r="AC11" s="54">
        <v>80</v>
      </c>
      <c r="AD11" s="54">
        <v>60</v>
      </c>
      <c r="AE11" s="54">
        <v>60</v>
      </c>
      <c r="AF11" s="54">
        <v>60</v>
      </c>
      <c r="AG11" s="55">
        <v>456</v>
      </c>
      <c r="AH11" s="56">
        <f>MAX(B11:AF11)</f>
        <v>300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49">
        <v>60</v>
      </c>
      <c r="V12" s="49">
        <v>60</v>
      </c>
      <c r="W12" s="49">
        <v>60</v>
      </c>
      <c r="X12" s="49">
        <v>60</v>
      </c>
      <c r="Y12" s="49">
        <v>60</v>
      </c>
      <c r="Z12" s="49">
        <v>60</v>
      </c>
      <c r="AA12" s="49">
        <v>60</v>
      </c>
      <c r="AB12" s="49">
        <v>60</v>
      </c>
      <c r="AC12" s="49">
        <v>60</v>
      </c>
      <c r="AD12" s="49">
        <v>60</v>
      </c>
      <c r="AE12" s="49">
        <v>60</v>
      </c>
      <c r="AF12" s="49">
        <v>60</v>
      </c>
      <c r="AG12" s="61">
        <v>60</v>
      </c>
      <c r="AH12" s="56">
        <f t="shared" ref="AH12:AH77" si="3">MAX(B12:AF12)</f>
        <v>60</v>
      </c>
      <c r="AI12" s="57">
        <f t="shared" ref="AI12:AI77" si="4">MIN(B12:AF12)</f>
        <v>60</v>
      </c>
      <c r="AK12">
        <f>SUM(AM4:AM9)</f>
        <v>84</v>
      </c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42</v>
      </c>
      <c r="C13" s="49">
        <v>42</v>
      </c>
      <c r="D13" s="49">
        <v>42</v>
      </c>
      <c r="E13" s="49">
        <v>42</v>
      </c>
      <c r="F13" s="49">
        <v>42</v>
      </c>
      <c r="G13" s="49">
        <v>42</v>
      </c>
      <c r="H13" s="49">
        <v>42</v>
      </c>
      <c r="I13" s="49">
        <v>42</v>
      </c>
      <c r="J13" s="49">
        <v>42</v>
      </c>
      <c r="K13" s="49">
        <v>42</v>
      </c>
      <c r="L13" s="49">
        <v>42</v>
      </c>
      <c r="M13" s="49">
        <v>42</v>
      </c>
      <c r="N13" s="49">
        <v>42</v>
      </c>
      <c r="O13" s="49">
        <v>42</v>
      </c>
      <c r="P13" s="49">
        <v>42</v>
      </c>
      <c r="Q13" s="49">
        <v>42</v>
      </c>
      <c r="R13" s="49">
        <v>36</v>
      </c>
      <c r="S13" s="60">
        <v>36</v>
      </c>
      <c r="T13" s="60">
        <v>36</v>
      </c>
      <c r="U13" s="60">
        <v>36</v>
      </c>
      <c r="V13" s="60">
        <v>36</v>
      </c>
      <c r="W13" s="60">
        <v>36</v>
      </c>
      <c r="X13" s="60">
        <v>36</v>
      </c>
      <c r="Y13" s="60">
        <v>36</v>
      </c>
      <c r="Z13" s="60">
        <v>36</v>
      </c>
      <c r="AA13" s="60">
        <v>36</v>
      </c>
      <c r="AB13" s="60">
        <v>36</v>
      </c>
      <c r="AC13" s="60">
        <v>36</v>
      </c>
      <c r="AD13" s="60">
        <v>36</v>
      </c>
      <c r="AE13" s="60">
        <v>36</v>
      </c>
      <c r="AF13" s="60">
        <v>36</v>
      </c>
      <c r="AG13" s="61">
        <v>52.4</v>
      </c>
      <c r="AH13" s="56">
        <f t="shared" si="3"/>
        <v>42</v>
      </c>
      <c r="AI13" s="57">
        <f t="shared" si="4"/>
        <v>36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25.4</v>
      </c>
      <c r="C14" s="49">
        <v>25.4</v>
      </c>
      <c r="D14" s="49">
        <v>25.4</v>
      </c>
      <c r="E14" s="49">
        <v>25.4</v>
      </c>
      <c r="F14" s="49">
        <v>25.4</v>
      </c>
      <c r="G14" s="49">
        <v>25.4</v>
      </c>
      <c r="H14" s="49">
        <v>25.4</v>
      </c>
      <c r="I14" s="49">
        <v>25.4</v>
      </c>
      <c r="J14" s="49">
        <v>25.4</v>
      </c>
      <c r="K14" s="49">
        <v>25.4</v>
      </c>
      <c r="L14" s="50">
        <v>25.3</v>
      </c>
      <c r="M14" s="50">
        <v>25.3</v>
      </c>
      <c r="N14" s="50">
        <v>25.6</v>
      </c>
      <c r="O14" s="50">
        <v>25.4</v>
      </c>
      <c r="P14" s="50">
        <v>25</v>
      </c>
      <c r="Q14" s="50">
        <v>25</v>
      </c>
      <c r="R14" s="50">
        <v>25</v>
      </c>
      <c r="S14" s="50">
        <v>25</v>
      </c>
      <c r="T14" s="50">
        <v>25</v>
      </c>
      <c r="U14" s="50">
        <v>25</v>
      </c>
      <c r="V14" s="50">
        <v>25</v>
      </c>
      <c r="W14" s="50">
        <v>25</v>
      </c>
      <c r="X14" s="50">
        <v>25</v>
      </c>
      <c r="Y14" s="50">
        <v>25</v>
      </c>
      <c r="Z14" s="50">
        <v>25</v>
      </c>
      <c r="AA14" s="50">
        <v>25</v>
      </c>
      <c r="AB14" s="50">
        <v>25</v>
      </c>
      <c r="AC14" s="50">
        <v>25</v>
      </c>
      <c r="AD14" s="50">
        <v>25</v>
      </c>
      <c r="AE14" s="50">
        <v>25</v>
      </c>
      <c r="AF14" s="50">
        <v>25</v>
      </c>
      <c r="AG14" s="61">
        <v>50</v>
      </c>
      <c r="AH14" s="56">
        <f t="shared" si="3"/>
        <v>25.6</v>
      </c>
      <c r="AI14" s="57">
        <f t="shared" si="4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40</v>
      </c>
      <c r="C15" s="63">
        <v>40</v>
      </c>
      <c r="D15" s="63">
        <v>40</v>
      </c>
      <c r="E15" s="63">
        <v>40</v>
      </c>
      <c r="F15" s="63">
        <v>40</v>
      </c>
      <c r="G15" s="63">
        <v>40</v>
      </c>
      <c r="H15" s="63">
        <v>40</v>
      </c>
      <c r="I15" s="63">
        <v>40</v>
      </c>
      <c r="J15" s="63">
        <v>40</v>
      </c>
      <c r="K15" s="63">
        <v>40</v>
      </c>
      <c r="L15" s="50">
        <v>39.799999999999997</v>
      </c>
      <c r="M15" s="50">
        <v>39.799999999999997</v>
      </c>
      <c r="N15" s="50">
        <v>40</v>
      </c>
      <c r="O15" s="50">
        <v>39.200000000000003</v>
      </c>
      <c r="P15" s="50">
        <v>39.6</v>
      </c>
      <c r="Q15" s="50">
        <v>40</v>
      </c>
      <c r="R15" s="50">
        <v>40</v>
      </c>
      <c r="S15" s="50">
        <v>40</v>
      </c>
      <c r="T15" s="50">
        <v>40</v>
      </c>
      <c r="U15" s="50">
        <v>40</v>
      </c>
      <c r="V15" s="50">
        <v>40</v>
      </c>
      <c r="W15" s="50">
        <v>40</v>
      </c>
      <c r="X15" s="50">
        <v>40</v>
      </c>
      <c r="Y15" s="50">
        <v>40</v>
      </c>
      <c r="Z15" s="50">
        <v>40</v>
      </c>
      <c r="AA15" s="50">
        <v>40</v>
      </c>
      <c r="AB15" s="50">
        <v>40</v>
      </c>
      <c r="AC15" s="50">
        <v>40</v>
      </c>
      <c r="AD15" s="50">
        <v>40</v>
      </c>
      <c r="AE15" s="50">
        <v>40</v>
      </c>
      <c r="AF15" s="50">
        <v>40</v>
      </c>
      <c r="AG15" s="64">
        <v>45</v>
      </c>
      <c r="AH15" s="56">
        <f t="shared" si="3"/>
        <v>40</v>
      </c>
      <c r="AI15" s="57">
        <f t="shared" si="4"/>
        <v>39.200000000000003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23</v>
      </c>
      <c r="J16" s="49">
        <v>23</v>
      </c>
      <c r="K16" s="49">
        <v>23</v>
      </c>
      <c r="L16" s="50">
        <v>23</v>
      </c>
      <c r="M16" s="50">
        <v>23</v>
      </c>
      <c r="N16" s="50">
        <v>23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23</v>
      </c>
      <c r="U16" s="65">
        <v>23</v>
      </c>
      <c r="V16" s="65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3"/>
        <v>23</v>
      </c>
      <c r="AI16" s="57">
        <f t="shared" si="4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23</v>
      </c>
      <c r="C17" s="49">
        <v>23</v>
      </c>
      <c r="D17" s="49">
        <v>23</v>
      </c>
      <c r="E17" s="49">
        <v>23</v>
      </c>
      <c r="F17" s="49">
        <v>23</v>
      </c>
      <c r="G17" s="49">
        <v>23</v>
      </c>
      <c r="H17" s="49">
        <v>23</v>
      </c>
      <c r="I17" s="49">
        <v>23</v>
      </c>
      <c r="J17" s="49">
        <v>23</v>
      </c>
      <c r="K17" s="49">
        <v>23</v>
      </c>
      <c r="L17" s="50">
        <v>23</v>
      </c>
      <c r="M17" s="50">
        <v>23</v>
      </c>
      <c r="N17" s="50">
        <v>23</v>
      </c>
      <c r="O17" s="50">
        <v>23</v>
      </c>
      <c r="P17" s="50">
        <v>23</v>
      </c>
      <c r="Q17" s="50">
        <v>23</v>
      </c>
      <c r="R17" s="50">
        <v>23</v>
      </c>
      <c r="S17" s="50">
        <v>23</v>
      </c>
      <c r="T17" s="50">
        <v>23</v>
      </c>
      <c r="U17" s="50">
        <v>23</v>
      </c>
      <c r="V17" s="50">
        <v>23</v>
      </c>
      <c r="W17" s="50">
        <v>23</v>
      </c>
      <c r="X17" s="50">
        <v>23</v>
      </c>
      <c r="Y17" s="50">
        <v>23</v>
      </c>
      <c r="Z17" s="50">
        <v>23</v>
      </c>
      <c r="AA17" s="50">
        <v>23</v>
      </c>
      <c r="AB17" s="50">
        <v>23</v>
      </c>
      <c r="AC17" s="50">
        <v>23</v>
      </c>
      <c r="AD17" s="50">
        <v>23</v>
      </c>
      <c r="AE17" s="50">
        <v>23</v>
      </c>
      <c r="AF17" s="50">
        <v>23</v>
      </c>
      <c r="AG17" s="61">
        <v>42</v>
      </c>
      <c r="AH17" s="56">
        <f t="shared" si="3"/>
        <v>23</v>
      </c>
      <c r="AI17" s="57">
        <f t="shared" si="4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3"/>
        <v>20</v>
      </c>
      <c r="AI18" s="57">
        <f t="shared" si="4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22.6</v>
      </c>
      <c r="C19" s="49">
        <v>22.6</v>
      </c>
      <c r="D19" s="49">
        <v>22.6</v>
      </c>
      <c r="E19" s="49">
        <v>22.6</v>
      </c>
      <c r="F19" s="49">
        <v>22.6</v>
      </c>
      <c r="G19" s="49">
        <v>22.6</v>
      </c>
      <c r="H19" s="49">
        <v>22.6</v>
      </c>
      <c r="I19" s="49">
        <v>22.6</v>
      </c>
      <c r="J19" s="49">
        <v>22.6</v>
      </c>
      <c r="K19" s="49">
        <v>22.6</v>
      </c>
      <c r="L19" s="50">
        <v>22.1</v>
      </c>
      <c r="M19" s="50">
        <v>22.1</v>
      </c>
      <c r="N19" s="50">
        <v>22.1</v>
      </c>
      <c r="O19" s="50">
        <v>22.1</v>
      </c>
      <c r="P19" s="50">
        <v>22</v>
      </c>
      <c r="Q19" s="50">
        <v>22</v>
      </c>
      <c r="R19" s="50">
        <v>22</v>
      </c>
      <c r="S19" s="50">
        <v>22</v>
      </c>
      <c r="T19" s="50">
        <v>22</v>
      </c>
      <c r="U19" s="50">
        <v>22</v>
      </c>
      <c r="V19" s="50">
        <v>22</v>
      </c>
      <c r="W19" s="50">
        <v>22</v>
      </c>
      <c r="X19" s="50">
        <v>22</v>
      </c>
      <c r="Y19" s="50">
        <v>22</v>
      </c>
      <c r="Z19" s="50">
        <v>22</v>
      </c>
      <c r="AA19" s="50">
        <v>22</v>
      </c>
      <c r="AB19" s="50">
        <v>22</v>
      </c>
      <c r="AC19" s="50">
        <v>22</v>
      </c>
      <c r="AD19" s="50">
        <v>22</v>
      </c>
      <c r="AE19" s="50">
        <v>22</v>
      </c>
      <c r="AF19" s="50">
        <v>22</v>
      </c>
      <c r="AG19" s="61">
        <v>30</v>
      </c>
      <c r="AH19" s="56">
        <f t="shared" si="3"/>
        <v>22.6</v>
      </c>
      <c r="AI19" s="57">
        <f t="shared" si="4"/>
        <v>22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3"/>
        <v>6.2</v>
      </c>
      <c r="AI20" s="57">
        <f t="shared" si="4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3"/>
        <v>11</v>
      </c>
      <c r="AI21" s="57">
        <f t="shared" si="4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3"/>
        <v>22</v>
      </c>
      <c r="AI22" s="57">
        <f t="shared" si="4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10</v>
      </c>
      <c r="C23" s="49">
        <v>10</v>
      </c>
      <c r="D23" s="49">
        <v>10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10</v>
      </c>
      <c r="L23" s="50">
        <v>10</v>
      </c>
      <c r="M23" s="50">
        <v>10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61">
        <v>25</v>
      </c>
      <c r="AH23" s="56">
        <f t="shared" si="3"/>
        <v>10</v>
      </c>
      <c r="AI23" s="57">
        <f t="shared" si="4"/>
        <v>10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16</v>
      </c>
      <c r="C24" s="49">
        <v>16</v>
      </c>
      <c r="D24" s="49">
        <v>16</v>
      </c>
      <c r="E24" s="49">
        <v>16</v>
      </c>
      <c r="F24" s="49">
        <v>16</v>
      </c>
      <c r="G24" s="49">
        <v>16</v>
      </c>
      <c r="H24" s="49">
        <v>16</v>
      </c>
      <c r="I24" s="49">
        <v>16</v>
      </c>
      <c r="J24" s="49">
        <v>16</v>
      </c>
      <c r="K24" s="49">
        <v>16</v>
      </c>
      <c r="L24" s="50">
        <v>16</v>
      </c>
      <c r="M24" s="50">
        <v>16</v>
      </c>
      <c r="N24" s="50">
        <v>16</v>
      </c>
      <c r="O24" s="50">
        <v>16</v>
      </c>
      <c r="P24" s="50">
        <v>16</v>
      </c>
      <c r="Q24" s="50">
        <v>16</v>
      </c>
      <c r="R24" s="50">
        <v>16</v>
      </c>
      <c r="S24" s="50">
        <v>16</v>
      </c>
      <c r="T24" s="50">
        <v>16</v>
      </c>
      <c r="U24" s="50">
        <v>16</v>
      </c>
      <c r="V24" s="50">
        <v>16</v>
      </c>
      <c r="W24" s="50">
        <v>16</v>
      </c>
      <c r="X24" s="50">
        <v>16</v>
      </c>
      <c r="Y24" s="50">
        <v>16</v>
      </c>
      <c r="Z24" s="50">
        <v>16</v>
      </c>
      <c r="AA24" s="50">
        <v>16</v>
      </c>
      <c r="AB24" s="50">
        <v>16</v>
      </c>
      <c r="AC24" s="50">
        <v>16</v>
      </c>
      <c r="AD24" s="50">
        <v>16</v>
      </c>
      <c r="AE24" s="50">
        <v>16</v>
      </c>
      <c r="AF24" s="50">
        <v>16</v>
      </c>
      <c r="AG24" s="61">
        <v>25</v>
      </c>
      <c r="AH24" s="56">
        <f t="shared" si="3"/>
        <v>16</v>
      </c>
      <c r="AI24" s="57">
        <f t="shared" si="4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21.5</v>
      </c>
      <c r="C25" s="49">
        <v>21.5</v>
      </c>
      <c r="D25" s="49">
        <v>21.5</v>
      </c>
      <c r="E25" s="49">
        <v>21.5</v>
      </c>
      <c r="F25" s="49">
        <v>21.5</v>
      </c>
      <c r="G25" s="49">
        <v>21.5</v>
      </c>
      <c r="H25" s="49">
        <v>21.5</v>
      </c>
      <c r="I25" s="49">
        <v>21.5</v>
      </c>
      <c r="J25" s="49">
        <v>21.5</v>
      </c>
      <c r="K25" s="49">
        <v>21.5</v>
      </c>
      <c r="L25" s="50">
        <v>21.5</v>
      </c>
      <c r="M25" s="50">
        <v>21.5</v>
      </c>
      <c r="N25" s="50">
        <v>21.5</v>
      </c>
      <c r="O25" s="50">
        <v>21.5</v>
      </c>
      <c r="P25" s="50">
        <v>21.5</v>
      </c>
      <c r="Q25" s="50">
        <v>21.5</v>
      </c>
      <c r="R25" s="50">
        <v>21.5</v>
      </c>
      <c r="S25" s="50">
        <v>21.5</v>
      </c>
      <c r="T25" s="50">
        <v>21.5</v>
      </c>
      <c r="U25" s="50">
        <v>21.5</v>
      </c>
      <c r="V25" s="50">
        <v>21.5</v>
      </c>
      <c r="W25" s="50">
        <v>21.5</v>
      </c>
      <c r="X25" s="50">
        <v>21.5</v>
      </c>
      <c r="Y25" s="50">
        <v>21.5</v>
      </c>
      <c r="Z25" s="50">
        <v>21.5</v>
      </c>
      <c r="AA25" s="50">
        <v>21.5</v>
      </c>
      <c r="AB25" s="50">
        <v>21.5</v>
      </c>
      <c r="AC25" s="50">
        <v>21.5</v>
      </c>
      <c r="AD25" s="50">
        <v>21.5</v>
      </c>
      <c r="AE25" s="50">
        <v>21.5</v>
      </c>
      <c r="AF25" s="50">
        <v>21.5</v>
      </c>
      <c r="AG25" s="61">
        <v>24.2</v>
      </c>
      <c r="AH25" s="56">
        <f t="shared" si="3"/>
        <v>21.5</v>
      </c>
      <c r="AI25" s="57">
        <f t="shared" si="4"/>
        <v>21.5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8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50">
        <v>4</v>
      </c>
      <c r="M26" s="50">
        <v>4</v>
      </c>
      <c r="N26" s="50">
        <v>4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61">
        <v>20</v>
      </c>
      <c r="AH26" s="56">
        <f>MAX(B26:AF26)</f>
        <v>8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10</v>
      </c>
      <c r="C27" s="49">
        <v>10</v>
      </c>
      <c r="D27" s="49">
        <v>10</v>
      </c>
      <c r="E27" s="49">
        <v>10</v>
      </c>
      <c r="F27" s="49">
        <v>10</v>
      </c>
      <c r="G27" s="49">
        <v>10</v>
      </c>
      <c r="H27" s="49">
        <v>10</v>
      </c>
      <c r="I27" s="49">
        <v>10</v>
      </c>
      <c r="J27" s="49">
        <v>10</v>
      </c>
      <c r="K27" s="49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1">
        <v>23.5</v>
      </c>
      <c r="AH27" s="56">
        <f t="shared" si="3"/>
        <v>10</v>
      </c>
      <c r="AI27" s="57">
        <f t="shared" si="4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50">
        <v>5</v>
      </c>
      <c r="M28" s="50">
        <v>5</v>
      </c>
      <c r="N28" s="50">
        <v>5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61">
        <v>22.2</v>
      </c>
      <c r="AH28" s="56">
        <f t="shared" si="3"/>
        <v>5</v>
      </c>
      <c r="AI28" s="57">
        <f t="shared" si="4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3"/>
        <v>0</v>
      </c>
      <c r="AI29" s="57">
        <f t="shared" si="4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3"/>
        <v>12</v>
      </c>
      <c r="AI30" s="57">
        <f t="shared" si="4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3"/>
        <v>0</v>
      </c>
      <c r="AI31" s="57">
        <f t="shared" si="4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3"/>
        <v>0</v>
      </c>
      <c r="AI32" s="57">
        <f t="shared" si="4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9.9</v>
      </c>
      <c r="C33" s="63">
        <v>9.9</v>
      </c>
      <c r="D33" s="63">
        <v>9.9</v>
      </c>
      <c r="E33" s="63">
        <v>9.9</v>
      </c>
      <c r="F33" s="63">
        <v>9.9</v>
      </c>
      <c r="G33" s="63">
        <v>9.9</v>
      </c>
      <c r="H33" s="63">
        <v>9.9</v>
      </c>
      <c r="I33" s="63">
        <v>9.9</v>
      </c>
      <c r="J33" s="63">
        <v>9.9</v>
      </c>
      <c r="K33" s="63">
        <v>9.9</v>
      </c>
      <c r="L33" s="50">
        <v>9.9</v>
      </c>
      <c r="M33" s="50">
        <v>9.9</v>
      </c>
      <c r="N33" s="50">
        <v>9.9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9">
        <v>20</v>
      </c>
      <c r="AH33" s="56">
        <f t="shared" si="3"/>
        <v>9.9</v>
      </c>
      <c r="AI33" s="57">
        <f t="shared" si="4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3"/>
        <v>0</v>
      </c>
      <c r="AI34" s="57">
        <f t="shared" si="4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221</v>
      </c>
      <c r="H35" s="63">
        <v>221</v>
      </c>
      <c r="I35" s="63">
        <v>221</v>
      </c>
      <c r="J35" s="63">
        <v>221</v>
      </c>
      <c r="K35" s="63">
        <v>221</v>
      </c>
      <c r="L35" s="63">
        <v>221</v>
      </c>
      <c r="M35" s="63">
        <v>221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3"/>
        <v>221</v>
      </c>
      <c r="AI35" s="57">
        <f t="shared" si="4"/>
        <v>220</v>
      </c>
      <c r="AK35" s="58"/>
    </row>
    <row r="36" spans="1:88" ht="15.75" thickBot="1" x14ac:dyDescent="0.3">
      <c r="A36" s="71" t="s">
        <v>43</v>
      </c>
      <c r="B36" s="63">
        <v>115.5</v>
      </c>
      <c r="C36" s="63">
        <v>116.4</v>
      </c>
      <c r="D36" s="63">
        <v>116.4</v>
      </c>
      <c r="E36" s="63">
        <f>51.5+64.8</f>
        <v>116.3</v>
      </c>
      <c r="F36" s="63">
        <f>51.6+64.3</f>
        <v>115.9</v>
      </c>
      <c r="G36" s="63">
        <f>50.9+64</f>
        <v>114.9</v>
      </c>
      <c r="H36" s="63">
        <f>50.8+63.3</f>
        <v>114.1</v>
      </c>
      <c r="I36" s="63">
        <f>51.2+62.7</f>
        <v>113.9</v>
      </c>
      <c r="J36" s="63">
        <f>51.1+62.7</f>
        <v>113.80000000000001</v>
      </c>
      <c r="K36" s="63">
        <v>114</v>
      </c>
      <c r="L36" s="72">
        <f>50.9+62.6</f>
        <v>113.5</v>
      </c>
      <c r="M36" s="72">
        <f>50.9+62.6</f>
        <v>113.5</v>
      </c>
      <c r="N36" s="72">
        <v>115</v>
      </c>
      <c r="O36" s="72">
        <f>52.2+62.6</f>
        <v>114.80000000000001</v>
      </c>
      <c r="P36" s="72">
        <v>113</v>
      </c>
      <c r="Q36" s="72">
        <v>113</v>
      </c>
      <c r="R36" s="72">
        <f>63.6+50.5</f>
        <v>114.1</v>
      </c>
      <c r="S36" s="72">
        <f>61.7+51.7</f>
        <v>113.4</v>
      </c>
      <c r="T36" s="72">
        <f>61.7+51.7</f>
        <v>113.4</v>
      </c>
      <c r="U36" s="72">
        <f>61.5+51</f>
        <v>112.5</v>
      </c>
      <c r="V36" s="72">
        <f>59.7+50.1</f>
        <v>109.80000000000001</v>
      </c>
      <c r="W36" s="72">
        <f>59+49.7</f>
        <v>108.7</v>
      </c>
      <c r="X36" s="72">
        <f>59+49.7</f>
        <v>108.7</v>
      </c>
      <c r="Y36" s="72">
        <f>59+49.7</f>
        <v>108.7</v>
      </c>
      <c r="Z36" s="72">
        <f>59+49.7</f>
        <v>108.7</v>
      </c>
      <c r="AA36" s="72">
        <f>47.9+61</f>
        <v>108.9</v>
      </c>
      <c r="AB36" s="72">
        <f>48.7+58.6</f>
        <v>107.30000000000001</v>
      </c>
      <c r="AC36" s="72">
        <f>49+62.1</f>
        <v>111.1</v>
      </c>
      <c r="AD36" s="72">
        <f>62.5+49.5</f>
        <v>112</v>
      </c>
      <c r="AE36" s="72">
        <f>63.2+49.7</f>
        <v>112.9</v>
      </c>
      <c r="AF36" s="72">
        <f>50.2+62.7</f>
        <v>112.9</v>
      </c>
      <c r="AG36" s="69">
        <v>240</v>
      </c>
      <c r="AH36" s="56">
        <f t="shared" si="3"/>
        <v>116.4</v>
      </c>
      <c r="AI36" s="57">
        <f t="shared" si="4"/>
        <v>107.30000000000001</v>
      </c>
      <c r="AK36" s="58"/>
    </row>
    <row r="37" spans="1:88" ht="15.75" thickBot="1" x14ac:dyDescent="0.3">
      <c r="A37" s="73" t="s">
        <v>44</v>
      </c>
      <c r="B37" s="74">
        <f t="shared" ref="B37:AF37" si="5">SUM(B11:B35)</f>
        <v>677.59999999999991</v>
      </c>
      <c r="C37" s="74">
        <f t="shared" si="5"/>
        <v>673.59999999999991</v>
      </c>
      <c r="D37" s="74">
        <f t="shared" si="5"/>
        <v>663.59999999999991</v>
      </c>
      <c r="E37" s="74">
        <f t="shared" si="5"/>
        <v>663.59999999999991</v>
      </c>
      <c r="F37" s="74">
        <f t="shared" si="5"/>
        <v>683.59999999999991</v>
      </c>
      <c r="G37" s="74">
        <f t="shared" si="5"/>
        <v>704.59999999999991</v>
      </c>
      <c r="H37" s="74">
        <f t="shared" si="5"/>
        <v>744.6</v>
      </c>
      <c r="I37" s="74">
        <f t="shared" si="5"/>
        <v>724.59999999999991</v>
      </c>
      <c r="J37" s="74">
        <f t="shared" si="5"/>
        <v>744.6</v>
      </c>
      <c r="K37" s="74">
        <f t="shared" si="5"/>
        <v>744.6</v>
      </c>
      <c r="L37" s="74">
        <f t="shared" si="5"/>
        <v>763.80000000000007</v>
      </c>
      <c r="M37" s="74">
        <f t="shared" si="5"/>
        <v>763.80000000000007</v>
      </c>
      <c r="N37" s="74">
        <f t="shared" si="5"/>
        <v>763.30000000000007</v>
      </c>
      <c r="O37" s="74">
        <f t="shared" si="5"/>
        <v>720.4</v>
      </c>
      <c r="P37" s="74">
        <f t="shared" si="5"/>
        <v>720.3</v>
      </c>
      <c r="Q37" s="74">
        <f t="shared" si="5"/>
        <v>690.7</v>
      </c>
      <c r="R37" s="74">
        <f t="shared" si="5"/>
        <v>684.7</v>
      </c>
      <c r="S37" s="74">
        <f t="shared" si="5"/>
        <v>684.7</v>
      </c>
      <c r="T37" s="74">
        <f t="shared" si="5"/>
        <v>707.7</v>
      </c>
      <c r="U37" s="74">
        <f t="shared" si="5"/>
        <v>707.7</v>
      </c>
      <c r="V37" s="74">
        <f t="shared" si="5"/>
        <v>757.7</v>
      </c>
      <c r="W37" s="74">
        <f t="shared" si="5"/>
        <v>877.7</v>
      </c>
      <c r="X37" s="74">
        <f t="shared" si="5"/>
        <v>877.7</v>
      </c>
      <c r="Y37" s="74">
        <f t="shared" si="5"/>
        <v>837.7</v>
      </c>
      <c r="Z37" s="74">
        <f t="shared" si="5"/>
        <v>757.7</v>
      </c>
      <c r="AA37" s="74">
        <f t="shared" si="5"/>
        <v>727.7</v>
      </c>
      <c r="AB37" s="74">
        <f t="shared" si="5"/>
        <v>707.7</v>
      </c>
      <c r="AC37" s="74">
        <f t="shared" si="5"/>
        <v>657.7</v>
      </c>
      <c r="AD37" s="74">
        <f t="shared" si="5"/>
        <v>637.70000000000005</v>
      </c>
      <c r="AE37" s="74">
        <f t="shared" si="5"/>
        <v>637.70000000000005</v>
      </c>
      <c r="AF37" s="74">
        <f t="shared" si="5"/>
        <v>637.70000000000005</v>
      </c>
      <c r="AG37" s="69">
        <f>SUM(AG11:AG36)</f>
        <v>1481.8299999999997</v>
      </c>
      <c r="AH37" s="56">
        <f t="shared" si="3"/>
        <v>877.7</v>
      </c>
      <c r="AI37" s="57">
        <f t="shared" si="4"/>
        <v>637.70000000000005</v>
      </c>
      <c r="AK37" s="58"/>
    </row>
    <row r="38" spans="1:88" x14ac:dyDescent="0.25">
      <c r="A38" s="59" t="s">
        <v>45</v>
      </c>
      <c r="B38" s="63">
        <v>30.6</v>
      </c>
      <c r="C38" s="63">
        <v>30.9</v>
      </c>
      <c r="D38" s="63">
        <v>30.8</v>
      </c>
      <c r="E38" s="63">
        <v>30.6</v>
      </c>
      <c r="F38" s="63">
        <v>61.3</v>
      </c>
      <c r="G38" s="63">
        <v>61.3</v>
      </c>
      <c r="H38" s="63">
        <v>71.3</v>
      </c>
      <c r="I38" s="63">
        <v>81.2</v>
      </c>
      <c r="J38" s="63">
        <v>101.8</v>
      </c>
      <c r="K38" s="63">
        <v>136.80000000000001</v>
      </c>
      <c r="L38" s="50">
        <v>131.69999999999999</v>
      </c>
      <c r="M38" s="50">
        <v>131.69999999999999</v>
      </c>
      <c r="N38" s="50">
        <v>110.9</v>
      </c>
      <c r="O38" s="50">
        <v>111.6</v>
      </c>
      <c r="P38" s="50">
        <v>101</v>
      </c>
      <c r="Q38" s="50">
        <v>102</v>
      </c>
      <c r="R38" s="50">
        <v>71.3</v>
      </c>
      <c r="S38" s="50">
        <v>61</v>
      </c>
      <c r="T38" s="50">
        <v>61</v>
      </c>
      <c r="U38" s="50">
        <v>96.8</v>
      </c>
      <c r="V38" s="50">
        <v>147</v>
      </c>
      <c r="W38" s="50">
        <v>145.80000000000001</v>
      </c>
      <c r="X38" s="50">
        <v>145.80000000000001</v>
      </c>
      <c r="Y38" s="50">
        <v>145.80000000000001</v>
      </c>
      <c r="Z38" s="50">
        <v>145.80000000000001</v>
      </c>
      <c r="AA38" s="50">
        <v>135.5</v>
      </c>
      <c r="AB38" s="50">
        <v>121.5</v>
      </c>
      <c r="AC38" s="50">
        <v>121.6</v>
      </c>
      <c r="AD38" s="50">
        <v>70.7</v>
      </c>
      <c r="AE38" s="50">
        <v>48.4</v>
      </c>
      <c r="AF38" s="50">
        <v>40.6</v>
      </c>
      <c r="AG38" s="64">
        <v>144</v>
      </c>
      <c r="AH38" s="56">
        <f t="shared" si="3"/>
        <v>147</v>
      </c>
      <c r="AI38" s="57">
        <f t="shared" si="4"/>
        <v>30.6</v>
      </c>
      <c r="AK38" s="58"/>
    </row>
    <row r="39" spans="1:88" x14ac:dyDescent="0.25">
      <c r="A39" s="68" t="s">
        <v>46</v>
      </c>
      <c r="B39" s="63">
        <v>22</v>
      </c>
      <c r="C39" s="63">
        <v>30</v>
      </c>
      <c r="D39" s="63">
        <v>29.5</v>
      </c>
      <c r="E39" s="63">
        <v>30.1</v>
      </c>
      <c r="F39" s="63">
        <v>29.4</v>
      </c>
      <c r="G39" s="63">
        <v>30.8</v>
      </c>
      <c r="H39" s="63">
        <v>35.4</v>
      </c>
      <c r="I39" s="63">
        <v>47.2</v>
      </c>
      <c r="J39" s="63">
        <v>69.599999999999994</v>
      </c>
      <c r="K39" s="63">
        <v>71.8</v>
      </c>
      <c r="L39" s="52">
        <v>63.6</v>
      </c>
      <c r="M39" s="52">
        <v>63.6</v>
      </c>
      <c r="N39" s="52">
        <v>47.4</v>
      </c>
      <c r="O39" s="52">
        <v>25.4</v>
      </c>
      <c r="P39" s="52">
        <v>25</v>
      </c>
      <c r="Q39" s="52">
        <v>35</v>
      </c>
      <c r="R39" s="52">
        <v>34.1</v>
      </c>
      <c r="S39" s="52">
        <v>30</v>
      </c>
      <c r="T39" s="52">
        <v>30</v>
      </c>
      <c r="U39" s="52">
        <v>46.8</v>
      </c>
      <c r="V39" s="52">
        <v>71.2</v>
      </c>
      <c r="W39" s="52">
        <v>71.400000000000006</v>
      </c>
      <c r="X39" s="52">
        <v>71.400000000000006</v>
      </c>
      <c r="Y39" s="52">
        <v>71.400000000000006</v>
      </c>
      <c r="Z39" s="52">
        <v>59.6</v>
      </c>
      <c r="AA39" s="52">
        <v>59</v>
      </c>
      <c r="AB39" s="52">
        <v>49.9</v>
      </c>
      <c r="AC39" s="52">
        <v>51.8</v>
      </c>
      <c r="AD39" s="52">
        <v>29.5</v>
      </c>
      <c r="AE39" s="52">
        <v>34.299999999999997</v>
      </c>
      <c r="AF39" s="52">
        <v>29.9</v>
      </c>
      <c r="AG39" s="69">
        <v>70</v>
      </c>
      <c r="AH39" s="56">
        <f t="shared" si="3"/>
        <v>71.8</v>
      </c>
      <c r="AI39" s="57">
        <f t="shared" si="4"/>
        <v>22</v>
      </c>
      <c r="AK39" s="58"/>
    </row>
    <row r="40" spans="1:88" x14ac:dyDescent="0.25">
      <c r="A40" s="68" t="s">
        <v>47</v>
      </c>
      <c r="B40" s="63">
        <v>0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52">
        <v>0</v>
      </c>
      <c r="M40" s="52">
        <v>0</v>
      </c>
      <c r="N40" s="52">
        <v>16.899999999999999</v>
      </c>
      <c r="O40" s="52">
        <v>35.1</v>
      </c>
      <c r="P40" s="52">
        <v>35</v>
      </c>
      <c r="Q40" s="52">
        <v>35</v>
      </c>
      <c r="R40" s="52">
        <v>35.799999999999997</v>
      </c>
      <c r="S40" s="52">
        <v>46</v>
      </c>
      <c r="T40" s="52">
        <v>46</v>
      </c>
      <c r="U40" s="52">
        <v>45.9</v>
      </c>
      <c r="V40" s="52">
        <v>45.9</v>
      </c>
      <c r="W40" s="52">
        <v>46.4</v>
      </c>
      <c r="X40" s="52">
        <v>46.4</v>
      </c>
      <c r="Y40" s="52">
        <v>46.4</v>
      </c>
      <c r="Z40" s="52">
        <v>40.6</v>
      </c>
      <c r="AA40" s="52">
        <v>40.799999999999997</v>
      </c>
      <c r="AB40" s="52">
        <v>35</v>
      </c>
      <c r="AC40" s="52">
        <v>37.4</v>
      </c>
      <c r="AD40" s="52">
        <v>33</v>
      </c>
      <c r="AE40" s="52">
        <v>23.2</v>
      </c>
      <c r="AF40" s="52">
        <v>23.1</v>
      </c>
      <c r="AG40" s="69">
        <v>69</v>
      </c>
      <c r="AH40" s="56">
        <f t="shared" si="3"/>
        <v>46.4</v>
      </c>
      <c r="AI40" s="57">
        <f t="shared" si="4"/>
        <v>0</v>
      </c>
      <c r="AK40" s="58"/>
    </row>
    <row r="41" spans="1:88" x14ac:dyDescent="0.25">
      <c r="A41" s="68" t="s">
        <v>48</v>
      </c>
      <c r="B41" s="63">
        <v>9.3000000000000007</v>
      </c>
      <c r="C41" s="63">
        <v>9.3000000000000007</v>
      </c>
      <c r="D41" s="63">
        <v>9.6</v>
      </c>
      <c r="E41" s="63">
        <v>9.6</v>
      </c>
      <c r="F41" s="63">
        <v>25.9</v>
      </c>
      <c r="G41" s="63">
        <v>40.799999999999997</v>
      </c>
      <c r="H41" s="63">
        <v>49.4</v>
      </c>
      <c r="I41" s="63">
        <v>60.2</v>
      </c>
      <c r="J41" s="63">
        <v>60</v>
      </c>
      <c r="K41" s="63">
        <v>61.4</v>
      </c>
      <c r="L41" s="52">
        <v>61.4</v>
      </c>
      <c r="M41" s="52">
        <v>61.4</v>
      </c>
      <c r="N41" s="52">
        <v>40</v>
      </c>
      <c r="O41" s="52">
        <v>41.3</v>
      </c>
      <c r="P41" s="52">
        <v>41.3</v>
      </c>
      <c r="Q41" s="52">
        <v>41.6</v>
      </c>
      <c r="R41" s="52">
        <v>40.299999999999997</v>
      </c>
      <c r="S41" s="52">
        <v>25</v>
      </c>
      <c r="T41" s="52">
        <v>25</v>
      </c>
      <c r="U41" s="52">
        <v>35.5</v>
      </c>
      <c r="V41" s="52">
        <v>59.5</v>
      </c>
      <c r="W41" s="52">
        <v>59.5</v>
      </c>
      <c r="X41" s="52">
        <v>59.5</v>
      </c>
      <c r="Y41" s="52">
        <v>59.5</v>
      </c>
      <c r="Z41" s="52">
        <v>59.5</v>
      </c>
      <c r="AA41" s="52">
        <v>60.4</v>
      </c>
      <c r="AB41" s="52">
        <v>40.799999999999997</v>
      </c>
      <c r="AC41" s="52">
        <v>31</v>
      </c>
      <c r="AD41" s="52">
        <v>12.1</v>
      </c>
      <c r="AE41" s="52">
        <v>26.2</v>
      </c>
      <c r="AF41" s="52">
        <v>12.1</v>
      </c>
      <c r="AG41" s="69">
        <v>60</v>
      </c>
      <c r="AH41" s="56">
        <f t="shared" si="3"/>
        <v>61.4</v>
      </c>
      <c r="AI41" s="57">
        <f t="shared" si="4"/>
        <v>9.3000000000000007</v>
      </c>
      <c r="AK41" s="58"/>
    </row>
    <row r="42" spans="1:88" x14ac:dyDescent="0.25">
      <c r="A42" s="68" t="s">
        <v>49</v>
      </c>
      <c r="B42" s="63">
        <v>14.2</v>
      </c>
      <c r="C42" s="63">
        <v>14.2</v>
      </c>
      <c r="D42" s="63">
        <v>14.2</v>
      </c>
      <c r="E42" s="63">
        <v>14.2</v>
      </c>
      <c r="F42" s="63">
        <v>14.2</v>
      </c>
      <c r="G42" s="63">
        <v>14.2</v>
      </c>
      <c r="H42" s="63">
        <v>14.2</v>
      </c>
      <c r="I42" s="63">
        <v>25.5</v>
      </c>
      <c r="J42" s="63">
        <v>29.6</v>
      </c>
      <c r="K42" s="63">
        <v>29.6</v>
      </c>
      <c r="L42" s="50">
        <v>29.5</v>
      </c>
      <c r="M42" s="50">
        <v>29.5</v>
      </c>
      <c r="N42" s="50">
        <v>24</v>
      </c>
      <c r="O42" s="50">
        <v>24.3</v>
      </c>
      <c r="P42" s="50">
        <v>10</v>
      </c>
      <c r="Q42" s="50">
        <v>10</v>
      </c>
      <c r="R42" s="50">
        <v>10</v>
      </c>
      <c r="S42" s="50">
        <v>10</v>
      </c>
      <c r="T42" s="50">
        <v>10</v>
      </c>
      <c r="U42" s="50">
        <v>10</v>
      </c>
      <c r="V42" s="50">
        <v>29.5</v>
      </c>
      <c r="W42" s="50">
        <v>29.5</v>
      </c>
      <c r="X42" s="50">
        <v>29.5</v>
      </c>
      <c r="Y42" s="50">
        <v>29.5</v>
      </c>
      <c r="Z42" s="50">
        <v>29.5</v>
      </c>
      <c r="AA42" s="50">
        <v>29.6</v>
      </c>
      <c r="AB42" s="50">
        <v>29.4</v>
      </c>
      <c r="AC42" s="50">
        <v>23.8</v>
      </c>
      <c r="AD42" s="50">
        <v>14.9</v>
      </c>
      <c r="AE42" s="50">
        <v>14.9</v>
      </c>
      <c r="AF42" s="50">
        <v>14.8</v>
      </c>
      <c r="AG42" s="69">
        <v>30</v>
      </c>
      <c r="AH42" s="56">
        <f t="shared" si="3"/>
        <v>29.6</v>
      </c>
      <c r="AI42" s="57">
        <f t="shared" si="4"/>
        <v>10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3"/>
        <v>0</v>
      </c>
      <c r="AI43" s="57">
        <f t="shared" si="4"/>
        <v>0</v>
      </c>
      <c r="AK43" s="58"/>
    </row>
    <row r="44" spans="1:88" x14ac:dyDescent="0.25">
      <c r="A44" s="68" t="s">
        <v>51</v>
      </c>
      <c r="B44" s="75">
        <v>17</v>
      </c>
      <c r="C44" s="75">
        <v>17</v>
      </c>
      <c r="D44" s="75">
        <v>17</v>
      </c>
      <c r="E44" s="75">
        <v>17</v>
      </c>
      <c r="F44" s="75">
        <v>17</v>
      </c>
      <c r="G44" s="75">
        <v>17</v>
      </c>
      <c r="H44" s="75">
        <v>17</v>
      </c>
      <c r="I44" s="75">
        <v>17</v>
      </c>
      <c r="J44" s="75">
        <v>17</v>
      </c>
      <c r="K44" s="75">
        <v>17</v>
      </c>
      <c r="L44" s="50">
        <v>17</v>
      </c>
      <c r="M44" s="50">
        <v>17</v>
      </c>
      <c r="N44" s="50">
        <v>15</v>
      </c>
      <c r="O44" s="50">
        <v>15</v>
      </c>
      <c r="P44" s="50">
        <v>15</v>
      </c>
      <c r="Q44" s="50">
        <v>15</v>
      </c>
      <c r="R44" s="50">
        <v>15</v>
      </c>
      <c r="S44" s="50">
        <v>15</v>
      </c>
      <c r="T44" s="50">
        <v>15</v>
      </c>
      <c r="U44" s="50">
        <v>15</v>
      </c>
      <c r="V44" s="50">
        <v>15</v>
      </c>
      <c r="W44" s="50">
        <v>15</v>
      </c>
      <c r="X44" s="50">
        <v>15</v>
      </c>
      <c r="Y44" s="50">
        <v>15</v>
      </c>
      <c r="Z44" s="50">
        <v>15</v>
      </c>
      <c r="AA44" s="50">
        <v>15</v>
      </c>
      <c r="AB44" s="50">
        <v>15</v>
      </c>
      <c r="AC44" s="50">
        <v>15</v>
      </c>
      <c r="AD44" s="50">
        <v>10</v>
      </c>
      <c r="AE44" s="50">
        <v>10</v>
      </c>
      <c r="AF44" s="50">
        <v>10</v>
      </c>
      <c r="AG44" s="69">
        <v>24</v>
      </c>
      <c r="AH44" s="56">
        <f t="shared" si="3"/>
        <v>17</v>
      </c>
      <c r="AI44" s="57">
        <f t="shared" si="4"/>
        <v>10</v>
      </c>
      <c r="AK44" s="58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3"/>
        <v>0</v>
      </c>
      <c r="AI45" s="57">
        <f t="shared" si="4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>
        <v>13</v>
      </c>
      <c r="C46" s="63">
        <v>13</v>
      </c>
      <c r="D46" s="63">
        <v>13</v>
      </c>
      <c r="E46" s="63">
        <v>13</v>
      </c>
      <c r="F46" s="63">
        <v>13</v>
      </c>
      <c r="G46" s="63">
        <v>13</v>
      </c>
      <c r="H46" s="63">
        <v>13</v>
      </c>
      <c r="I46" s="63">
        <v>13</v>
      </c>
      <c r="J46" s="63">
        <v>13</v>
      </c>
      <c r="K46" s="63">
        <v>13</v>
      </c>
      <c r="L46" s="50">
        <v>13</v>
      </c>
      <c r="M46" s="50">
        <v>13</v>
      </c>
      <c r="N46" s="50">
        <v>11</v>
      </c>
      <c r="O46" s="50">
        <v>11</v>
      </c>
      <c r="P46" s="50">
        <v>11</v>
      </c>
      <c r="Q46" s="50">
        <v>11</v>
      </c>
      <c r="R46" s="50">
        <v>11</v>
      </c>
      <c r="S46" s="50">
        <v>11</v>
      </c>
      <c r="T46" s="50">
        <v>11</v>
      </c>
      <c r="U46" s="50">
        <v>11</v>
      </c>
      <c r="V46" s="50">
        <v>11</v>
      </c>
      <c r="W46" s="50">
        <v>11</v>
      </c>
      <c r="X46" s="50">
        <v>11</v>
      </c>
      <c r="Y46" s="50">
        <v>11</v>
      </c>
      <c r="Z46" s="50">
        <v>11</v>
      </c>
      <c r="AA46" s="50">
        <v>11</v>
      </c>
      <c r="AB46" s="50">
        <v>11</v>
      </c>
      <c r="AC46" s="50">
        <v>11</v>
      </c>
      <c r="AD46" s="50">
        <v>8</v>
      </c>
      <c r="AE46" s="50">
        <v>8</v>
      </c>
      <c r="AF46" s="50">
        <v>8</v>
      </c>
      <c r="AG46" s="69">
        <v>14.1</v>
      </c>
      <c r="AH46" s="56">
        <f t="shared" si="3"/>
        <v>13</v>
      </c>
      <c r="AI46" s="57">
        <f t="shared" si="4"/>
        <v>8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50">
        <v>7.1</v>
      </c>
      <c r="C47" s="50">
        <v>7.1</v>
      </c>
      <c r="D47" s="50">
        <v>7.1</v>
      </c>
      <c r="E47" s="50">
        <v>7.1</v>
      </c>
      <c r="F47" s="50">
        <v>7.1</v>
      </c>
      <c r="G47" s="50">
        <v>7.1</v>
      </c>
      <c r="H47" s="50">
        <v>7.1</v>
      </c>
      <c r="I47" s="50">
        <v>7.1</v>
      </c>
      <c r="J47" s="50">
        <v>7.1</v>
      </c>
      <c r="K47" s="50">
        <v>7.1</v>
      </c>
      <c r="L47" s="50">
        <v>7.1</v>
      </c>
      <c r="M47" s="50">
        <v>7.1</v>
      </c>
      <c r="N47" s="50">
        <v>0</v>
      </c>
      <c r="O47" s="50">
        <v>0</v>
      </c>
      <c r="P47" s="50">
        <v>0</v>
      </c>
      <c r="Q47" s="50">
        <v>0</v>
      </c>
      <c r="R47" s="50">
        <v>7.2</v>
      </c>
      <c r="S47" s="50">
        <v>7.2</v>
      </c>
      <c r="T47" s="50">
        <v>7.2</v>
      </c>
      <c r="U47" s="50">
        <v>7.2</v>
      </c>
      <c r="V47" s="50">
        <v>7.2</v>
      </c>
      <c r="W47" s="50">
        <v>7.2</v>
      </c>
      <c r="X47" s="50">
        <v>7.2</v>
      </c>
      <c r="Y47" s="50">
        <v>7.2</v>
      </c>
      <c r="Z47" s="50">
        <v>7.2</v>
      </c>
      <c r="AA47" s="50">
        <v>7.2</v>
      </c>
      <c r="AB47" s="50">
        <v>7.2</v>
      </c>
      <c r="AC47" s="50">
        <v>7.2</v>
      </c>
      <c r="AD47" s="50">
        <v>7.2</v>
      </c>
      <c r="AE47" s="50">
        <v>7.2</v>
      </c>
      <c r="AF47" s="50">
        <v>7.2</v>
      </c>
      <c r="AG47" s="69">
        <v>14</v>
      </c>
      <c r="AH47" s="56">
        <f t="shared" si="3"/>
        <v>7.2</v>
      </c>
      <c r="AI47" s="57">
        <f t="shared" si="4"/>
        <v>0</v>
      </c>
      <c r="AK47" s="58"/>
    </row>
    <row r="48" spans="1:88" x14ac:dyDescent="0.25">
      <c r="A48" s="68" t="s">
        <v>55</v>
      </c>
      <c r="B48" s="63">
        <v>9</v>
      </c>
      <c r="C48" s="63">
        <v>9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0">
        <v>9</v>
      </c>
      <c r="M48" s="50">
        <v>9</v>
      </c>
      <c r="N48" s="50">
        <v>9</v>
      </c>
      <c r="O48" s="50">
        <v>9</v>
      </c>
      <c r="P48" s="50">
        <v>9</v>
      </c>
      <c r="Q48" s="50">
        <v>0</v>
      </c>
      <c r="R48" s="50">
        <v>0</v>
      </c>
      <c r="S48" s="50">
        <v>0</v>
      </c>
      <c r="T48" s="50">
        <v>10.199999999999999</v>
      </c>
      <c r="U48" s="50">
        <v>10.199999999999999</v>
      </c>
      <c r="V48" s="50">
        <v>10.199999999999999</v>
      </c>
      <c r="W48" s="50">
        <v>10.199999999999999</v>
      </c>
      <c r="X48" s="50">
        <v>10.199999999999999</v>
      </c>
      <c r="Y48" s="50">
        <v>10.199999999999999</v>
      </c>
      <c r="Z48" s="50">
        <v>10.199999999999999</v>
      </c>
      <c r="AA48" s="50">
        <v>10.199999999999999</v>
      </c>
      <c r="AB48" s="50">
        <v>10.199999999999999</v>
      </c>
      <c r="AC48" s="50">
        <v>10.199999999999999</v>
      </c>
      <c r="AD48" s="50">
        <v>10.199999999999999</v>
      </c>
      <c r="AE48" s="50">
        <v>10.199999999999999</v>
      </c>
      <c r="AF48" s="50">
        <v>10.199999999999999</v>
      </c>
      <c r="AG48" s="69">
        <v>10.050000000000001</v>
      </c>
      <c r="AH48" s="56">
        <f t="shared" si="3"/>
        <v>10.199999999999999</v>
      </c>
      <c r="AI48" s="57">
        <f t="shared" si="4"/>
        <v>0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3"/>
        <v>6.2</v>
      </c>
      <c r="AI49" s="57">
        <f t="shared" si="4"/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6">T198</f>
        <v>3.54</v>
      </c>
      <c r="U50" s="78">
        <f t="shared" si="6"/>
        <v>3.54</v>
      </c>
      <c r="V50" s="78">
        <f t="shared" si="6"/>
        <v>3.54</v>
      </c>
      <c r="W50" s="78">
        <f t="shared" si="6"/>
        <v>3.54</v>
      </c>
      <c r="X50" s="78">
        <f t="shared" si="6"/>
        <v>3.54</v>
      </c>
      <c r="Y50" s="78">
        <v>3.54</v>
      </c>
      <c r="Z50" s="78">
        <f t="shared" si="6"/>
        <v>3.54</v>
      </c>
      <c r="AA50" s="78">
        <f t="shared" si="6"/>
        <v>3.54</v>
      </c>
      <c r="AB50" s="78">
        <f t="shared" si="6"/>
        <v>3.54</v>
      </c>
      <c r="AC50" s="78">
        <v>3.54</v>
      </c>
      <c r="AD50" s="78">
        <v>3.54</v>
      </c>
      <c r="AE50" s="78">
        <v>3.54</v>
      </c>
      <c r="AF50" s="78">
        <v>3.54</v>
      </c>
      <c r="AG50" s="78">
        <f t="shared" si="6"/>
        <v>8.56</v>
      </c>
      <c r="AH50" s="56">
        <f t="shared" si="3"/>
        <v>3.54</v>
      </c>
      <c r="AI50" s="57">
        <f t="shared" si="4"/>
        <v>3.54</v>
      </c>
      <c r="AK50" s="58"/>
    </row>
    <row r="51" spans="1:37" ht="15.75" thickBot="1" x14ac:dyDescent="0.3">
      <c r="A51" s="73" t="s">
        <v>58</v>
      </c>
      <c r="B51" s="74">
        <f t="shared" ref="B51:AF51" si="7">SUM(B38:B50)</f>
        <v>131.94</v>
      </c>
      <c r="C51" s="74">
        <f t="shared" si="7"/>
        <v>140.23999999999998</v>
      </c>
      <c r="D51" s="74">
        <f t="shared" si="7"/>
        <v>139.93999999999997</v>
      </c>
      <c r="E51" s="74">
        <f t="shared" si="7"/>
        <v>140.33999999999997</v>
      </c>
      <c r="F51" s="74">
        <f t="shared" si="7"/>
        <v>186.63999999999996</v>
      </c>
      <c r="G51" s="74">
        <f t="shared" si="7"/>
        <v>202.93999999999994</v>
      </c>
      <c r="H51" s="74">
        <f t="shared" si="7"/>
        <v>226.13999999999996</v>
      </c>
      <c r="I51" s="74">
        <f t="shared" si="7"/>
        <v>269.94000000000005</v>
      </c>
      <c r="J51" s="74">
        <f t="shared" si="7"/>
        <v>316.84000000000003</v>
      </c>
      <c r="K51" s="74">
        <f t="shared" si="7"/>
        <v>355.44000000000005</v>
      </c>
      <c r="L51" s="74">
        <f t="shared" si="7"/>
        <v>342.04</v>
      </c>
      <c r="M51" s="74">
        <f t="shared" si="7"/>
        <v>342.04</v>
      </c>
      <c r="N51" s="74">
        <f t="shared" si="7"/>
        <v>283.94000000000005</v>
      </c>
      <c r="O51" s="74">
        <f t="shared" si="7"/>
        <v>282.44</v>
      </c>
      <c r="P51" s="74">
        <f t="shared" si="7"/>
        <v>257.04000000000002</v>
      </c>
      <c r="Q51" s="74">
        <f t="shared" si="7"/>
        <v>259.33999999999997</v>
      </c>
      <c r="R51" s="74">
        <f t="shared" si="7"/>
        <v>234.43999999999997</v>
      </c>
      <c r="S51" s="74">
        <f t="shared" si="7"/>
        <v>214.93999999999997</v>
      </c>
      <c r="T51" s="74">
        <f t="shared" si="7"/>
        <v>225.13999999999996</v>
      </c>
      <c r="U51" s="74">
        <f t="shared" si="7"/>
        <v>288.14</v>
      </c>
      <c r="V51" s="74">
        <f t="shared" si="7"/>
        <v>406.23999999999995</v>
      </c>
      <c r="W51" s="74">
        <f t="shared" si="7"/>
        <v>405.74</v>
      </c>
      <c r="X51" s="74">
        <f t="shared" si="7"/>
        <v>405.74</v>
      </c>
      <c r="Y51" s="74">
        <f t="shared" si="7"/>
        <v>405.74</v>
      </c>
      <c r="Z51" s="74">
        <f t="shared" si="7"/>
        <v>388.14</v>
      </c>
      <c r="AA51" s="74">
        <f t="shared" si="7"/>
        <v>378.44</v>
      </c>
      <c r="AB51" s="74">
        <f t="shared" si="7"/>
        <v>329.73999999999995</v>
      </c>
      <c r="AC51" s="74">
        <f t="shared" si="7"/>
        <v>318.73999999999995</v>
      </c>
      <c r="AD51" s="74">
        <f t="shared" si="7"/>
        <v>205.33999999999995</v>
      </c>
      <c r="AE51" s="74">
        <f t="shared" si="7"/>
        <v>192.13999999999996</v>
      </c>
      <c r="AF51" s="74">
        <f t="shared" si="7"/>
        <v>165.63999999999996</v>
      </c>
      <c r="AG51" s="79">
        <f>SUM(AG38:AG50)</f>
        <v>489.91</v>
      </c>
      <c r="AH51" s="56">
        <f t="shared" si="3"/>
        <v>406.23999999999995</v>
      </c>
      <c r="AI51" s="57">
        <f t="shared" si="4"/>
        <v>131.94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3"/>
        <v>0</v>
      </c>
      <c r="AI52" s="57">
        <f t="shared" si="4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3"/>
        <v>0</v>
      </c>
      <c r="AI53" s="57">
        <f t="shared" si="4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3"/>
        <v>0</v>
      </c>
      <c r="AI54" s="57">
        <f t="shared" si="4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8">SUM(C52:C54)</f>
        <v>0</v>
      </c>
      <c r="D55" s="74">
        <f t="shared" si="8"/>
        <v>0</v>
      </c>
      <c r="E55" s="74">
        <f t="shared" si="8"/>
        <v>0</v>
      </c>
      <c r="F55" s="74">
        <f t="shared" si="8"/>
        <v>0</v>
      </c>
      <c r="G55" s="74">
        <f t="shared" si="8"/>
        <v>0</v>
      </c>
      <c r="H55" s="74">
        <f t="shared" si="8"/>
        <v>0</v>
      </c>
      <c r="I55" s="74">
        <f t="shared" si="8"/>
        <v>0</v>
      </c>
      <c r="J55" s="74">
        <f t="shared" si="8"/>
        <v>0</v>
      </c>
      <c r="K55" s="74">
        <f t="shared" si="8"/>
        <v>0</v>
      </c>
      <c r="L55" s="74">
        <f t="shared" si="8"/>
        <v>0</v>
      </c>
      <c r="M55" s="74">
        <f t="shared" si="8"/>
        <v>0</v>
      </c>
      <c r="N55" s="74">
        <f t="shared" si="8"/>
        <v>0</v>
      </c>
      <c r="O55" s="74">
        <f t="shared" si="8"/>
        <v>0</v>
      </c>
      <c r="P55" s="74">
        <f t="shared" si="8"/>
        <v>0</v>
      </c>
      <c r="Q55" s="74">
        <f t="shared" si="8"/>
        <v>0</v>
      </c>
      <c r="R55" s="74">
        <f t="shared" si="8"/>
        <v>0</v>
      </c>
      <c r="S55" s="74">
        <f t="shared" si="8"/>
        <v>0</v>
      </c>
      <c r="T55" s="74">
        <f t="shared" si="8"/>
        <v>0</v>
      </c>
      <c r="U55" s="74">
        <f t="shared" si="8"/>
        <v>0</v>
      </c>
      <c r="V55" s="74">
        <f t="shared" si="8"/>
        <v>0</v>
      </c>
      <c r="W55" s="74">
        <f t="shared" si="8"/>
        <v>0</v>
      </c>
      <c r="X55" s="74">
        <f t="shared" si="8"/>
        <v>0</v>
      </c>
      <c r="Y55" s="74">
        <f t="shared" si="8"/>
        <v>0</v>
      </c>
      <c r="Z55" s="74">
        <f t="shared" si="8"/>
        <v>0</v>
      </c>
      <c r="AA55" s="74">
        <f t="shared" si="8"/>
        <v>0</v>
      </c>
      <c r="AB55" s="74">
        <f t="shared" si="8"/>
        <v>0</v>
      </c>
      <c r="AC55" s="74">
        <f t="shared" si="8"/>
        <v>0</v>
      </c>
      <c r="AD55" s="74">
        <f t="shared" si="8"/>
        <v>0</v>
      </c>
      <c r="AE55" s="74">
        <f t="shared" si="8"/>
        <v>0</v>
      </c>
      <c r="AF55" s="74">
        <f t="shared" si="8"/>
        <v>0</v>
      </c>
      <c r="AG55" s="79">
        <f>SUM(AG52:AG54)</f>
        <v>106</v>
      </c>
      <c r="AH55" s="56">
        <f t="shared" si="3"/>
        <v>0</v>
      </c>
      <c r="AI55" s="57">
        <f t="shared" si="4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3"/>
        <v>0</v>
      </c>
      <c r="AI56" s="57">
        <f t="shared" si="4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9"/>
      <c r="AH57" s="56">
        <f t="shared" si="3"/>
        <v>0</v>
      </c>
      <c r="AI57" s="57">
        <f t="shared" si="4"/>
        <v>0</v>
      </c>
      <c r="AK57" s="58"/>
    </row>
    <row r="58" spans="1:37" x14ac:dyDescent="0.25">
      <c r="A58" s="68" t="s">
        <v>65</v>
      </c>
      <c r="B58" s="52">
        <v>-58.6</v>
      </c>
      <c r="C58" s="52">
        <v>-54.7</v>
      </c>
      <c r="D58" s="52">
        <v>-74</v>
      </c>
      <c r="E58" s="52">
        <v>-67</v>
      </c>
      <c r="F58" s="52">
        <v>-67.3</v>
      </c>
      <c r="G58" s="50">
        <v>-58.4</v>
      </c>
      <c r="H58" s="50">
        <v>-60.5</v>
      </c>
      <c r="I58" s="50">
        <v>-50.7</v>
      </c>
      <c r="J58" s="50">
        <v>-60.6</v>
      </c>
      <c r="K58" s="50">
        <v>-60.7</v>
      </c>
      <c r="L58" s="52">
        <v>-58.2</v>
      </c>
      <c r="M58" s="52">
        <v>-62</v>
      </c>
      <c r="N58" s="52">
        <v>-92</v>
      </c>
      <c r="O58" s="52">
        <v>-53.5</v>
      </c>
      <c r="P58" s="52">
        <v>-60.6</v>
      </c>
      <c r="Q58" s="52">
        <v>-48</v>
      </c>
      <c r="R58" s="52">
        <v>-84</v>
      </c>
      <c r="S58" s="52">
        <v>-64</v>
      </c>
      <c r="T58" s="52">
        <v>-64</v>
      </c>
      <c r="U58" s="52">
        <v>-56</v>
      </c>
      <c r="V58" s="52">
        <v>-40</v>
      </c>
      <c r="W58" s="52">
        <v>-57</v>
      </c>
      <c r="X58" s="52">
        <v>-93.6</v>
      </c>
      <c r="Y58" s="52">
        <v>-98.2</v>
      </c>
      <c r="Z58" s="52">
        <v>-88</v>
      </c>
      <c r="AA58" s="52">
        <v>-57.4</v>
      </c>
      <c r="AB58" s="52">
        <v>-54.8</v>
      </c>
      <c r="AC58" s="52">
        <v>-88</v>
      </c>
      <c r="AD58" s="52">
        <v>-70.5</v>
      </c>
      <c r="AE58" s="52">
        <v>-60</v>
      </c>
      <c r="AF58" s="52">
        <v>-55.6</v>
      </c>
      <c r="AG58" s="86"/>
      <c r="AH58" s="56">
        <f t="shared" si="3"/>
        <v>-40</v>
      </c>
      <c r="AI58" s="57">
        <f t="shared" si="4"/>
        <v>-98.2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3"/>
        <v>0</v>
      </c>
      <c r="AI59" s="57">
        <f t="shared" si="4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3"/>
        <v>0</v>
      </c>
      <c r="AI60" s="57">
        <f t="shared" si="4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3"/>
        <v>0</v>
      </c>
      <c r="AI61" s="57">
        <f t="shared" si="4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50">
        <v>0</v>
      </c>
      <c r="M62" s="50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3"/>
        <v>0</v>
      </c>
      <c r="AI62" s="57">
        <f t="shared" si="4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3"/>
        <v>0</v>
      </c>
      <c r="AI63" s="57">
        <f t="shared" si="4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3"/>
        <v>0</v>
      </c>
      <c r="AI64" s="57">
        <f t="shared" si="4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2">
        <v>0</v>
      </c>
      <c r="M65" s="52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3"/>
        <v>0</v>
      </c>
      <c r="AI65" s="57">
        <f t="shared" si="4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0">
        <v>0</v>
      </c>
      <c r="M66" s="50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3"/>
        <v>0</v>
      </c>
      <c r="AI66" s="57">
        <f t="shared" si="4"/>
        <v>0</v>
      </c>
      <c r="AK66" s="58"/>
    </row>
    <row r="67" spans="1:88" ht="15.75" thickBot="1" x14ac:dyDescent="0.3">
      <c r="A67" s="73" t="s">
        <v>74</v>
      </c>
      <c r="B67" s="74">
        <f>SUM(B56:B66)</f>
        <v>-58.6</v>
      </c>
      <c r="C67" s="74">
        <f t="shared" ref="C67:AF67" si="9">SUM(C56:C66)</f>
        <v>-54.7</v>
      </c>
      <c r="D67" s="74">
        <f t="shared" si="9"/>
        <v>-74</v>
      </c>
      <c r="E67" s="74">
        <f t="shared" si="9"/>
        <v>-67</v>
      </c>
      <c r="F67" s="74">
        <f t="shared" si="9"/>
        <v>-67.3</v>
      </c>
      <c r="G67" s="74">
        <f t="shared" si="9"/>
        <v>-58.4</v>
      </c>
      <c r="H67" s="74">
        <f t="shared" si="9"/>
        <v>-60.5</v>
      </c>
      <c r="I67" s="74">
        <f t="shared" si="9"/>
        <v>-50.7</v>
      </c>
      <c r="J67" s="74">
        <f t="shared" si="9"/>
        <v>-60.6</v>
      </c>
      <c r="K67" s="74">
        <f t="shared" si="9"/>
        <v>-60.7</v>
      </c>
      <c r="L67" s="74">
        <f t="shared" si="9"/>
        <v>-58.2</v>
      </c>
      <c r="M67" s="74">
        <f t="shared" si="9"/>
        <v>-62</v>
      </c>
      <c r="N67" s="74">
        <f t="shared" si="9"/>
        <v>-92</v>
      </c>
      <c r="O67" s="74">
        <f t="shared" si="9"/>
        <v>-53.5</v>
      </c>
      <c r="P67" s="74">
        <f t="shared" si="9"/>
        <v>-60.6</v>
      </c>
      <c r="Q67" s="74">
        <f t="shared" si="9"/>
        <v>-48</v>
      </c>
      <c r="R67" s="74">
        <f t="shared" si="9"/>
        <v>-84</v>
      </c>
      <c r="S67" s="74">
        <f t="shared" si="9"/>
        <v>-64</v>
      </c>
      <c r="T67" s="74">
        <f t="shared" si="9"/>
        <v>-64</v>
      </c>
      <c r="U67" s="74">
        <f t="shared" si="9"/>
        <v>-56</v>
      </c>
      <c r="V67" s="74">
        <f t="shared" si="9"/>
        <v>-40</v>
      </c>
      <c r="W67" s="74">
        <f t="shared" si="9"/>
        <v>-57</v>
      </c>
      <c r="X67" s="74">
        <f t="shared" si="9"/>
        <v>-93.6</v>
      </c>
      <c r="Y67" s="74">
        <f t="shared" si="9"/>
        <v>-98.2</v>
      </c>
      <c r="Z67" s="74">
        <f t="shared" si="9"/>
        <v>-88</v>
      </c>
      <c r="AA67" s="74">
        <f t="shared" si="9"/>
        <v>-57.4</v>
      </c>
      <c r="AB67" s="74">
        <f t="shared" si="9"/>
        <v>-54.8</v>
      </c>
      <c r="AC67" s="74">
        <f t="shared" si="9"/>
        <v>-88</v>
      </c>
      <c r="AD67" s="74">
        <f t="shared" si="9"/>
        <v>-70.5</v>
      </c>
      <c r="AE67" s="74">
        <f t="shared" si="9"/>
        <v>-60</v>
      </c>
      <c r="AF67" s="74">
        <f t="shared" si="9"/>
        <v>-55.6</v>
      </c>
      <c r="AG67" s="79">
        <f>SUM(AG56:AG66)</f>
        <v>0</v>
      </c>
      <c r="AH67" s="56">
        <f t="shared" si="3"/>
        <v>-40</v>
      </c>
      <c r="AI67" s="57">
        <f t="shared" si="4"/>
        <v>-98.2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3"/>
        <v>0</v>
      </c>
      <c r="AI68" s="57">
        <f t="shared" si="4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3"/>
        <v>0</v>
      </c>
      <c r="AI69" s="57">
        <f t="shared" si="4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3"/>
        <v>0</v>
      </c>
      <c r="AI70" s="57">
        <f t="shared" si="4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10">SUM(C68:C70)</f>
        <v>0</v>
      </c>
      <c r="D71" s="74">
        <f t="shared" si="10"/>
        <v>0</v>
      </c>
      <c r="E71" s="74">
        <f t="shared" si="10"/>
        <v>0</v>
      </c>
      <c r="F71" s="74">
        <f t="shared" si="10"/>
        <v>0</v>
      </c>
      <c r="G71" s="74">
        <f t="shared" si="10"/>
        <v>0</v>
      </c>
      <c r="H71" s="74">
        <f t="shared" si="10"/>
        <v>0</v>
      </c>
      <c r="I71" s="74">
        <f t="shared" si="10"/>
        <v>0</v>
      </c>
      <c r="J71" s="74">
        <f t="shared" si="10"/>
        <v>0</v>
      </c>
      <c r="K71" s="74">
        <f t="shared" si="10"/>
        <v>0</v>
      </c>
      <c r="L71" s="74">
        <f t="shared" si="10"/>
        <v>0</v>
      </c>
      <c r="M71" s="74">
        <f t="shared" si="10"/>
        <v>0</v>
      </c>
      <c r="N71" s="74">
        <f t="shared" si="10"/>
        <v>0</v>
      </c>
      <c r="O71" s="74">
        <f t="shared" si="10"/>
        <v>0</v>
      </c>
      <c r="P71" s="74">
        <f t="shared" si="10"/>
        <v>0</v>
      </c>
      <c r="Q71" s="74">
        <f t="shared" si="10"/>
        <v>0</v>
      </c>
      <c r="R71" s="74">
        <f t="shared" si="10"/>
        <v>0</v>
      </c>
      <c r="S71" s="74">
        <f t="shared" si="10"/>
        <v>0</v>
      </c>
      <c r="T71" s="74">
        <f t="shared" si="10"/>
        <v>0</v>
      </c>
      <c r="U71" s="74">
        <f t="shared" si="10"/>
        <v>0</v>
      </c>
      <c r="V71" s="74">
        <f t="shared" si="10"/>
        <v>0</v>
      </c>
      <c r="W71" s="74">
        <f t="shared" si="10"/>
        <v>0</v>
      </c>
      <c r="X71" s="74">
        <f t="shared" si="10"/>
        <v>0</v>
      </c>
      <c r="Y71" s="74">
        <f t="shared" si="10"/>
        <v>0</v>
      </c>
      <c r="Z71" s="74">
        <f t="shared" si="10"/>
        <v>0</v>
      </c>
      <c r="AA71" s="74">
        <f t="shared" si="10"/>
        <v>0</v>
      </c>
      <c r="AB71" s="74">
        <f t="shared" si="10"/>
        <v>0</v>
      </c>
      <c r="AC71" s="74">
        <f t="shared" si="10"/>
        <v>0</v>
      </c>
      <c r="AD71" s="74">
        <f t="shared" si="10"/>
        <v>0</v>
      </c>
      <c r="AE71" s="74">
        <f t="shared" si="10"/>
        <v>0</v>
      </c>
      <c r="AF71" s="74">
        <f t="shared" si="10"/>
        <v>0</v>
      </c>
      <c r="AG71" s="79">
        <f>SUM(AG68:AG70)</f>
        <v>55.4</v>
      </c>
      <c r="AH71" s="56">
        <f t="shared" si="3"/>
        <v>0</v>
      </c>
      <c r="AI71" s="57">
        <f t="shared" si="4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750.93999999999994</v>
      </c>
      <c r="C72" s="90">
        <f t="shared" ref="C72:AG72" si="11">C67+C55+C51+C37+C71</f>
        <v>759.13999999999987</v>
      </c>
      <c r="D72" s="90">
        <f t="shared" si="11"/>
        <v>729.53999999999985</v>
      </c>
      <c r="E72" s="90">
        <f t="shared" si="11"/>
        <v>736.93999999999983</v>
      </c>
      <c r="F72" s="90">
        <f t="shared" si="11"/>
        <v>802.93999999999983</v>
      </c>
      <c r="G72" s="90">
        <f t="shared" si="11"/>
        <v>849.13999999999987</v>
      </c>
      <c r="H72" s="90">
        <f t="shared" si="11"/>
        <v>910.24</v>
      </c>
      <c r="I72" s="90">
        <f t="shared" si="11"/>
        <v>943.83999999999992</v>
      </c>
      <c r="J72" s="90">
        <f t="shared" si="11"/>
        <v>1000.84</v>
      </c>
      <c r="K72" s="90">
        <f t="shared" si="11"/>
        <v>1039.3400000000001</v>
      </c>
      <c r="L72" s="90">
        <f t="shared" si="11"/>
        <v>1047.6400000000001</v>
      </c>
      <c r="M72" s="90">
        <f t="shared" si="11"/>
        <v>1043.8400000000001</v>
      </c>
      <c r="N72" s="90">
        <f t="shared" si="11"/>
        <v>955.24000000000012</v>
      </c>
      <c r="O72" s="90">
        <f t="shared" si="11"/>
        <v>949.33999999999992</v>
      </c>
      <c r="P72" s="90">
        <f t="shared" si="11"/>
        <v>916.74</v>
      </c>
      <c r="Q72" s="90">
        <f t="shared" si="11"/>
        <v>902.04</v>
      </c>
      <c r="R72" s="90">
        <f t="shared" si="11"/>
        <v>835.14</v>
      </c>
      <c r="S72" s="90">
        <f t="shared" si="11"/>
        <v>835.64</v>
      </c>
      <c r="T72" s="90">
        <f t="shared" si="11"/>
        <v>868.84</v>
      </c>
      <c r="U72" s="90">
        <f t="shared" si="11"/>
        <v>939.84</v>
      </c>
      <c r="V72" s="90">
        <f t="shared" si="11"/>
        <v>1123.94</v>
      </c>
      <c r="W72" s="90">
        <f t="shared" si="11"/>
        <v>1226.44</v>
      </c>
      <c r="X72" s="90">
        <f t="shared" si="11"/>
        <v>1189.8400000000001</v>
      </c>
      <c r="Y72" s="90">
        <f t="shared" si="11"/>
        <v>1145.24</v>
      </c>
      <c r="Z72" s="90">
        <f t="shared" si="11"/>
        <v>1057.8400000000001</v>
      </c>
      <c r="AA72" s="90">
        <f t="shared" si="11"/>
        <v>1048.74</v>
      </c>
      <c r="AB72" s="90">
        <f t="shared" si="11"/>
        <v>982.64</v>
      </c>
      <c r="AC72" s="90">
        <f t="shared" si="11"/>
        <v>888.44</v>
      </c>
      <c r="AD72" s="90">
        <f t="shared" si="11"/>
        <v>772.54</v>
      </c>
      <c r="AE72" s="90">
        <f t="shared" si="11"/>
        <v>769.84</v>
      </c>
      <c r="AF72" s="90">
        <f t="shared" si="11"/>
        <v>747.74</v>
      </c>
      <c r="AG72" s="90">
        <f t="shared" si="11"/>
        <v>2133.14</v>
      </c>
      <c r="AH72" s="56">
        <f t="shared" si="3"/>
        <v>1226.44</v>
      </c>
      <c r="AI72" s="57">
        <f t="shared" si="4"/>
        <v>729.53999999999985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3"/>
        <v>0</v>
      </c>
      <c r="AI73" s="57">
        <f t="shared" si="4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750.93999999999994</v>
      </c>
      <c r="C74" s="90">
        <f t="shared" ref="C74:AF74" si="12">C71+C67+C55+C51+C37+C73</f>
        <v>759.13999999999987</v>
      </c>
      <c r="D74" s="90">
        <f t="shared" si="12"/>
        <v>729.53999999999985</v>
      </c>
      <c r="E74" s="90">
        <f t="shared" si="12"/>
        <v>736.93999999999983</v>
      </c>
      <c r="F74" s="90">
        <f t="shared" si="12"/>
        <v>802.93999999999983</v>
      </c>
      <c r="G74" s="90">
        <f t="shared" si="12"/>
        <v>849.13999999999987</v>
      </c>
      <c r="H74" s="90">
        <f t="shared" si="12"/>
        <v>910.24</v>
      </c>
      <c r="I74" s="90">
        <f t="shared" si="12"/>
        <v>943.83999999999992</v>
      </c>
      <c r="J74" s="90">
        <f t="shared" si="12"/>
        <v>1000.84</v>
      </c>
      <c r="K74" s="90">
        <f t="shared" si="12"/>
        <v>1039.3400000000001</v>
      </c>
      <c r="L74" s="90">
        <f t="shared" si="12"/>
        <v>1047.6400000000001</v>
      </c>
      <c r="M74" s="90">
        <f t="shared" si="12"/>
        <v>1043.8400000000001</v>
      </c>
      <c r="N74" s="90">
        <f t="shared" si="12"/>
        <v>955.24000000000012</v>
      </c>
      <c r="O74" s="90">
        <f t="shared" si="12"/>
        <v>949.33999999999992</v>
      </c>
      <c r="P74" s="90">
        <f t="shared" si="12"/>
        <v>916.74</v>
      </c>
      <c r="Q74" s="90">
        <f t="shared" si="12"/>
        <v>902.04</v>
      </c>
      <c r="R74" s="90">
        <f t="shared" si="12"/>
        <v>835.14</v>
      </c>
      <c r="S74" s="90">
        <f t="shared" si="12"/>
        <v>835.64</v>
      </c>
      <c r="T74" s="90">
        <f t="shared" si="12"/>
        <v>868.84</v>
      </c>
      <c r="U74" s="90">
        <f t="shared" si="12"/>
        <v>939.84</v>
      </c>
      <c r="V74" s="90">
        <f t="shared" si="12"/>
        <v>1123.94</v>
      </c>
      <c r="W74" s="90">
        <f t="shared" si="12"/>
        <v>1226.44</v>
      </c>
      <c r="X74" s="90">
        <f t="shared" si="12"/>
        <v>1189.8400000000001</v>
      </c>
      <c r="Y74" s="90">
        <f t="shared" si="12"/>
        <v>1145.24</v>
      </c>
      <c r="Z74" s="90">
        <f t="shared" si="12"/>
        <v>1057.8400000000001</v>
      </c>
      <c r="AA74" s="90">
        <f t="shared" si="12"/>
        <v>1048.74</v>
      </c>
      <c r="AB74" s="90">
        <f t="shared" si="12"/>
        <v>982.64</v>
      </c>
      <c r="AC74" s="90">
        <f t="shared" si="12"/>
        <v>888.44</v>
      </c>
      <c r="AD74" s="90">
        <f t="shared" si="12"/>
        <v>772.54</v>
      </c>
      <c r="AE74" s="90">
        <f t="shared" si="12"/>
        <v>769.84</v>
      </c>
      <c r="AF74" s="90">
        <f t="shared" si="12"/>
        <v>747.74</v>
      </c>
      <c r="AG74" s="79">
        <f>AG71+AG67+AG55+AG51+AG37+AG73</f>
        <v>2133.14</v>
      </c>
      <c r="AH74" s="56">
        <f t="shared" si="3"/>
        <v>1226.44</v>
      </c>
      <c r="AI74" s="57">
        <f t="shared" si="4"/>
        <v>729.53999999999985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3">IF(C59&lt;0,C59*-1,0)</f>
        <v>0</v>
      </c>
      <c r="D75" s="60">
        <f t="shared" si="13"/>
        <v>0</v>
      </c>
      <c r="E75" s="60">
        <f t="shared" si="13"/>
        <v>0</v>
      </c>
      <c r="F75" s="60">
        <f t="shared" si="13"/>
        <v>0</v>
      </c>
      <c r="G75" s="60">
        <f t="shared" si="13"/>
        <v>0</v>
      </c>
      <c r="H75" s="60">
        <f t="shared" si="13"/>
        <v>0</v>
      </c>
      <c r="I75" s="60">
        <f t="shared" si="13"/>
        <v>0</v>
      </c>
      <c r="J75" s="60">
        <f t="shared" si="13"/>
        <v>0</v>
      </c>
      <c r="K75" s="60">
        <f t="shared" si="13"/>
        <v>0</v>
      </c>
      <c r="L75" s="60">
        <f t="shared" si="13"/>
        <v>0</v>
      </c>
      <c r="M75" s="60">
        <f t="shared" si="13"/>
        <v>0</v>
      </c>
      <c r="N75" s="60">
        <f t="shared" si="13"/>
        <v>0</v>
      </c>
      <c r="O75" s="60">
        <f t="shared" si="13"/>
        <v>0</v>
      </c>
      <c r="P75" s="60">
        <f t="shared" si="13"/>
        <v>0</v>
      </c>
      <c r="Q75" s="60">
        <f t="shared" si="13"/>
        <v>0</v>
      </c>
      <c r="R75" s="60">
        <f t="shared" si="13"/>
        <v>0</v>
      </c>
      <c r="S75" s="60">
        <f t="shared" si="13"/>
        <v>0</v>
      </c>
      <c r="T75" s="60">
        <f t="shared" si="13"/>
        <v>0</v>
      </c>
      <c r="U75" s="60">
        <f t="shared" si="13"/>
        <v>0</v>
      </c>
      <c r="V75" s="60">
        <f t="shared" si="13"/>
        <v>0</v>
      </c>
      <c r="W75" s="60">
        <f t="shared" si="13"/>
        <v>0</v>
      </c>
      <c r="X75" s="60">
        <f t="shared" si="13"/>
        <v>0</v>
      </c>
      <c r="Y75" s="60">
        <f t="shared" si="13"/>
        <v>0</v>
      </c>
      <c r="Z75" s="60">
        <f t="shared" si="13"/>
        <v>0</v>
      </c>
      <c r="AA75" s="60">
        <f t="shared" si="13"/>
        <v>0</v>
      </c>
      <c r="AB75" s="60">
        <f t="shared" si="13"/>
        <v>0</v>
      </c>
      <c r="AC75" s="60">
        <f t="shared" si="13"/>
        <v>0</v>
      </c>
      <c r="AD75" s="60">
        <f t="shared" si="13"/>
        <v>0</v>
      </c>
      <c r="AE75" s="60">
        <f t="shared" si="13"/>
        <v>0</v>
      </c>
      <c r="AF75" s="60">
        <f t="shared" si="13"/>
        <v>0</v>
      </c>
      <c r="AG75" s="64"/>
      <c r="AH75" s="56">
        <f t="shared" si="3"/>
        <v>0</v>
      </c>
      <c r="AI75" s="57">
        <f t="shared" si="4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4">IF(C57&lt;0,C57*-1,0)</f>
        <v>0</v>
      </c>
      <c r="D76" s="60">
        <f t="shared" si="14"/>
        <v>0</v>
      </c>
      <c r="E76" s="60">
        <f t="shared" si="14"/>
        <v>0</v>
      </c>
      <c r="F76" s="60">
        <f t="shared" si="14"/>
        <v>0</v>
      </c>
      <c r="G76" s="60">
        <f t="shared" si="14"/>
        <v>0</v>
      </c>
      <c r="H76" s="60">
        <f t="shared" si="14"/>
        <v>0</v>
      </c>
      <c r="I76" s="60">
        <f t="shared" si="14"/>
        <v>0</v>
      </c>
      <c r="J76" s="60">
        <f t="shared" si="14"/>
        <v>0</v>
      </c>
      <c r="K76" s="60">
        <f t="shared" si="14"/>
        <v>0</v>
      </c>
      <c r="L76" s="60">
        <f t="shared" si="14"/>
        <v>0</v>
      </c>
      <c r="M76" s="60">
        <f t="shared" si="14"/>
        <v>0</v>
      </c>
      <c r="N76" s="60">
        <f t="shared" si="14"/>
        <v>0</v>
      </c>
      <c r="O76" s="60">
        <f t="shared" si="14"/>
        <v>0</v>
      </c>
      <c r="P76" s="60">
        <f t="shared" si="14"/>
        <v>0</v>
      </c>
      <c r="Q76" s="60">
        <f t="shared" si="14"/>
        <v>0</v>
      </c>
      <c r="R76" s="60">
        <f t="shared" si="14"/>
        <v>0</v>
      </c>
      <c r="S76" s="60">
        <f t="shared" si="14"/>
        <v>0</v>
      </c>
      <c r="T76" s="60">
        <f t="shared" si="14"/>
        <v>0</v>
      </c>
      <c r="U76" s="60">
        <f t="shared" si="14"/>
        <v>0</v>
      </c>
      <c r="V76" s="60">
        <f t="shared" si="14"/>
        <v>0</v>
      </c>
      <c r="W76" s="60">
        <f t="shared" si="14"/>
        <v>0</v>
      </c>
      <c r="X76" s="60">
        <f t="shared" si="14"/>
        <v>0</v>
      </c>
      <c r="Y76" s="60">
        <f t="shared" si="14"/>
        <v>0</v>
      </c>
      <c r="Z76" s="60">
        <f t="shared" si="14"/>
        <v>0</v>
      </c>
      <c r="AA76" s="60">
        <f t="shared" si="14"/>
        <v>0</v>
      </c>
      <c r="AB76" s="60">
        <f t="shared" si="14"/>
        <v>0</v>
      </c>
      <c r="AC76" s="60">
        <f t="shared" si="14"/>
        <v>0</v>
      </c>
      <c r="AD76" s="60">
        <f t="shared" si="14"/>
        <v>0</v>
      </c>
      <c r="AE76" s="60">
        <f t="shared" si="14"/>
        <v>0</v>
      </c>
      <c r="AF76" s="60">
        <f t="shared" si="14"/>
        <v>0</v>
      </c>
      <c r="AG76" s="69"/>
      <c r="AH76" s="56">
        <f t="shared" si="3"/>
        <v>0</v>
      </c>
      <c r="AI76" s="57">
        <f t="shared" si="4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5">IF(C60&lt;0,C60*-1,0)</f>
        <v>0</v>
      </c>
      <c r="D77" s="60">
        <f t="shared" si="15"/>
        <v>0</v>
      </c>
      <c r="E77" s="60">
        <f t="shared" si="15"/>
        <v>0</v>
      </c>
      <c r="F77" s="60">
        <f t="shared" si="15"/>
        <v>0</v>
      </c>
      <c r="G77" s="60">
        <f t="shared" si="15"/>
        <v>0</v>
      </c>
      <c r="H77" s="60">
        <f t="shared" si="15"/>
        <v>0</v>
      </c>
      <c r="I77" s="60">
        <f t="shared" si="15"/>
        <v>0</v>
      </c>
      <c r="J77" s="60">
        <f t="shared" si="15"/>
        <v>0</v>
      </c>
      <c r="K77" s="60">
        <f t="shared" si="15"/>
        <v>0</v>
      </c>
      <c r="L77" s="60">
        <f t="shared" si="15"/>
        <v>0</v>
      </c>
      <c r="M77" s="60">
        <f t="shared" si="15"/>
        <v>0</v>
      </c>
      <c r="N77" s="60">
        <f t="shared" si="15"/>
        <v>0</v>
      </c>
      <c r="O77" s="60">
        <f t="shared" si="15"/>
        <v>0</v>
      </c>
      <c r="P77" s="60">
        <f t="shared" si="15"/>
        <v>0</v>
      </c>
      <c r="Q77" s="60">
        <f t="shared" si="15"/>
        <v>0</v>
      </c>
      <c r="R77" s="60">
        <f t="shared" si="15"/>
        <v>0</v>
      </c>
      <c r="S77" s="60">
        <f t="shared" si="15"/>
        <v>0</v>
      </c>
      <c r="T77" s="60">
        <f t="shared" si="15"/>
        <v>0</v>
      </c>
      <c r="U77" s="60">
        <f t="shared" si="15"/>
        <v>0</v>
      </c>
      <c r="V77" s="60">
        <f t="shared" si="15"/>
        <v>0</v>
      </c>
      <c r="W77" s="60">
        <f t="shared" si="15"/>
        <v>0</v>
      </c>
      <c r="X77" s="60">
        <f t="shared" si="15"/>
        <v>0</v>
      </c>
      <c r="Y77" s="60">
        <f t="shared" si="15"/>
        <v>0</v>
      </c>
      <c r="Z77" s="60">
        <f t="shared" si="15"/>
        <v>0</v>
      </c>
      <c r="AA77" s="60">
        <f t="shared" si="15"/>
        <v>0</v>
      </c>
      <c r="AB77" s="60">
        <f t="shared" si="15"/>
        <v>0</v>
      </c>
      <c r="AC77" s="60">
        <f t="shared" si="15"/>
        <v>0</v>
      </c>
      <c r="AD77" s="60">
        <f t="shared" si="15"/>
        <v>0</v>
      </c>
      <c r="AE77" s="60">
        <f t="shared" si="15"/>
        <v>0</v>
      </c>
      <c r="AF77" s="60">
        <f t="shared" si="15"/>
        <v>0</v>
      </c>
      <c r="AG77" s="93"/>
      <c r="AH77" s="56">
        <f t="shared" si="3"/>
        <v>0</v>
      </c>
      <c r="AI77" s="57">
        <f t="shared" si="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58.6</v>
      </c>
      <c r="C78" s="60">
        <f t="shared" ref="C78:AF78" si="16">IF(C58&lt;0,C58*-1,0)</f>
        <v>54.7</v>
      </c>
      <c r="D78" s="60">
        <f t="shared" si="16"/>
        <v>74</v>
      </c>
      <c r="E78" s="60">
        <f t="shared" si="16"/>
        <v>67</v>
      </c>
      <c r="F78" s="60">
        <f t="shared" si="16"/>
        <v>67.3</v>
      </c>
      <c r="G78" s="60">
        <f t="shared" si="16"/>
        <v>58.4</v>
      </c>
      <c r="H78" s="60">
        <f t="shared" si="16"/>
        <v>60.5</v>
      </c>
      <c r="I78" s="60">
        <f t="shared" si="16"/>
        <v>50.7</v>
      </c>
      <c r="J78" s="60">
        <f t="shared" si="16"/>
        <v>60.6</v>
      </c>
      <c r="K78" s="60">
        <f t="shared" si="16"/>
        <v>60.7</v>
      </c>
      <c r="L78" s="60">
        <f t="shared" si="16"/>
        <v>58.2</v>
      </c>
      <c r="M78" s="60">
        <f t="shared" si="16"/>
        <v>62</v>
      </c>
      <c r="N78" s="60">
        <f t="shared" si="16"/>
        <v>92</v>
      </c>
      <c r="O78" s="60">
        <f t="shared" si="16"/>
        <v>53.5</v>
      </c>
      <c r="P78" s="60">
        <f t="shared" si="16"/>
        <v>60.6</v>
      </c>
      <c r="Q78" s="60">
        <f t="shared" si="16"/>
        <v>48</v>
      </c>
      <c r="R78" s="60">
        <f t="shared" si="16"/>
        <v>84</v>
      </c>
      <c r="S78" s="60">
        <f t="shared" si="16"/>
        <v>64</v>
      </c>
      <c r="T78" s="60">
        <f t="shared" si="16"/>
        <v>64</v>
      </c>
      <c r="U78" s="60">
        <f t="shared" si="16"/>
        <v>56</v>
      </c>
      <c r="V78" s="60">
        <f t="shared" si="16"/>
        <v>40</v>
      </c>
      <c r="W78" s="60">
        <f t="shared" si="16"/>
        <v>57</v>
      </c>
      <c r="X78" s="60">
        <f t="shared" si="16"/>
        <v>93.6</v>
      </c>
      <c r="Y78" s="60">
        <f t="shared" si="16"/>
        <v>98.2</v>
      </c>
      <c r="Z78" s="60">
        <f t="shared" si="16"/>
        <v>88</v>
      </c>
      <c r="AA78" s="60">
        <f t="shared" si="16"/>
        <v>57.4</v>
      </c>
      <c r="AB78" s="60">
        <f t="shared" si="16"/>
        <v>54.8</v>
      </c>
      <c r="AC78" s="60">
        <f t="shared" si="16"/>
        <v>88</v>
      </c>
      <c r="AD78" s="60">
        <f t="shared" si="16"/>
        <v>70.5</v>
      </c>
      <c r="AE78" s="60">
        <f t="shared" si="16"/>
        <v>60</v>
      </c>
      <c r="AF78" s="60">
        <f t="shared" si="16"/>
        <v>55.6</v>
      </c>
      <c r="AG78" s="93"/>
      <c r="AH78" s="56">
        <f t="shared" ref="AH78:AH90" si="17">MAX(B78:AF78)</f>
        <v>98.2</v>
      </c>
      <c r="AI78" s="57">
        <f t="shared" ref="AI78:AI90" si="18">MIN(B78:AF78)</f>
        <v>40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9">IF(C56&lt;0,C56*-1,0)</f>
        <v>0</v>
      </c>
      <c r="D79" s="60">
        <f t="shared" si="19"/>
        <v>0</v>
      </c>
      <c r="E79" s="60">
        <f t="shared" si="19"/>
        <v>0</v>
      </c>
      <c r="F79" s="60">
        <f t="shared" si="19"/>
        <v>0</v>
      </c>
      <c r="G79" s="60">
        <f t="shared" si="19"/>
        <v>0</v>
      </c>
      <c r="H79" s="60">
        <f t="shared" si="19"/>
        <v>0</v>
      </c>
      <c r="I79" s="60">
        <f t="shared" si="19"/>
        <v>0</v>
      </c>
      <c r="J79" s="60">
        <f t="shared" si="19"/>
        <v>0</v>
      </c>
      <c r="K79" s="60">
        <f t="shared" si="19"/>
        <v>0</v>
      </c>
      <c r="L79" s="60">
        <f t="shared" si="19"/>
        <v>0</v>
      </c>
      <c r="M79" s="60">
        <f t="shared" si="19"/>
        <v>0</v>
      </c>
      <c r="N79" s="60">
        <f t="shared" si="19"/>
        <v>0</v>
      </c>
      <c r="O79" s="60">
        <f t="shared" si="19"/>
        <v>0</v>
      </c>
      <c r="P79" s="60">
        <f t="shared" si="19"/>
        <v>0</v>
      </c>
      <c r="Q79" s="60">
        <f t="shared" si="19"/>
        <v>0</v>
      </c>
      <c r="R79" s="60">
        <f t="shared" si="19"/>
        <v>0</v>
      </c>
      <c r="S79" s="60">
        <f t="shared" si="19"/>
        <v>0</v>
      </c>
      <c r="T79" s="60">
        <f t="shared" si="19"/>
        <v>0</v>
      </c>
      <c r="U79" s="60">
        <f t="shared" si="19"/>
        <v>0</v>
      </c>
      <c r="V79" s="60">
        <f t="shared" si="19"/>
        <v>0</v>
      </c>
      <c r="W79" s="60">
        <f t="shared" si="19"/>
        <v>0</v>
      </c>
      <c r="X79" s="60">
        <f t="shared" si="19"/>
        <v>0</v>
      </c>
      <c r="Y79" s="60">
        <f t="shared" si="19"/>
        <v>0</v>
      </c>
      <c r="Z79" s="60">
        <f t="shared" si="19"/>
        <v>0</v>
      </c>
      <c r="AA79" s="60">
        <f t="shared" si="19"/>
        <v>0</v>
      </c>
      <c r="AB79" s="60">
        <f t="shared" si="19"/>
        <v>0</v>
      </c>
      <c r="AC79" s="60">
        <f t="shared" si="19"/>
        <v>0</v>
      </c>
      <c r="AD79" s="60">
        <f t="shared" si="19"/>
        <v>0</v>
      </c>
      <c r="AE79" s="60">
        <f t="shared" si="19"/>
        <v>0</v>
      </c>
      <c r="AF79" s="60">
        <f t="shared" si="19"/>
        <v>0</v>
      </c>
      <c r="AG79" s="93"/>
      <c r="AH79" s="56">
        <f t="shared" si="17"/>
        <v>0</v>
      </c>
      <c r="AI79" s="57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7"/>
        <v>0</v>
      </c>
      <c r="AI80" s="57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20">SUM(B75:B80)</f>
        <v>58.6</v>
      </c>
      <c r="C81" s="74">
        <f t="shared" si="20"/>
        <v>54.7</v>
      </c>
      <c r="D81" s="74">
        <f t="shared" si="20"/>
        <v>74</v>
      </c>
      <c r="E81" s="74">
        <f t="shared" si="20"/>
        <v>67</v>
      </c>
      <c r="F81" s="74">
        <f t="shared" si="20"/>
        <v>67.3</v>
      </c>
      <c r="G81" s="74">
        <f t="shared" si="20"/>
        <v>58.4</v>
      </c>
      <c r="H81" s="74">
        <f t="shared" si="20"/>
        <v>60.5</v>
      </c>
      <c r="I81" s="74">
        <f t="shared" si="20"/>
        <v>50.7</v>
      </c>
      <c r="J81" s="74">
        <f t="shared" si="20"/>
        <v>60.6</v>
      </c>
      <c r="K81" s="74">
        <f t="shared" si="20"/>
        <v>60.7</v>
      </c>
      <c r="L81" s="74">
        <f t="shared" si="20"/>
        <v>58.2</v>
      </c>
      <c r="M81" s="74">
        <f t="shared" si="20"/>
        <v>62</v>
      </c>
      <c r="N81" s="74">
        <f t="shared" si="20"/>
        <v>92</v>
      </c>
      <c r="O81" s="74">
        <f t="shared" si="20"/>
        <v>53.5</v>
      </c>
      <c r="P81" s="74">
        <f t="shared" si="20"/>
        <v>60.6</v>
      </c>
      <c r="Q81" s="74">
        <f t="shared" si="20"/>
        <v>48</v>
      </c>
      <c r="R81" s="74">
        <f t="shared" si="20"/>
        <v>84</v>
      </c>
      <c r="S81" s="74">
        <f t="shared" si="20"/>
        <v>64</v>
      </c>
      <c r="T81" s="74">
        <f t="shared" si="20"/>
        <v>64</v>
      </c>
      <c r="U81" s="74">
        <f t="shared" si="20"/>
        <v>56</v>
      </c>
      <c r="V81" s="74">
        <f t="shared" si="20"/>
        <v>40</v>
      </c>
      <c r="W81" s="74">
        <f t="shared" si="20"/>
        <v>57</v>
      </c>
      <c r="X81" s="74">
        <f t="shared" si="20"/>
        <v>93.6</v>
      </c>
      <c r="Y81" s="74">
        <f t="shared" si="20"/>
        <v>98.2</v>
      </c>
      <c r="Z81" s="74">
        <f t="shared" si="20"/>
        <v>88</v>
      </c>
      <c r="AA81" s="74">
        <f t="shared" si="20"/>
        <v>57.4</v>
      </c>
      <c r="AB81" s="74">
        <f t="shared" si="20"/>
        <v>54.8</v>
      </c>
      <c r="AC81" s="74">
        <f t="shared" si="20"/>
        <v>88</v>
      </c>
      <c r="AD81" s="74">
        <f t="shared" si="20"/>
        <v>70.5</v>
      </c>
      <c r="AE81" s="74">
        <f t="shared" si="20"/>
        <v>60</v>
      </c>
      <c r="AF81" s="74">
        <f t="shared" si="20"/>
        <v>55.6</v>
      </c>
      <c r="AG81" s="79">
        <f t="shared" si="20"/>
        <v>0</v>
      </c>
      <c r="AH81" s="56">
        <f t="shared" si="17"/>
        <v>98.2</v>
      </c>
      <c r="AI81" s="57">
        <f t="shared" si="18"/>
        <v>40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1">SUM(B69:B81)</f>
        <v>1619.0799999999997</v>
      </c>
      <c r="C82" s="74">
        <f t="shared" si="21"/>
        <v>1627.6799999999998</v>
      </c>
      <c r="D82" s="74">
        <f t="shared" si="21"/>
        <v>1607.0799999999997</v>
      </c>
      <c r="E82" s="74">
        <f t="shared" si="21"/>
        <v>1607.8799999999997</v>
      </c>
      <c r="F82" s="74">
        <f t="shared" si="21"/>
        <v>1740.4799999999996</v>
      </c>
      <c r="G82" s="74">
        <f t="shared" si="21"/>
        <v>1815.08</v>
      </c>
      <c r="H82" s="74">
        <f t="shared" si="21"/>
        <v>1941.48</v>
      </c>
      <c r="I82" s="74">
        <f t="shared" si="21"/>
        <v>1989.08</v>
      </c>
      <c r="J82" s="74">
        <f t="shared" si="21"/>
        <v>2122.88</v>
      </c>
      <c r="K82" s="74">
        <f t="shared" si="21"/>
        <v>2200.08</v>
      </c>
      <c r="L82" s="74">
        <f t="shared" si="21"/>
        <v>2211.6799999999998</v>
      </c>
      <c r="M82" s="74">
        <f t="shared" si="21"/>
        <v>2211.6800000000003</v>
      </c>
      <c r="N82" s="74">
        <f t="shared" si="21"/>
        <v>2094.4800000000005</v>
      </c>
      <c r="O82" s="74">
        <f t="shared" si="21"/>
        <v>2005.6799999999998</v>
      </c>
      <c r="P82" s="74">
        <f t="shared" si="21"/>
        <v>1954.6799999999998</v>
      </c>
      <c r="Q82" s="74">
        <f t="shared" si="21"/>
        <v>1900.08</v>
      </c>
      <c r="R82" s="74">
        <f t="shared" si="21"/>
        <v>1838.28</v>
      </c>
      <c r="S82" s="74">
        <f t="shared" si="21"/>
        <v>1799.28</v>
      </c>
      <c r="T82" s="74">
        <f t="shared" si="21"/>
        <v>1865.68</v>
      </c>
      <c r="U82" s="74">
        <f t="shared" si="21"/>
        <v>1991.68</v>
      </c>
      <c r="V82" s="74">
        <f t="shared" si="21"/>
        <v>2327.88</v>
      </c>
      <c r="W82" s="74">
        <f t="shared" si="21"/>
        <v>2566.88</v>
      </c>
      <c r="X82" s="74">
        <f t="shared" si="21"/>
        <v>2566.88</v>
      </c>
      <c r="Y82" s="74">
        <f t="shared" si="21"/>
        <v>2486.8799999999997</v>
      </c>
      <c r="Z82" s="74">
        <f t="shared" si="21"/>
        <v>2291.6800000000003</v>
      </c>
      <c r="AA82" s="74">
        <f t="shared" si="21"/>
        <v>2212.2800000000002</v>
      </c>
      <c r="AB82" s="74">
        <f t="shared" si="21"/>
        <v>2074.88</v>
      </c>
      <c r="AC82" s="74">
        <f t="shared" si="21"/>
        <v>1952.88</v>
      </c>
      <c r="AD82" s="74">
        <f t="shared" si="21"/>
        <v>1686.08</v>
      </c>
      <c r="AE82" s="74">
        <f t="shared" si="21"/>
        <v>1659.68</v>
      </c>
      <c r="AF82" s="74">
        <f t="shared" si="21"/>
        <v>1606.6799999999998</v>
      </c>
      <c r="AG82" s="79">
        <f t="shared" si="21"/>
        <v>4338.08</v>
      </c>
      <c r="AH82" s="56">
        <f t="shared" si="17"/>
        <v>2566.88</v>
      </c>
      <c r="AI82" s="57">
        <f t="shared" si="18"/>
        <v>1606.6799999999998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50.023000000000003</v>
      </c>
      <c r="C83" s="96">
        <v>49.984999999999999</v>
      </c>
      <c r="D83" s="96">
        <v>50.031999999999996</v>
      </c>
      <c r="E83" s="96">
        <v>50.027000000000001</v>
      </c>
      <c r="F83" s="96">
        <v>50.005000000000003</v>
      </c>
      <c r="G83" s="96">
        <v>49.878</v>
      </c>
      <c r="H83" s="96">
        <v>49.948999999999998</v>
      </c>
      <c r="I83" s="96">
        <v>50.079000000000001</v>
      </c>
      <c r="J83" s="96">
        <v>49.982999999999997</v>
      </c>
      <c r="K83" s="96">
        <v>50.021000000000001</v>
      </c>
      <c r="L83" s="96">
        <v>50.03</v>
      </c>
      <c r="M83" s="96">
        <v>50.03</v>
      </c>
      <c r="N83" s="96">
        <v>50.01</v>
      </c>
      <c r="O83" s="96">
        <v>49.94</v>
      </c>
      <c r="P83" s="96">
        <v>49.982999999999997</v>
      </c>
      <c r="Q83" s="96">
        <v>49.817</v>
      </c>
      <c r="R83" s="96">
        <v>50.06</v>
      </c>
      <c r="S83" s="96">
        <v>49.975999999999999</v>
      </c>
      <c r="T83" s="96">
        <v>49.975999999999999</v>
      </c>
      <c r="U83" s="96">
        <v>49.898000000000003</v>
      </c>
      <c r="V83" s="96">
        <v>49.896999999999998</v>
      </c>
      <c r="W83" s="96">
        <v>50.01</v>
      </c>
      <c r="X83" s="96">
        <v>49.994999999999997</v>
      </c>
      <c r="Y83" s="96">
        <v>50.04</v>
      </c>
      <c r="Z83" s="96">
        <v>50.012</v>
      </c>
      <c r="AA83" s="96">
        <v>50.05</v>
      </c>
      <c r="AB83" s="96">
        <v>49.97</v>
      </c>
      <c r="AC83" s="96">
        <v>49.81</v>
      </c>
      <c r="AD83" s="96">
        <v>50.04</v>
      </c>
      <c r="AE83" s="96">
        <v>50.06</v>
      </c>
      <c r="AF83" s="96">
        <v>50.03</v>
      </c>
      <c r="AG83" s="98"/>
      <c r="AH83" s="56">
        <f t="shared" si="17"/>
        <v>50.079000000000001</v>
      </c>
      <c r="AI83" s="57">
        <f t="shared" si="18"/>
        <v>49.81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130.69999999999999</v>
      </c>
      <c r="C84" s="52">
        <v>129.19999999999999</v>
      </c>
      <c r="D84" s="52">
        <v>130.1</v>
      </c>
      <c r="E84" s="52">
        <v>130.19999999999999</v>
      </c>
      <c r="F84" s="52">
        <v>129.19999999999999</v>
      </c>
      <c r="G84" s="52">
        <v>127.9</v>
      </c>
      <c r="H84" s="52">
        <v>127.4</v>
      </c>
      <c r="I84" s="52">
        <v>127.4</v>
      </c>
      <c r="J84" s="52">
        <v>125.5</v>
      </c>
      <c r="K84" s="52">
        <v>124.8</v>
      </c>
      <c r="L84" s="52">
        <v>124.9</v>
      </c>
      <c r="M84" s="52">
        <v>124.9</v>
      </c>
      <c r="N84" s="52">
        <v>127.5</v>
      </c>
      <c r="O84" s="52">
        <v>125</v>
      </c>
      <c r="P84" s="52">
        <v>125.4</v>
      </c>
      <c r="Q84" s="52">
        <v>126.1</v>
      </c>
      <c r="R84" s="52">
        <v>125.7</v>
      </c>
      <c r="S84" s="52">
        <v>124.4</v>
      </c>
      <c r="T84" s="52">
        <v>124.4</v>
      </c>
      <c r="U84" s="100">
        <v>124.7</v>
      </c>
      <c r="V84" s="100">
        <v>124.2</v>
      </c>
      <c r="W84" s="100">
        <v>125.1</v>
      </c>
      <c r="X84" s="100">
        <v>124.6</v>
      </c>
      <c r="Y84" s="100">
        <v>125.8</v>
      </c>
      <c r="Z84" s="100">
        <v>126.8</v>
      </c>
      <c r="AA84" s="100">
        <v>126.5</v>
      </c>
      <c r="AB84" s="100">
        <v>127.3</v>
      </c>
      <c r="AC84" s="52">
        <v>127.4</v>
      </c>
      <c r="AD84" s="52">
        <v>127.6</v>
      </c>
      <c r="AE84" s="52">
        <v>127.9</v>
      </c>
      <c r="AF84" s="52">
        <v>128.1</v>
      </c>
      <c r="AG84" s="102"/>
      <c r="AH84" s="56">
        <f t="shared" si="17"/>
        <v>130.69999999999999</v>
      </c>
      <c r="AI84" s="57">
        <f t="shared" si="18"/>
        <v>124.2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133.1</v>
      </c>
      <c r="C85" s="52">
        <v>132.1</v>
      </c>
      <c r="D85" s="52">
        <v>132.69999999999999</v>
      </c>
      <c r="E85" s="52">
        <v>132.9</v>
      </c>
      <c r="F85" s="52">
        <v>132</v>
      </c>
      <c r="G85" s="52">
        <v>130.80000000000001</v>
      </c>
      <c r="H85" s="52">
        <v>130.4</v>
      </c>
      <c r="I85" s="52">
        <v>130.19999999999999</v>
      </c>
      <c r="J85" s="52">
        <v>128.30000000000001</v>
      </c>
      <c r="K85" s="52">
        <v>127.4</v>
      </c>
      <c r="L85" s="52">
        <v>127.7</v>
      </c>
      <c r="M85" s="52">
        <v>127.7</v>
      </c>
      <c r="N85" s="52">
        <v>129.6</v>
      </c>
      <c r="O85" s="52">
        <v>127.7</v>
      </c>
      <c r="P85" s="52">
        <v>128.1</v>
      </c>
      <c r="Q85" s="52">
        <v>128.80000000000001</v>
      </c>
      <c r="R85" s="52">
        <v>128.69999999999999</v>
      </c>
      <c r="S85" s="52">
        <v>127.5</v>
      </c>
      <c r="T85" s="52">
        <v>127.5</v>
      </c>
      <c r="U85" s="100">
        <v>128</v>
      </c>
      <c r="V85" s="100">
        <v>127.4</v>
      </c>
      <c r="W85" s="100">
        <v>127.5</v>
      </c>
      <c r="X85" s="100">
        <v>127.5</v>
      </c>
      <c r="Y85" s="100">
        <v>128.5</v>
      </c>
      <c r="Z85" s="100">
        <v>129.5</v>
      </c>
      <c r="AA85" s="100">
        <v>129.4</v>
      </c>
      <c r="AB85" s="100">
        <v>130.19999999999999</v>
      </c>
      <c r="AC85" s="52">
        <v>130.30000000000001</v>
      </c>
      <c r="AD85" s="52">
        <v>130.69999999999999</v>
      </c>
      <c r="AE85" s="52">
        <v>131.1</v>
      </c>
      <c r="AF85" s="52">
        <v>131.19999999999999</v>
      </c>
      <c r="AG85" s="102"/>
      <c r="AH85" s="56">
        <f t="shared" si="17"/>
        <v>133.1</v>
      </c>
      <c r="AI85" s="57">
        <f t="shared" si="18"/>
        <v>127.4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128.5</v>
      </c>
      <c r="C86" s="52">
        <v>128.69999999999999</v>
      </c>
      <c r="D86" s="52">
        <v>129.80000000000001</v>
      </c>
      <c r="E86" s="52">
        <v>128.69999999999999</v>
      </c>
      <c r="F86" s="52">
        <v>128.69999999999999</v>
      </c>
      <c r="G86" s="52">
        <v>128.30000000000001</v>
      </c>
      <c r="H86" s="52">
        <v>127.5</v>
      </c>
      <c r="I86" s="52">
        <v>131.6</v>
      </c>
      <c r="J86" s="52">
        <v>129</v>
      </c>
      <c r="K86" s="52">
        <v>128.19999999999999</v>
      </c>
      <c r="L86" s="52">
        <v>128.6</v>
      </c>
      <c r="M86" s="52">
        <v>128.6</v>
      </c>
      <c r="N86" s="52">
        <v>132.19999999999999</v>
      </c>
      <c r="O86" s="52">
        <v>130.4</v>
      </c>
      <c r="P86" s="52">
        <v>128.1</v>
      </c>
      <c r="Q86" s="52">
        <v>129.1</v>
      </c>
      <c r="R86" s="52">
        <v>130.30000000000001</v>
      </c>
      <c r="S86" s="52">
        <v>127</v>
      </c>
      <c r="T86" s="52">
        <v>127</v>
      </c>
      <c r="U86" s="52">
        <v>127.3</v>
      </c>
      <c r="V86" s="52">
        <v>126.2</v>
      </c>
      <c r="W86" s="100">
        <v>129.4</v>
      </c>
      <c r="X86" s="100">
        <v>128.69999999999999</v>
      </c>
      <c r="Y86" s="100">
        <v>128</v>
      </c>
      <c r="Z86" s="100">
        <v>128</v>
      </c>
      <c r="AA86" s="100">
        <v>128</v>
      </c>
      <c r="AB86" s="100">
        <v>129</v>
      </c>
      <c r="AC86" s="52">
        <v>128.5</v>
      </c>
      <c r="AD86" s="52">
        <v>129.5</v>
      </c>
      <c r="AE86" s="52">
        <v>128.19999999999999</v>
      </c>
      <c r="AF86" s="52">
        <v>130.4</v>
      </c>
      <c r="AG86" s="102"/>
      <c r="AH86" s="56">
        <f t="shared" si="17"/>
        <v>132.19999999999999</v>
      </c>
      <c r="AI86" s="57">
        <f t="shared" si="18"/>
        <v>126.2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133.5</v>
      </c>
      <c r="C87" s="52">
        <v>133.6</v>
      </c>
      <c r="D87" s="52">
        <v>134.19999999999999</v>
      </c>
      <c r="E87" s="52">
        <v>133.6</v>
      </c>
      <c r="F87" s="52">
        <v>133.6</v>
      </c>
      <c r="G87" s="52">
        <v>133.1</v>
      </c>
      <c r="H87" s="52">
        <v>131.80000000000001</v>
      </c>
      <c r="I87" s="52">
        <v>133.69999999999999</v>
      </c>
      <c r="J87" s="52">
        <v>131.9</v>
      </c>
      <c r="K87" s="52">
        <v>130.9</v>
      </c>
      <c r="L87" s="52">
        <v>131.69999999999999</v>
      </c>
      <c r="M87" s="52">
        <v>131.69999999999999</v>
      </c>
      <c r="N87" s="52">
        <v>133.80000000000001</v>
      </c>
      <c r="O87" s="52">
        <v>133.30000000000001</v>
      </c>
      <c r="P87" s="52">
        <v>132.30000000000001</v>
      </c>
      <c r="Q87" s="52">
        <v>132.6</v>
      </c>
      <c r="R87" s="52">
        <v>133.69999999999999</v>
      </c>
      <c r="S87" s="52">
        <v>133.1</v>
      </c>
      <c r="T87" s="52">
        <v>133.1</v>
      </c>
      <c r="U87" s="52">
        <v>132.30000000000001</v>
      </c>
      <c r="V87" s="52">
        <v>131.80000000000001</v>
      </c>
      <c r="W87" s="100">
        <v>133.80000000000001</v>
      </c>
      <c r="X87" s="100">
        <v>134.30000000000001</v>
      </c>
      <c r="Y87" s="100">
        <v>131.9</v>
      </c>
      <c r="Z87" s="100">
        <v>132.69999999999999</v>
      </c>
      <c r="AA87" s="100">
        <v>133.1</v>
      </c>
      <c r="AB87" s="100">
        <v>133.80000000000001</v>
      </c>
      <c r="AC87" s="52">
        <v>132.5</v>
      </c>
      <c r="AD87" s="52">
        <v>133.5</v>
      </c>
      <c r="AE87" s="52">
        <v>132.30000000000001</v>
      </c>
      <c r="AF87" s="52">
        <v>133.80000000000001</v>
      </c>
      <c r="AG87" s="102"/>
      <c r="AH87" s="56">
        <f t="shared" si="17"/>
        <v>134.30000000000001</v>
      </c>
      <c r="AI87" s="57">
        <f t="shared" si="18"/>
        <v>130.9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133.69999999999999</v>
      </c>
      <c r="C88" s="104">
        <v>132.69999999999999</v>
      </c>
      <c r="D88" s="104">
        <v>133.80000000000001</v>
      </c>
      <c r="E88" s="104">
        <v>133.4</v>
      </c>
      <c r="F88" s="104">
        <v>134.80000000000001</v>
      </c>
      <c r="G88" s="104">
        <v>132.6</v>
      </c>
      <c r="H88" s="104">
        <v>132.5</v>
      </c>
      <c r="I88" s="104">
        <v>132.6</v>
      </c>
      <c r="J88" s="104">
        <v>132.6</v>
      </c>
      <c r="K88" s="104">
        <v>133.4</v>
      </c>
      <c r="L88" s="104">
        <v>133</v>
      </c>
      <c r="M88" s="104">
        <v>133</v>
      </c>
      <c r="N88" s="104">
        <v>133.5</v>
      </c>
      <c r="O88" s="104">
        <v>131.69999999999999</v>
      </c>
      <c r="P88" s="104">
        <v>131.6</v>
      </c>
      <c r="Q88" s="104">
        <v>132</v>
      </c>
      <c r="R88" s="104">
        <v>131.4</v>
      </c>
      <c r="S88" s="104">
        <v>131.19999999999999</v>
      </c>
      <c r="T88" s="104">
        <v>131.19999999999999</v>
      </c>
      <c r="U88" s="104">
        <v>133.1</v>
      </c>
      <c r="V88" s="104">
        <v>134</v>
      </c>
      <c r="W88" s="100">
        <v>134.5</v>
      </c>
      <c r="X88" s="100">
        <v>132.4</v>
      </c>
      <c r="Y88" s="100">
        <v>134.4</v>
      </c>
      <c r="Z88" s="100">
        <v>135.80000000000001</v>
      </c>
      <c r="AA88" s="100">
        <v>135.80000000000001</v>
      </c>
      <c r="AB88" s="100">
        <v>133.5</v>
      </c>
      <c r="AC88" s="104">
        <v>134.19999999999999</v>
      </c>
      <c r="AD88" s="104">
        <v>133.30000000000001</v>
      </c>
      <c r="AE88" s="104">
        <v>130.4</v>
      </c>
      <c r="AF88" s="104">
        <v>131.30000000000001</v>
      </c>
      <c r="AG88" s="106"/>
      <c r="AH88" s="56">
        <f t="shared" si="17"/>
        <v>135.80000000000001</v>
      </c>
      <c r="AI88" s="57">
        <f t="shared" si="18"/>
        <v>130.4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135.69999999999999</v>
      </c>
      <c r="C89" s="52">
        <v>132.4</v>
      </c>
      <c r="D89" s="52">
        <v>133.6</v>
      </c>
      <c r="E89" s="52">
        <v>133.5</v>
      </c>
      <c r="F89" s="52">
        <v>133.5</v>
      </c>
      <c r="G89" s="52">
        <v>130.69999999999999</v>
      </c>
      <c r="H89" s="52">
        <v>129.9</v>
      </c>
      <c r="I89" s="52">
        <v>128.69999999999999</v>
      </c>
      <c r="J89" s="52">
        <v>128.80000000000001</v>
      </c>
      <c r="K89" s="52">
        <v>127.8</v>
      </c>
      <c r="L89" s="52">
        <v>126.3</v>
      </c>
      <c r="M89" s="52">
        <v>126.3</v>
      </c>
      <c r="N89" s="52">
        <v>131.19999999999999</v>
      </c>
      <c r="O89" s="52">
        <v>132</v>
      </c>
      <c r="P89" s="52">
        <v>138.1</v>
      </c>
      <c r="Q89" s="52">
        <v>132.6</v>
      </c>
      <c r="R89" s="52">
        <v>130.4</v>
      </c>
      <c r="S89" s="52">
        <v>129.5</v>
      </c>
      <c r="T89" s="52">
        <v>129.5</v>
      </c>
      <c r="U89" s="52">
        <v>132</v>
      </c>
      <c r="V89" s="52">
        <v>132.5</v>
      </c>
      <c r="W89" s="100">
        <v>134</v>
      </c>
      <c r="X89" s="100">
        <v>132.4</v>
      </c>
      <c r="Y89" s="100">
        <v>135.80000000000001</v>
      </c>
      <c r="Z89" s="100">
        <v>136.30000000000001</v>
      </c>
      <c r="AA89" s="100">
        <v>136.9</v>
      </c>
      <c r="AB89" s="100">
        <v>131.69999999999999</v>
      </c>
      <c r="AC89" s="52">
        <v>133</v>
      </c>
      <c r="AD89" s="52">
        <v>133.4</v>
      </c>
      <c r="AE89" s="52">
        <v>131.6</v>
      </c>
      <c r="AF89" s="52">
        <v>132.4</v>
      </c>
      <c r="AG89" s="102"/>
      <c r="AH89" s="56">
        <f t="shared" si="17"/>
        <v>138.1</v>
      </c>
      <c r="AI89" s="57">
        <f t="shared" si="18"/>
        <v>126.3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67.900000000000006</v>
      </c>
      <c r="C90" s="107">
        <v>67.599999999999994</v>
      </c>
      <c r="D90" s="107">
        <v>68</v>
      </c>
      <c r="E90" s="107">
        <v>68.099999999999994</v>
      </c>
      <c r="F90" s="107">
        <v>67.599999999999994</v>
      </c>
      <c r="G90" s="107">
        <v>66.8</v>
      </c>
      <c r="H90" s="107">
        <v>66.599999999999994</v>
      </c>
      <c r="I90" s="107">
        <v>66.400000000000006</v>
      </c>
      <c r="J90" s="107">
        <v>65.599999999999994</v>
      </c>
      <c r="K90" s="107">
        <v>65</v>
      </c>
      <c r="L90" s="107">
        <v>65.2</v>
      </c>
      <c r="M90" s="107">
        <v>65.2</v>
      </c>
      <c r="N90" s="107">
        <v>66</v>
      </c>
      <c r="O90" s="107">
        <v>65.099999999999994</v>
      </c>
      <c r="P90" s="107">
        <v>65.5</v>
      </c>
      <c r="Q90" s="107">
        <v>65.400000000000006</v>
      </c>
      <c r="R90" s="107">
        <v>65.8</v>
      </c>
      <c r="S90" s="107">
        <v>65.400000000000006</v>
      </c>
      <c r="T90" s="107">
        <v>65.400000000000006</v>
      </c>
      <c r="U90" s="107">
        <v>65.400000000000006</v>
      </c>
      <c r="V90" s="107">
        <v>65.2</v>
      </c>
      <c r="W90" s="107">
        <v>65.3</v>
      </c>
      <c r="X90" s="107">
        <v>65.3</v>
      </c>
      <c r="Y90" s="107">
        <v>65.5</v>
      </c>
      <c r="Z90" s="107">
        <v>65.900000000000006</v>
      </c>
      <c r="AA90" s="107">
        <v>65.8</v>
      </c>
      <c r="AB90" s="107">
        <v>66.3</v>
      </c>
      <c r="AC90" s="107">
        <v>66.400000000000006</v>
      </c>
      <c r="AD90" s="107">
        <v>66.400000000000006</v>
      </c>
      <c r="AE90" s="107">
        <v>66.900000000000006</v>
      </c>
      <c r="AF90" s="107">
        <v>67</v>
      </c>
      <c r="AG90" s="109"/>
      <c r="AH90" s="56">
        <f t="shared" si="17"/>
        <v>68.099999999999994</v>
      </c>
      <c r="AI90" s="57">
        <f t="shared" si="18"/>
        <v>65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128.54</v>
      </c>
      <c r="C92" s="114">
        <f t="shared" ref="C92:AF92" si="22">SUM(C15,C18,C21:C22,C41,C43:C44,C46,C48,C93:C96,C101,C107,C113,C122,C124,C136,C143,C146:C147,C154,C156,C158,C162:C164,C166:C168,C173,C179:C180,C182:C184,C192,C197)</f>
        <v>126.64000000000003</v>
      </c>
      <c r="D92" s="114">
        <f t="shared" si="22"/>
        <v>123.94000000000001</v>
      </c>
      <c r="E92" s="114">
        <f t="shared" si="22"/>
        <v>132.43999999999997</v>
      </c>
      <c r="F92" s="115">
        <f t="shared" si="22"/>
        <v>151.04</v>
      </c>
      <c r="G92" s="115">
        <f t="shared" si="22"/>
        <v>168.23999999999998</v>
      </c>
      <c r="H92" s="115">
        <f t="shared" si="22"/>
        <v>189.23999999999998</v>
      </c>
      <c r="I92" s="115">
        <f t="shared" si="22"/>
        <v>208.83999999999995</v>
      </c>
      <c r="J92" s="115">
        <f t="shared" si="22"/>
        <v>234.94</v>
      </c>
      <c r="K92" s="115">
        <f t="shared" si="22"/>
        <v>257.84000000000003</v>
      </c>
      <c r="L92" s="115">
        <f t="shared" si="22"/>
        <v>274.54000000000002</v>
      </c>
      <c r="M92" s="115">
        <f t="shared" si="22"/>
        <v>352.24</v>
      </c>
      <c r="N92" s="115">
        <f t="shared" si="22"/>
        <v>266.64000000000004</v>
      </c>
      <c r="O92" s="115">
        <f t="shared" si="22"/>
        <v>250.23999999999998</v>
      </c>
      <c r="P92" s="115">
        <f t="shared" si="22"/>
        <v>244.23999999999992</v>
      </c>
      <c r="Q92" s="115">
        <f t="shared" si="22"/>
        <v>222.93999999999997</v>
      </c>
      <c r="R92" s="115">
        <f t="shared" si="22"/>
        <v>197.64</v>
      </c>
      <c r="S92" s="115">
        <f t="shared" si="22"/>
        <v>290.14000000000004</v>
      </c>
      <c r="T92" s="115">
        <f t="shared" si="22"/>
        <v>301.34000000000003</v>
      </c>
      <c r="U92" s="115">
        <f t="shared" si="22"/>
        <v>245.93999999999994</v>
      </c>
      <c r="V92" s="115">
        <f t="shared" si="22"/>
        <v>298.54000000000002</v>
      </c>
      <c r="W92" s="115">
        <f t="shared" si="22"/>
        <v>340.84000000000003</v>
      </c>
      <c r="X92" s="115">
        <f t="shared" si="22"/>
        <v>340.84000000000003</v>
      </c>
      <c r="Y92" s="115">
        <f t="shared" si="22"/>
        <v>312.74</v>
      </c>
      <c r="Z92" s="115">
        <f t="shared" si="22"/>
        <v>283.24</v>
      </c>
      <c r="AA92" s="115">
        <f t="shared" si="22"/>
        <v>274.24</v>
      </c>
      <c r="AB92" s="115">
        <f t="shared" si="22"/>
        <v>247.64</v>
      </c>
      <c r="AC92" s="115">
        <f t="shared" si="22"/>
        <v>221.64</v>
      </c>
      <c r="AD92" s="115">
        <f t="shared" si="22"/>
        <v>163.03999999999996</v>
      </c>
      <c r="AE92" s="115">
        <f t="shared" si="22"/>
        <v>137.33999999999995</v>
      </c>
      <c r="AF92" s="115">
        <f t="shared" si="22"/>
        <v>126.73999999999997</v>
      </c>
      <c r="AG92" s="116"/>
      <c r="AH92" s="56">
        <f>MAX(B92:AF92)</f>
        <v>352.24</v>
      </c>
      <c r="AI92" s="57">
        <f>MIN(B92:AF92)</f>
        <v>123.94000000000001</v>
      </c>
    </row>
    <row r="93" spans="1:88" x14ac:dyDescent="0.25">
      <c r="A93" s="117" t="s">
        <v>96</v>
      </c>
      <c r="B93" s="60">
        <v>-2</v>
      </c>
      <c r="C93" s="60">
        <v>3.9</v>
      </c>
      <c r="D93" s="60">
        <v>6.9</v>
      </c>
      <c r="E93" s="60">
        <v>9</v>
      </c>
      <c r="F93" s="118">
        <v>10.5</v>
      </c>
      <c r="G93" s="118">
        <v>3.2</v>
      </c>
      <c r="H93" s="118">
        <v>2.5</v>
      </c>
      <c r="I93" s="118">
        <v>9.1</v>
      </c>
      <c r="J93" s="118">
        <v>23.9</v>
      </c>
      <c r="K93" s="118">
        <v>38</v>
      </c>
      <c r="L93" s="54">
        <v>31.6</v>
      </c>
      <c r="M93" s="118">
        <v>30</v>
      </c>
      <c r="N93" s="118">
        <v>31.5</v>
      </c>
      <c r="O93" s="118">
        <v>15.1</v>
      </c>
      <c r="P93" s="118">
        <v>9.6999999999999993</v>
      </c>
      <c r="Q93" s="118">
        <v>18</v>
      </c>
      <c r="R93" s="118">
        <v>26.4</v>
      </c>
      <c r="S93" s="118">
        <v>26</v>
      </c>
      <c r="T93" s="118">
        <v>27</v>
      </c>
      <c r="U93" s="54">
        <v>38.4</v>
      </c>
      <c r="V93" s="54">
        <v>56.5</v>
      </c>
      <c r="W93" s="118">
        <v>35.1</v>
      </c>
      <c r="X93" s="118">
        <v>35.1</v>
      </c>
      <c r="Y93" s="118">
        <v>55.9</v>
      </c>
      <c r="Z93" s="118">
        <v>58.6</v>
      </c>
      <c r="AA93" s="118">
        <v>55.6</v>
      </c>
      <c r="AB93" s="118">
        <v>58.3</v>
      </c>
      <c r="AC93" s="118">
        <v>66.099999999999994</v>
      </c>
      <c r="AD93" s="118">
        <v>37.700000000000003</v>
      </c>
      <c r="AE93" s="118">
        <v>29.6</v>
      </c>
      <c r="AF93" s="118">
        <v>23.7</v>
      </c>
      <c r="AG93" s="120">
        <v>75</v>
      </c>
      <c r="AH93" s="56">
        <f t="shared" ref="AH93:AH98" si="23">IF(ABS(MAX(B93:AF93))&gt;ABS(MIN(B93:AF93)),MAX(B93:AF93),MIN(B93:AF93))</f>
        <v>66.099999999999994</v>
      </c>
      <c r="AI93" s="121">
        <f t="shared" ref="AI93:AI98" si="24">INDEX($B$9:$AF$9,1,MATCH(AH93,B93:AF93,0))</f>
        <v>0.875</v>
      </c>
    </row>
    <row r="94" spans="1:88" x14ac:dyDescent="0.25">
      <c r="A94" s="122" t="s">
        <v>97</v>
      </c>
      <c r="B94" s="62">
        <v>-59</v>
      </c>
      <c r="C94" s="62">
        <v>-62.1</v>
      </c>
      <c r="D94" s="62">
        <v>-62.5</v>
      </c>
      <c r="E94" s="62">
        <v>-61.5</v>
      </c>
      <c r="F94" s="62">
        <v>-62</v>
      </c>
      <c r="G94" s="62">
        <v>-62</v>
      </c>
      <c r="H94" s="62">
        <v>-60</v>
      </c>
      <c r="I94" s="62">
        <v>-56</v>
      </c>
      <c r="J94" s="62">
        <v>-54</v>
      </c>
      <c r="K94" s="62">
        <v>-47.2</v>
      </c>
      <c r="L94" s="62">
        <f>-17.4-21</f>
        <v>-38.4</v>
      </c>
      <c r="M94" s="62">
        <v>39.200000000000003</v>
      </c>
      <c r="N94" s="62">
        <v>-25.5</v>
      </c>
      <c r="O94" s="62">
        <f>-15-17.8</f>
        <v>-32.799999999999997</v>
      </c>
      <c r="P94" s="62">
        <v>-33.299999999999997</v>
      </c>
      <c r="Q94" s="62">
        <v>-40</v>
      </c>
      <c r="R94" s="62">
        <v>-51</v>
      </c>
      <c r="S94" s="62">
        <f>18+22</f>
        <v>40</v>
      </c>
      <c r="T94" s="62">
        <f>18+22</f>
        <v>40</v>
      </c>
      <c r="U94" s="62">
        <v>-37.4</v>
      </c>
      <c r="V94" s="62">
        <v>-37</v>
      </c>
      <c r="W94" s="62">
        <v>-19</v>
      </c>
      <c r="X94" s="62">
        <v>-19</v>
      </c>
      <c r="Y94" s="62">
        <v>-32</v>
      </c>
      <c r="Z94" s="62">
        <v>-41</v>
      </c>
      <c r="AA94" s="62">
        <f>-19.8-23.5</f>
        <v>-43.3</v>
      </c>
      <c r="AB94" s="62">
        <f>-19-22.7</f>
        <v>-41.7</v>
      </c>
      <c r="AC94" s="62">
        <f>-20-25.3</f>
        <v>-45.3</v>
      </c>
      <c r="AD94" s="62">
        <f>-22.9-27.8</f>
        <v>-50.7</v>
      </c>
      <c r="AE94" s="62">
        <f>-31.7-37.8</f>
        <v>-69.5</v>
      </c>
      <c r="AF94" s="62">
        <f>-29.8-35.7</f>
        <v>-65.5</v>
      </c>
      <c r="AG94" s="120">
        <v>240</v>
      </c>
      <c r="AH94" s="56">
        <f t="shared" si="23"/>
        <v>-69.5</v>
      </c>
      <c r="AI94" s="121">
        <f t="shared" si="24"/>
        <v>0.95833333333333304</v>
      </c>
    </row>
    <row r="95" spans="1:88" x14ac:dyDescent="0.25">
      <c r="A95" s="122" t="s">
        <v>98</v>
      </c>
      <c r="B95" s="62">
        <v>-3.7</v>
      </c>
      <c r="C95" s="62">
        <v>-9.5</v>
      </c>
      <c r="D95" s="62">
        <v>-4.8</v>
      </c>
      <c r="E95" s="62">
        <v>-0.7</v>
      </c>
      <c r="F95" s="62">
        <v>-6.1</v>
      </c>
      <c r="G95" s="62">
        <v>-7.9</v>
      </c>
      <c r="H95" s="62">
        <v>-5.2</v>
      </c>
      <c r="I95" s="62">
        <v>-0.8</v>
      </c>
      <c r="J95" s="62">
        <v>3</v>
      </c>
      <c r="K95" s="62">
        <v>6.8</v>
      </c>
      <c r="L95" s="62">
        <v>5.9</v>
      </c>
      <c r="M95" s="62">
        <v>10</v>
      </c>
      <c r="N95" s="62">
        <v>16.8</v>
      </c>
      <c r="O95" s="62">
        <v>5.6</v>
      </c>
      <c r="P95" s="62">
        <v>6</v>
      </c>
      <c r="Q95" s="62">
        <v>1</v>
      </c>
      <c r="R95" s="62">
        <v>-3</v>
      </c>
      <c r="S95" s="62">
        <v>3.4</v>
      </c>
      <c r="T95" s="62">
        <v>3.4</v>
      </c>
      <c r="U95" s="62">
        <v>-0.3</v>
      </c>
      <c r="V95" s="62">
        <v>3.2</v>
      </c>
      <c r="W95" s="62">
        <v>11.3</v>
      </c>
      <c r="X95" s="62">
        <v>11.3</v>
      </c>
      <c r="Y95" s="62">
        <v>11.7</v>
      </c>
      <c r="Z95" s="62">
        <v>10.6</v>
      </c>
      <c r="AA95" s="62">
        <v>7.7</v>
      </c>
      <c r="AB95" s="62">
        <v>6.1</v>
      </c>
      <c r="AC95" s="62">
        <v>3.4</v>
      </c>
      <c r="AD95" s="62">
        <v>-4.9000000000000004</v>
      </c>
      <c r="AE95" s="62">
        <v>-1.5</v>
      </c>
      <c r="AF95" s="62">
        <v>-3.5</v>
      </c>
      <c r="AG95" s="120">
        <v>60</v>
      </c>
      <c r="AH95" s="56">
        <f t="shared" si="23"/>
        <v>16.8</v>
      </c>
      <c r="AI95" s="121">
        <f t="shared" si="24"/>
        <v>0.41666666666666702</v>
      </c>
    </row>
    <row r="96" spans="1:88" x14ac:dyDescent="0.25">
      <c r="A96" s="124" t="s">
        <v>99</v>
      </c>
      <c r="B96" s="65">
        <v>17.100000000000001</v>
      </c>
      <c r="C96" s="65">
        <v>18.2</v>
      </c>
      <c r="D96" s="65">
        <v>7.9</v>
      </c>
      <c r="E96" s="65">
        <v>9.1999999999999993</v>
      </c>
      <c r="F96" s="65">
        <v>15.9</v>
      </c>
      <c r="G96" s="65">
        <v>27.3</v>
      </c>
      <c r="H96" s="65">
        <v>35.700000000000003</v>
      </c>
      <c r="I96" s="65">
        <v>29.5</v>
      </c>
      <c r="J96" s="65">
        <v>35.200000000000003</v>
      </c>
      <c r="K96" s="65">
        <v>32</v>
      </c>
      <c r="L96" s="65">
        <v>47.4</v>
      </c>
      <c r="M96" s="65">
        <v>45</v>
      </c>
      <c r="N96" s="65">
        <v>41</v>
      </c>
      <c r="O96" s="65">
        <v>59</v>
      </c>
      <c r="P96" s="65">
        <v>58.1</v>
      </c>
      <c r="Q96" s="65">
        <v>48.5</v>
      </c>
      <c r="R96" s="65">
        <v>31.1</v>
      </c>
      <c r="S96" s="65">
        <v>41.9</v>
      </c>
      <c r="T96" s="65">
        <v>41.9</v>
      </c>
      <c r="U96" s="65">
        <v>45.7</v>
      </c>
      <c r="V96" s="65">
        <v>52.3</v>
      </c>
      <c r="W96" s="65">
        <v>89.9</v>
      </c>
      <c r="X96" s="65">
        <v>89.9</v>
      </c>
      <c r="Y96" s="65">
        <v>53.6</v>
      </c>
      <c r="Z96" s="65">
        <v>31.5</v>
      </c>
      <c r="AA96" s="65">
        <v>29.8</v>
      </c>
      <c r="AB96" s="65">
        <v>20.100000000000001</v>
      </c>
      <c r="AC96" s="65">
        <v>2.4</v>
      </c>
      <c r="AD96" s="65">
        <v>12.8</v>
      </c>
      <c r="AE96" s="65">
        <v>-3.5</v>
      </c>
      <c r="AF96" s="65">
        <v>3.9</v>
      </c>
      <c r="AG96" s="127">
        <v>120</v>
      </c>
      <c r="AH96" s="56">
        <f t="shared" si="23"/>
        <v>89.9</v>
      </c>
      <c r="AI96" s="121">
        <f t="shared" si="24"/>
        <v>0.75</v>
      </c>
    </row>
    <row r="97" spans="1:37" x14ac:dyDescent="0.25">
      <c r="A97" s="124" t="s">
        <v>100</v>
      </c>
      <c r="B97" s="65">
        <v>31.1</v>
      </c>
      <c r="C97" s="65">
        <v>30.6</v>
      </c>
      <c r="D97" s="65">
        <v>21.5</v>
      </c>
      <c r="E97" s="65">
        <v>21.4</v>
      </c>
      <c r="F97" s="65">
        <v>26.8</v>
      </c>
      <c r="G97" s="65">
        <v>35.4</v>
      </c>
      <c r="H97" s="65">
        <v>39.299999999999997</v>
      </c>
      <c r="I97" s="65">
        <v>31.2</v>
      </c>
      <c r="J97" s="65">
        <v>37.5</v>
      </c>
      <c r="K97" s="65">
        <v>32.799999999999997</v>
      </c>
      <c r="L97" s="65">
        <v>41.4</v>
      </c>
      <c r="M97" s="65">
        <v>39</v>
      </c>
      <c r="N97" s="65">
        <v>28</v>
      </c>
      <c r="O97" s="65">
        <v>53.1</v>
      </c>
      <c r="P97" s="65">
        <v>53.6</v>
      </c>
      <c r="Q97" s="65">
        <v>45</v>
      </c>
      <c r="R97" s="65">
        <v>33</v>
      </c>
      <c r="S97" s="65">
        <v>43.2</v>
      </c>
      <c r="T97" s="65">
        <v>43.2</v>
      </c>
      <c r="U97" s="65">
        <v>44</v>
      </c>
      <c r="V97" s="65">
        <v>43.9</v>
      </c>
      <c r="W97" s="65">
        <v>68.8</v>
      </c>
      <c r="X97" s="65">
        <v>68.8</v>
      </c>
      <c r="Y97" s="65">
        <v>44.6</v>
      </c>
      <c r="Z97" s="65">
        <v>29.5</v>
      </c>
      <c r="AA97" s="65">
        <v>29.1</v>
      </c>
      <c r="AB97" s="65">
        <v>21.1</v>
      </c>
      <c r="AC97" s="65">
        <v>9.6999999999999993</v>
      </c>
      <c r="AD97" s="65">
        <v>24.9</v>
      </c>
      <c r="AE97" s="65">
        <v>14</v>
      </c>
      <c r="AF97" s="65">
        <v>23.4</v>
      </c>
      <c r="AG97" s="127"/>
      <c r="AH97" s="56">
        <f t="shared" si="23"/>
        <v>68.8</v>
      </c>
      <c r="AI97" s="121">
        <f t="shared" si="24"/>
        <v>0.75</v>
      </c>
    </row>
    <row r="98" spans="1:37" ht="15.75" thickBot="1" x14ac:dyDescent="0.3">
      <c r="A98" s="124" t="s">
        <v>101</v>
      </c>
      <c r="B98" s="65">
        <v>52.1</v>
      </c>
      <c r="C98" s="65">
        <v>49.5</v>
      </c>
      <c r="D98" s="65">
        <v>44.6</v>
      </c>
      <c r="E98" s="65">
        <v>43.9</v>
      </c>
      <c r="F98" s="65">
        <v>40.6</v>
      </c>
      <c r="G98" s="65">
        <v>48.1</v>
      </c>
      <c r="H98" s="65">
        <v>54.1</v>
      </c>
      <c r="I98" s="65">
        <v>48</v>
      </c>
      <c r="J98" s="65">
        <v>40.6</v>
      </c>
      <c r="K98" s="65">
        <v>23</v>
      </c>
      <c r="L98" s="65">
        <v>25.3</v>
      </c>
      <c r="M98" s="65">
        <v>23.2</v>
      </c>
      <c r="N98" s="65">
        <v>34.799999999999997</v>
      </c>
      <c r="O98" s="65">
        <v>38.200000000000003</v>
      </c>
      <c r="P98" s="65">
        <v>45.2</v>
      </c>
      <c r="Q98" s="65">
        <v>41.2</v>
      </c>
      <c r="R98" s="65">
        <v>43.9</v>
      </c>
      <c r="S98" s="65">
        <v>50</v>
      </c>
      <c r="T98" s="65">
        <v>50</v>
      </c>
      <c r="U98" s="65">
        <v>37.9</v>
      </c>
      <c r="V98" s="65">
        <v>27</v>
      </c>
      <c r="W98" s="65">
        <v>48.8</v>
      </c>
      <c r="X98" s="65">
        <v>48.8</v>
      </c>
      <c r="Y98" s="65">
        <v>29.1</v>
      </c>
      <c r="Z98" s="65">
        <v>20.100000000000001</v>
      </c>
      <c r="AA98" s="65">
        <v>22.4</v>
      </c>
      <c r="AB98" s="65">
        <v>14.3</v>
      </c>
      <c r="AC98" s="65">
        <v>7.5</v>
      </c>
      <c r="AD98" s="65">
        <v>27.3</v>
      </c>
      <c r="AE98" s="65">
        <v>40.5</v>
      </c>
      <c r="AF98" s="65">
        <v>40.299999999999997</v>
      </c>
      <c r="AG98" s="128"/>
      <c r="AH98" s="56">
        <f t="shared" si="23"/>
        <v>54.1</v>
      </c>
      <c r="AI98" s="121">
        <f t="shared" si="24"/>
        <v>0.25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5">B100</f>
        <v>9.9</v>
      </c>
      <c r="D100" s="134">
        <f t="shared" si="25"/>
        <v>9.9</v>
      </c>
      <c r="E100" s="134">
        <f t="shared" si="25"/>
        <v>9.9</v>
      </c>
      <c r="F100" s="134">
        <f t="shared" si="25"/>
        <v>9.9</v>
      </c>
      <c r="G100" s="134">
        <f t="shared" si="25"/>
        <v>9.9</v>
      </c>
      <c r="H100" s="134">
        <f t="shared" si="25"/>
        <v>9.9</v>
      </c>
      <c r="I100" s="134">
        <f t="shared" si="25"/>
        <v>9.9</v>
      </c>
      <c r="J100" s="134">
        <f t="shared" si="25"/>
        <v>9.9</v>
      </c>
      <c r="K100" s="134">
        <f t="shared" si="25"/>
        <v>9.9</v>
      </c>
      <c r="L100" s="134">
        <f t="shared" si="25"/>
        <v>9.9</v>
      </c>
      <c r="M100" s="134">
        <f t="shared" si="25"/>
        <v>9.9</v>
      </c>
      <c r="N100" s="134">
        <f t="shared" si="25"/>
        <v>9.9</v>
      </c>
      <c r="O100" s="134">
        <f t="shared" si="25"/>
        <v>9.9</v>
      </c>
      <c r="P100" s="134">
        <f t="shared" si="25"/>
        <v>9.9</v>
      </c>
      <c r="Q100" s="134">
        <f t="shared" si="25"/>
        <v>9.9</v>
      </c>
      <c r="R100" s="134">
        <f t="shared" si="25"/>
        <v>9.9</v>
      </c>
      <c r="S100" s="134">
        <f t="shared" ref="S100:AF105" si="26">R100</f>
        <v>9.9</v>
      </c>
      <c r="T100" s="134">
        <f t="shared" si="26"/>
        <v>9.9</v>
      </c>
      <c r="U100" s="134">
        <f t="shared" si="26"/>
        <v>9.9</v>
      </c>
      <c r="V100" s="134">
        <f t="shared" si="26"/>
        <v>9.9</v>
      </c>
      <c r="W100" s="134">
        <f t="shared" si="26"/>
        <v>9.9</v>
      </c>
      <c r="X100" s="134">
        <f t="shared" si="26"/>
        <v>9.9</v>
      </c>
      <c r="Y100" s="134">
        <f t="shared" si="26"/>
        <v>9.9</v>
      </c>
      <c r="Z100" s="134">
        <f t="shared" si="26"/>
        <v>9.9</v>
      </c>
      <c r="AA100" s="134">
        <f t="shared" si="26"/>
        <v>9.9</v>
      </c>
      <c r="AB100" s="134">
        <f t="shared" si="26"/>
        <v>9.9</v>
      </c>
      <c r="AC100" s="134">
        <f t="shared" si="26"/>
        <v>9.9</v>
      </c>
      <c r="AD100" s="134">
        <f t="shared" si="26"/>
        <v>9.9</v>
      </c>
      <c r="AE100" s="134">
        <f t="shared" si="26"/>
        <v>9.9</v>
      </c>
      <c r="AF100" s="134">
        <f t="shared" si="26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5"/>
        <v>9.6</v>
      </c>
      <c r="D101" s="137">
        <f t="shared" si="25"/>
        <v>9.6</v>
      </c>
      <c r="E101" s="137">
        <f t="shared" si="25"/>
        <v>9.6</v>
      </c>
      <c r="F101" s="137">
        <f t="shared" si="25"/>
        <v>9.6</v>
      </c>
      <c r="G101" s="137">
        <f t="shared" si="25"/>
        <v>9.6</v>
      </c>
      <c r="H101" s="137">
        <f t="shared" si="25"/>
        <v>9.6</v>
      </c>
      <c r="I101" s="137">
        <f t="shared" si="25"/>
        <v>9.6</v>
      </c>
      <c r="J101" s="137">
        <f t="shared" si="25"/>
        <v>9.6</v>
      </c>
      <c r="K101" s="137">
        <f t="shared" si="25"/>
        <v>9.6</v>
      </c>
      <c r="L101" s="137">
        <f t="shared" si="25"/>
        <v>9.6</v>
      </c>
      <c r="M101" s="137">
        <f t="shared" si="25"/>
        <v>9.6</v>
      </c>
      <c r="N101" s="137">
        <f t="shared" si="25"/>
        <v>9.6</v>
      </c>
      <c r="O101" s="137">
        <f t="shared" si="25"/>
        <v>9.6</v>
      </c>
      <c r="P101" s="137">
        <f t="shared" si="25"/>
        <v>9.6</v>
      </c>
      <c r="Q101" s="137">
        <f t="shared" si="25"/>
        <v>9.6</v>
      </c>
      <c r="R101" s="137">
        <f t="shared" si="25"/>
        <v>9.6</v>
      </c>
      <c r="S101" s="137">
        <f t="shared" si="26"/>
        <v>9.6</v>
      </c>
      <c r="T101" s="137">
        <f t="shared" si="26"/>
        <v>9.6</v>
      </c>
      <c r="U101" s="137">
        <f t="shared" si="26"/>
        <v>9.6</v>
      </c>
      <c r="V101" s="137">
        <f t="shared" si="26"/>
        <v>9.6</v>
      </c>
      <c r="W101" s="137">
        <f t="shared" si="26"/>
        <v>9.6</v>
      </c>
      <c r="X101" s="137">
        <f t="shared" si="26"/>
        <v>9.6</v>
      </c>
      <c r="Y101" s="137">
        <f t="shared" si="26"/>
        <v>9.6</v>
      </c>
      <c r="Z101" s="137">
        <f t="shared" si="26"/>
        <v>9.6</v>
      </c>
      <c r="AA101" s="137">
        <f t="shared" si="26"/>
        <v>9.6</v>
      </c>
      <c r="AB101" s="137">
        <f t="shared" si="26"/>
        <v>9.6</v>
      </c>
      <c r="AC101" s="137">
        <f t="shared" si="26"/>
        <v>9.6</v>
      </c>
      <c r="AD101" s="137">
        <f t="shared" si="26"/>
        <v>9.6</v>
      </c>
      <c r="AE101" s="137">
        <f t="shared" si="26"/>
        <v>9.6</v>
      </c>
      <c r="AF101" s="137">
        <f t="shared" si="26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5"/>
        <v>9.98</v>
      </c>
      <c r="D102" s="137">
        <f t="shared" si="25"/>
        <v>9.98</v>
      </c>
      <c r="E102" s="137">
        <f t="shared" si="25"/>
        <v>9.98</v>
      </c>
      <c r="F102" s="137">
        <f t="shared" si="25"/>
        <v>9.98</v>
      </c>
      <c r="G102" s="137">
        <f t="shared" si="25"/>
        <v>9.98</v>
      </c>
      <c r="H102" s="137">
        <f t="shared" si="25"/>
        <v>9.98</v>
      </c>
      <c r="I102" s="137">
        <f t="shared" si="25"/>
        <v>9.98</v>
      </c>
      <c r="J102" s="137">
        <f t="shared" si="25"/>
        <v>9.98</v>
      </c>
      <c r="K102" s="137">
        <f t="shared" si="25"/>
        <v>9.98</v>
      </c>
      <c r="L102" s="137">
        <f t="shared" si="25"/>
        <v>9.98</v>
      </c>
      <c r="M102" s="137">
        <f t="shared" si="25"/>
        <v>9.98</v>
      </c>
      <c r="N102" s="137">
        <f t="shared" si="25"/>
        <v>9.98</v>
      </c>
      <c r="O102" s="137">
        <f t="shared" si="25"/>
        <v>9.98</v>
      </c>
      <c r="P102" s="137">
        <f t="shared" si="25"/>
        <v>9.98</v>
      </c>
      <c r="Q102" s="137">
        <f t="shared" si="25"/>
        <v>9.98</v>
      </c>
      <c r="R102" s="137">
        <f t="shared" si="25"/>
        <v>9.98</v>
      </c>
      <c r="S102" s="137">
        <f t="shared" si="26"/>
        <v>9.98</v>
      </c>
      <c r="T102" s="137">
        <f t="shared" si="26"/>
        <v>9.98</v>
      </c>
      <c r="U102" s="137">
        <f t="shared" si="26"/>
        <v>9.98</v>
      </c>
      <c r="V102" s="137">
        <f t="shared" si="26"/>
        <v>9.98</v>
      </c>
      <c r="W102" s="137">
        <f t="shared" si="26"/>
        <v>9.98</v>
      </c>
      <c r="X102" s="137">
        <f t="shared" si="26"/>
        <v>9.98</v>
      </c>
      <c r="Y102" s="137">
        <f t="shared" si="26"/>
        <v>9.98</v>
      </c>
      <c r="Z102" s="137">
        <f t="shared" si="26"/>
        <v>9.98</v>
      </c>
      <c r="AA102" s="137">
        <f t="shared" si="26"/>
        <v>9.98</v>
      </c>
      <c r="AB102" s="137">
        <f t="shared" si="26"/>
        <v>9.98</v>
      </c>
      <c r="AC102" s="137">
        <f t="shared" si="26"/>
        <v>9.98</v>
      </c>
      <c r="AD102" s="137">
        <f t="shared" si="26"/>
        <v>9.98</v>
      </c>
      <c r="AE102" s="137">
        <f t="shared" si="26"/>
        <v>9.98</v>
      </c>
      <c r="AF102" s="137">
        <f t="shared" si="26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5"/>
        <v>9.1</v>
      </c>
      <c r="D103" s="137">
        <f t="shared" si="25"/>
        <v>9.1</v>
      </c>
      <c r="E103" s="137">
        <f t="shared" si="25"/>
        <v>9.1</v>
      </c>
      <c r="F103" s="137">
        <f t="shared" si="25"/>
        <v>9.1</v>
      </c>
      <c r="G103" s="137">
        <f t="shared" si="25"/>
        <v>9.1</v>
      </c>
      <c r="H103" s="137">
        <f t="shared" si="25"/>
        <v>9.1</v>
      </c>
      <c r="I103" s="137">
        <f t="shared" si="25"/>
        <v>9.1</v>
      </c>
      <c r="J103" s="137">
        <f t="shared" si="25"/>
        <v>9.1</v>
      </c>
      <c r="K103" s="137">
        <f t="shared" si="25"/>
        <v>9.1</v>
      </c>
      <c r="L103" s="137">
        <f t="shared" si="25"/>
        <v>9.1</v>
      </c>
      <c r="M103" s="137">
        <f t="shared" si="25"/>
        <v>9.1</v>
      </c>
      <c r="N103" s="137">
        <f t="shared" si="25"/>
        <v>9.1</v>
      </c>
      <c r="O103" s="137">
        <f t="shared" si="25"/>
        <v>9.1</v>
      </c>
      <c r="P103" s="137">
        <f t="shared" si="25"/>
        <v>9.1</v>
      </c>
      <c r="Q103" s="137">
        <f t="shared" si="25"/>
        <v>9.1</v>
      </c>
      <c r="R103" s="137">
        <f t="shared" si="25"/>
        <v>9.1</v>
      </c>
      <c r="S103" s="137">
        <f t="shared" si="26"/>
        <v>9.1</v>
      </c>
      <c r="T103" s="137">
        <f t="shared" si="26"/>
        <v>9.1</v>
      </c>
      <c r="U103" s="137">
        <f t="shared" si="26"/>
        <v>9.1</v>
      </c>
      <c r="V103" s="137">
        <f t="shared" si="26"/>
        <v>9.1</v>
      </c>
      <c r="W103" s="137">
        <f t="shared" si="26"/>
        <v>9.1</v>
      </c>
      <c r="X103" s="137">
        <f t="shared" si="26"/>
        <v>9.1</v>
      </c>
      <c r="Y103" s="137">
        <f t="shared" si="26"/>
        <v>9.1</v>
      </c>
      <c r="Z103" s="137">
        <f t="shared" si="26"/>
        <v>9.1</v>
      </c>
      <c r="AA103" s="137">
        <f t="shared" si="26"/>
        <v>9.1</v>
      </c>
      <c r="AB103" s="137">
        <f t="shared" si="26"/>
        <v>9.1</v>
      </c>
      <c r="AC103" s="137">
        <f t="shared" si="26"/>
        <v>9.1</v>
      </c>
      <c r="AD103" s="137">
        <f t="shared" si="26"/>
        <v>9.1</v>
      </c>
      <c r="AE103" s="137">
        <f t="shared" si="26"/>
        <v>9.1</v>
      </c>
      <c r="AF103" s="137">
        <f t="shared" si="26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5"/>
        <v>9.18</v>
      </c>
      <c r="D104" s="137">
        <f t="shared" si="25"/>
        <v>9.18</v>
      </c>
      <c r="E104" s="137">
        <f t="shared" si="25"/>
        <v>9.18</v>
      </c>
      <c r="F104" s="137">
        <f t="shared" si="25"/>
        <v>9.18</v>
      </c>
      <c r="G104" s="137">
        <f t="shared" si="25"/>
        <v>9.18</v>
      </c>
      <c r="H104" s="137">
        <f t="shared" si="25"/>
        <v>9.18</v>
      </c>
      <c r="I104" s="137">
        <f t="shared" si="25"/>
        <v>9.18</v>
      </c>
      <c r="J104" s="137">
        <f t="shared" si="25"/>
        <v>9.18</v>
      </c>
      <c r="K104" s="137">
        <f t="shared" si="25"/>
        <v>9.18</v>
      </c>
      <c r="L104" s="137">
        <f t="shared" si="25"/>
        <v>9.18</v>
      </c>
      <c r="M104" s="137">
        <f t="shared" si="25"/>
        <v>9.18</v>
      </c>
      <c r="N104" s="137">
        <f t="shared" si="25"/>
        <v>9.18</v>
      </c>
      <c r="O104" s="137">
        <f t="shared" si="25"/>
        <v>9.18</v>
      </c>
      <c r="P104" s="137">
        <f t="shared" si="25"/>
        <v>9.18</v>
      </c>
      <c r="Q104" s="137">
        <f t="shared" si="25"/>
        <v>9.18</v>
      </c>
      <c r="R104" s="137">
        <f t="shared" si="25"/>
        <v>9.18</v>
      </c>
      <c r="S104" s="137">
        <f t="shared" si="26"/>
        <v>9.18</v>
      </c>
      <c r="T104" s="137">
        <f t="shared" si="26"/>
        <v>9.18</v>
      </c>
      <c r="U104" s="137">
        <f t="shared" si="26"/>
        <v>9.18</v>
      </c>
      <c r="V104" s="137">
        <f t="shared" si="26"/>
        <v>9.18</v>
      </c>
      <c r="W104" s="137">
        <f t="shared" si="26"/>
        <v>9.18</v>
      </c>
      <c r="X104" s="137">
        <f t="shared" si="26"/>
        <v>9.18</v>
      </c>
      <c r="Y104" s="137">
        <f t="shared" si="26"/>
        <v>9.18</v>
      </c>
      <c r="Z104" s="137">
        <f t="shared" si="26"/>
        <v>9.18</v>
      </c>
      <c r="AA104" s="137">
        <f t="shared" si="26"/>
        <v>9.18</v>
      </c>
      <c r="AB104" s="137">
        <f t="shared" si="26"/>
        <v>9.18</v>
      </c>
      <c r="AC104" s="137">
        <f t="shared" si="26"/>
        <v>9.18</v>
      </c>
      <c r="AD104" s="137">
        <f t="shared" si="26"/>
        <v>9.18</v>
      </c>
      <c r="AE104" s="137">
        <f t="shared" si="26"/>
        <v>9.18</v>
      </c>
      <c r="AF104" s="137">
        <f t="shared" si="26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5"/>
        <v>7</v>
      </c>
      <c r="D105" s="137">
        <f t="shared" si="25"/>
        <v>7</v>
      </c>
      <c r="E105" s="137">
        <f t="shared" si="25"/>
        <v>7</v>
      </c>
      <c r="F105" s="137">
        <f t="shared" si="25"/>
        <v>7</v>
      </c>
      <c r="G105" s="137">
        <f t="shared" si="25"/>
        <v>7</v>
      </c>
      <c r="H105" s="137">
        <f t="shared" si="25"/>
        <v>7</v>
      </c>
      <c r="I105" s="137">
        <f t="shared" si="25"/>
        <v>7</v>
      </c>
      <c r="J105" s="137">
        <f t="shared" si="25"/>
        <v>7</v>
      </c>
      <c r="K105" s="137">
        <f t="shared" si="25"/>
        <v>7</v>
      </c>
      <c r="L105" s="137">
        <f t="shared" si="25"/>
        <v>7</v>
      </c>
      <c r="M105" s="137">
        <f t="shared" si="25"/>
        <v>7</v>
      </c>
      <c r="N105" s="137">
        <f t="shared" si="25"/>
        <v>7</v>
      </c>
      <c r="O105" s="137">
        <f t="shared" si="25"/>
        <v>7</v>
      </c>
      <c r="P105" s="137">
        <f t="shared" si="25"/>
        <v>7</v>
      </c>
      <c r="Q105" s="137">
        <f t="shared" si="25"/>
        <v>7</v>
      </c>
      <c r="R105" s="137">
        <f t="shared" si="25"/>
        <v>7</v>
      </c>
      <c r="S105" s="137">
        <f t="shared" si="26"/>
        <v>7</v>
      </c>
      <c r="T105" s="137">
        <f t="shared" si="26"/>
        <v>7</v>
      </c>
      <c r="U105" s="137">
        <f t="shared" si="26"/>
        <v>7</v>
      </c>
      <c r="V105" s="137">
        <f t="shared" si="26"/>
        <v>7</v>
      </c>
      <c r="W105" s="137">
        <f t="shared" si="26"/>
        <v>7</v>
      </c>
      <c r="X105" s="137">
        <f t="shared" si="26"/>
        <v>7</v>
      </c>
      <c r="Y105" s="137">
        <f t="shared" si="26"/>
        <v>7</v>
      </c>
      <c r="Z105" s="137">
        <f t="shared" si="26"/>
        <v>7</v>
      </c>
      <c r="AA105" s="137">
        <f t="shared" si="26"/>
        <v>7</v>
      </c>
      <c r="AB105" s="137">
        <f t="shared" si="26"/>
        <v>7</v>
      </c>
      <c r="AC105" s="137">
        <f t="shared" si="26"/>
        <v>7</v>
      </c>
      <c r="AD105" s="137">
        <f t="shared" si="26"/>
        <v>7</v>
      </c>
      <c r="AE105" s="137">
        <f t="shared" si="26"/>
        <v>7</v>
      </c>
      <c r="AF105" s="137">
        <f t="shared" si="26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7">B107</f>
        <v>2.25</v>
      </c>
      <c r="D107" s="137">
        <f t="shared" si="27"/>
        <v>2.25</v>
      </c>
      <c r="E107" s="137">
        <f t="shared" si="27"/>
        <v>2.25</v>
      </c>
      <c r="F107" s="137">
        <f t="shared" si="27"/>
        <v>2.25</v>
      </c>
      <c r="G107" s="137">
        <f t="shared" si="27"/>
        <v>2.25</v>
      </c>
      <c r="H107" s="137">
        <f t="shared" si="27"/>
        <v>2.25</v>
      </c>
      <c r="I107" s="137">
        <f t="shared" si="27"/>
        <v>2.25</v>
      </c>
      <c r="J107" s="137">
        <f t="shared" si="27"/>
        <v>2.25</v>
      </c>
      <c r="K107" s="137">
        <f t="shared" si="27"/>
        <v>2.25</v>
      </c>
      <c r="L107" s="137">
        <f t="shared" si="27"/>
        <v>2.25</v>
      </c>
      <c r="M107" s="137">
        <f t="shared" si="27"/>
        <v>2.25</v>
      </c>
      <c r="N107" s="137">
        <f t="shared" si="27"/>
        <v>2.25</v>
      </c>
      <c r="O107" s="137">
        <f t="shared" si="27"/>
        <v>2.25</v>
      </c>
      <c r="P107" s="137">
        <f t="shared" si="27"/>
        <v>2.25</v>
      </c>
      <c r="Q107" s="137">
        <f t="shared" si="27"/>
        <v>2.25</v>
      </c>
      <c r="R107" s="137">
        <f t="shared" si="27"/>
        <v>2.25</v>
      </c>
      <c r="S107" s="137">
        <f t="shared" ref="S107:AF108" si="28">R107</f>
        <v>2.25</v>
      </c>
      <c r="T107" s="137">
        <f t="shared" si="28"/>
        <v>2.25</v>
      </c>
      <c r="U107" s="137">
        <f t="shared" si="28"/>
        <v>2.25</v>
      </c>
      <c r="V107" s="137">
        <f t="shared" si="28"/>
        <v>2.25</v>
      </c>
      <c r="W107" s="137">
        <f t="shared" si="28"/>
        <v>2.25</v>
      </c>
      <c r="X107" s="137">
        <f t="shared" si="28"/>
        <v>2.25</v>
      </c>
      <c r="Y107" s="137">
        <f t="shared" si="28"/>
        <v>2.25</v>
      </c>
      <c r="Z107" s="137">
        <f t="shared" si="28"/>
        <v>2.25</v>
      </c>
      <c r="AA107" s="137">
        <f t="shared" si="28"/>
        <v>2.25</v>
      </c>
      <c r="AB107" s="137">
        <f t="shared" si="28"/>
        <v>2.25</v>
      </c>
      <c r="AC107" s="137">
        <f t="shared" si="28"/>
        <v>2.25</v>
      </c>
      <c r="AD107" s="137">
        <f t="shared" si="28"/>
        <v>2.25</v>
      </c>
      <c r="AE107" s="137">
        <f t="shared" si="28"/>
        <v>2.25</v>
      </c>
      <c r="AF107" s="137">
        <f t="shared" si="28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7"/>
        <v>1.64</v>
      </c>
      <c r="D108" s="137">
        <f t="shared" si="27"/>
        <v>1.64</v>
      </c>
      <c r="E108" s="137">
        <f t="shared" si="27"/>
        <v>1.64</v>
      </c>
      <c r="F108" s="137">
        <f t="shared" si="27"/>
        <v>1.64</v>
      </c>
      <c r="G108" s="137">
        <f t="shared" si="27"/>
        <v>1.64</v>
      </c>
      <c r="H108" s="137">
        <f t="shared" si="27"/>
        <v>1.64</v>
      </c>
      <c r="I108" s="137">
        <f t="shared" si="27"/>
        <v>1.64</v>
      </c>
      <c r="J108" s="137">
        <f t="shared" si="27"/>
        <v>1.64</v>
      </c>
      <c r="K108" s="137">
        <f t="shared" si="27"/>
        <v>1.64</v>
      </c>
      <c r="L108" s="137">
        <f t="shared" si="27"/>
        <v>1.64</v>
      </c>
      <c r="M108" s="137">
        <f t="shared" si="27"/>
        <v>1.64</v>
      </c>
      <c r="N108" s="137">
        <f t="shared" si="27"/>
        <v>1.64</v>
      </c>
      <c r="O108" s="137">
        <f t="shared" si="27"/>
        <v>1.64</v>
      </c>
      <c r="P108" s="137">
        <f t="shared" si="27"/>
        <v>1.64</v>
      </c>
      <c r="Q108" s="137">
        <f t="shared" si="27"/>
        <v>1.64</v>
      </c>
      <c r="R108" s="137">
        <f t="shared" si="27"/>
        <v>1.64</v>
      </c>
      <c r="S108" s="137">
        <f t="shared" si="28"/>
        <v>1.64</v>
      </c>
      <c r="T108" s="137">
        <f t="shared" si="28"/>
        <v>1.64</v>
      </c>
      <c r="U108" s="137">
        <f t="shared" si="28"/>
        <v>1.64</v>
      </c>
      <c r="V108" s="137">
        <f t="shared" si="28"/>
        <v>1.64</v>
      </c>
      <c r="W108" s="137">
        <f t="shared" si="28"/>
        <v>1.64</v>
      </c>
      <c r="X108" s="137">
        <f t="shared" si="28"/>
        <v>1.64</v>
      </c>
      <c r="Y108" s="137">
        <f t="shared" si="28"/>
        <v>1.64</v>
      </c>
      <c r="Z108" s="137">
        <f t="shared" si="28"/>
        <v>1.64</v>
      </c>
      <c r="AA108" s="137">
        <f t="shared" si="28"/>
        <v>1.64</v>
      </c>
      <c r="AB108" s="137">
        <f t="shared" si="28"/>
        <v>1.64</v>
      </c>
      <c r="AC108" s="137">
        <f t="shared" si="28"/>
        <v>1.64</v>
      </c>
      <c r="AD108" s="137">
        <f t="shared" si="28"/>
        <v>1.64</v>
      </c>
      <c r="AE108" s="137">
        <f t="shared" si="28"/>
        <v>1.64</v>
      </c>
      <c r="AF108" s="137">
        <f t="shared" si="28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9">B110</f>
        <v>1.62</v>
      </c>
      <c r="D110" s="137">
        <f t="shared" si="29"/>
        <v>1.62</v>
      </c>
      <c r="E110" s="137">
        <f t="shared" si="29"/>
        <v>1.62</v>
      </c>
      <c r="F110" s="137">
        <f t="shared" si="29"/>
        <v>1.62</v>
      </c>
      <c r="G110" s="137">
        <f t="shared" si="29"/>
        <v>1.62</v>
      </c>
      <c r="H110" s="137">
        <f t="shared" si="29"/>
        <v>1.62</v>
      </c>
      <c r="I110" s="137">
        <f t="shared" si="29"/>
        <v>1.62</v>
      </c>
      <c r="J110" s="137">
        <f t="shared" si="29"/>
        <v>1.62</v>
      </c>
      <c r="K110" s="137">
        <f t="shared" si="29"/>
        <v>1.62</v>
      </c>
      <c r="L110" s="137">
        <f t="shared" si="29"/>
        <v>1.62</v>
      </c>
      <c r="M110" s="137">
        <f t="shared" si="29"/>
        <v>1.62</v>
      </c>
      <c r="N110" s="137">
        <f t="shared" si="29"/>
        <v>1.62</v>
      </c>
      <c r="O110" s="137">
        <f t="shared" si="29"/>
        <v>1.62</v>
      </c>
      <c r="P110" s="137">
        <f t="shared" si="29"/>
        <v>1.62</v>
      </c>
      <c r="Q110" s="137">
        <f t="shared" si="29"/>
        <v>1.62</v>
      </c>
      <c r="R110" s="137">
        <f t="shared" si="29"/>
        <v>1.62</v>
      </c>
      <c r="S110" s="137">
        <f t="shared" ref="S110:AF125" si="30">R110</f>
        <v>1.62</v>
      </c>
      <c r="T110" s="137">
        <f t="shared" si="30"/>
        <v>1.62</v>
      </c>
      <c r="U110" s="137">
        <f t="shared" si="30"/>
        <v>1.62</v>
      </c>
      <c r="V110" s="137">
        <f t="shared" si="30"/>
        <v>1.62</v>
      </c>
      <c r="W110" s="137">
        <f t="shared" si="30"/>
        <v>1.62</v>
      </c>
      <c r="X110" s="137">
        <f t="shared" si="30"/>
        <v>1.62</v>
      </c>
      <c r="Y110" s="137">
        <f t="shared" si="30"/>
        <v>1.62</v>
      </c>
      <c r="Z110" s="137">
        <f t="shared" si="30"/>
        <v>1.62</v>
      </c>
      <c r="AA110" s="137">
        <f t="shared" si="30"/>
        <v>1.62</v>
      </c>
      <c r="AB110" s="137">
        <f t="shared" si="30"/>
        <v>1.62</v>
      </c>
      <c r="AC110" s="137">
        <f t="shared" si="30"/>
        <v>1.62</v>
      </c>
      <c r="AD110" s="137">
        <f t="shared" si="30"/>
        <v>1.62</v>
      </c>
      <c r="AE110" s="137">
        <f t="shared" si="30"/>
        <v>1.62</v>
      </c>
      <c r="AF110" s="137">
        <f t="shared" si="30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9"/>
        <v>8.36</v>
      </c>
      <c r="D111" s="137">
        <f t="shared" si="29"/>
        <v>8.36</v>
      </c>
      <c r="E111" s="137">
        <f t="shared" si="29"/>
        <v>8.36</v>
      </c>
      <c r="F111" s="137">
        <f t="shared" si="29"/>
        <v>8.36</v>
      </c>
      <c r="G111" s="137">
        <f t="shared" si="29"/>
        <v>8.36</v>
      </c>
      <c r="H111" s="137">
        <f t="shared" si="29"/>
        <v>8.36</v>
      </c>
      <c r="I111" s="137">
        <f t="shared" si="29"/>
        <v>8.36</v>
      </c>
      <c r="J111" s="137">
        <f t="shared" si="29"/>
        <v>8.36</v>
      </c>
      <c r="K111" s="137">
        <f t="shared" si="29"/>
        <v>8.36</v>
      </c>
      <c r="L111" s="137">
        <f t="shared" si="29"/>
        <v>8.36</v>
      </c>
      <c r="M111" s="137">
        <f t="shared" si="29"/>
        <v>8.36</v>
      </c>
      <c r="N111" s="137">
        <f t="shared" si="29"/>
        <v>8.36</v>
      </c>
      <c r="O111" s="137">
        <f t="shared" si="29"/>
        <v>8.36</v>
      </c>
      <c r="P111" s="137">
        <f t="shared" si="29"/>
        <v>8.36</v>
      </c>
      <c r="Q111" s="137">
        <f t="shared" si="29"/>
        <v>8.36</v>
      </c>
      <c r="R111" s="137">
        <f t="shared" si="29"/>
        <v>8.36</v>
      </c>
      <c r="S111" s="137">
        <f t="shared" si="30"/>
        <v>8.36</v>
      </c>
      <c r="T111" s="137">
        <f t="shared" si="30"/>
        <v>8.36</v>
      </c>
      <c r="U111" s="137">
        <f t="shared" si="30"/>
        <v>8.36</v>
      </c>
      <c r="V111" s="137">
        <f t="shared" si="30"/>
        <v>8.36</v>
      </c>
      <c r="W111" s="137">
        <f t="shared" si="30"/>
        <v>8.36</v>
      </c>
      <c r="X111" s="137">
        <f t="shared" si="30"/>
        <v>8.36</v>
      </c>
      <c r="Y111" s="137">
        <f t="shared" si="30"/>
        <v>8.36</v>
      </c>
      <c r="Z111" s="137">
        <f t="shared" si="30"/>
        <v>8.36</v>
      </c>
      <c r="AA111" s="137">
        <f t="shared" si="30"/>
        <v>8.36</v>
      </c>
      <c r="AB111" s="137">
        <f t="shared" si="30"/>
        <v>8.36</v>
      </c>
      <c r="AC111" s="137">
        <f t="shared" si="30"/>
        <v>8.36</v>
      </c>
      <c r="AD111" s="137">
        <f t="shared" si="30"/>
        <v>8.36</v>
      </c>
      <c r="AE111" s="137">
        <f t="shared" si="30"/>
        <v>8.36</v>
      </c>
      <c r="AF111" s="137">
        <f t="shared" si="30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9"/>
        <v>8</v>
      </c>
      <c r="D112" s="137">
        <f t="shared" si="29"/>
        <v>8</v>
      </c>
      <c r="E112" s="137">
        <f t="shared" si="29"/>
        <v>8</v>
      </c>
      <c r="F112" s="137">
        <f t="shared" si="29"/>
        <v>8</v>
      </c>
      <c r="G112" s="137">
        <f t="shared" si="29"/>
        <v>8</v>
      </c>
      <c r="H112" s="137">
        <f t="shared" si="29"/>
        <v>8</v>
      </c>
      <c r="I112" s="137">
        <v>5.4</v>
      </c>
      <c r="J112" s="137">
        <f t="shared" si="29"/>
        <v>5.4</v>
      </c>
      <c r="K112" s="137">
        <f t="shared" si="29"/>
        <v>5.4</v>
      </c>
      <c r="L112" s="137">
        <f t="shared" si="29"/>
        <v>5.4</v>
      </c>
      <c r="M112" s="137">
        <f t="shared" si="29"/>
        <v>5.4</v>
      </c>
      <c r="N112" s="137">
        <f t="shared" si="29"/>
        <v>5.4</v>
      </c>
      <c r="O112" s="137">
        <f t="shared" si="29"/>
        <v>5.4</v>
      </c>
      <c r="P112" s="137">
        <f t="shared" si="29"/>
        <v>5.4</v>
      </c>
      <c r="Q112" s="137">
        <f t="shared" si="29"/>
        <v>5.4</v>
      </c>
      <c r="R112" s="137">
        <f t="shared" si="29"/>
        <v>5.4</v>
      </c>
      <c r="S112" s="137">
        <f t="shared" si="30"/>
        <v>5.4</v>
      </c>
      <c r="T112" s="137">
        <f t="shared" si="30"/>
        <v>5.4</v>
      </c>
      <c r="U112" s="137">
        <f t="shared" si="30"/>
        <v>5.4</v>
      </c>
      <c r="V112" s="137">
        <f t="shared" si="30"/>
        <v>5.4</v>
      </c>
      <c r="W112" s="137">
        <f t="shared" si="30"/>
        <v>5.4</v>
      </c>
      <c r="X112" s="137">
        <f t="shared" si="30"/>
        <v>5.4</v>
      </c>
      <c r="Y112" s="137">
        <f t="shared" si="30"/>
        <v>5.4</v>
      </c>
      <c r="Z112" s="137">
        <f t="shared" si="30"/>
        <v>5.4</v>
      </c>
      <c r="AA112" s="137">
        <f t="shared" si="30"/>
        <v>5.4</v>
      </c>
      <c r="AB112" s="137">
        <f t="shared" si="30"/>
        <v>5.4</v>
      </c>
      <c r="AC112" s="137">
        <f t="shared" si="30"/>
        <v>5.4</v>
      </c>
      <c r="AD112" s="137">
        <f t="shared" si="30"/>
        <v>5.4</v>
      </c>
      <c r="AE112" s="137">
        <f t="shared" si="30"/>
        <v>5.4</v>
      </c>
      <c r="AF112" s="137">
        <f t="shared" si="30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9"/>
        <v>6.57</v>
      </c>
      <c r="D113" s="137">
        <f t="shared" si="29"/>
        <v>6.57</v>
      </c>
      <c r="E113" s="137">
        <f t="shared" si="29"/>
        <v>6.57</v>
      </c>
      <c r="F113" s="137">
        <f t="shared" si="29"/>
        <v>6.57</v>
      </c>
      <c r="G113" s="137">
        <f t="shared" si="29"/>
        <v>6.57</v>
      </c>
      <c r="H113" s="137">
        <f t="shared" si="29"/>
        <v>6.57</v>
      </c>
      <c r="I113" s="137">
        <f t="shared" si="29"/>
        <v>6.57</v>
      </c>
      <c r="J113" s="137">
        <f t="shared" si="29"/>
        <v>6.57</v>
      </c>
      <c r="K113" s="137">
        <f t="shared" si="29"/>
        <v>6.57</v>
      </c>
      <c r="L113" s="137">
        <f t="shared" si="29"/>
        <v>6.57</v>
      </c>
      <c r="M113" s="137">
        <f t="shared" si="29"/>
        <v>6.57</v>
      </c>
      <c r="N113" s="137">
        <f t="shared" si="29"/>
        <v>6.57</v>
      </c>
      <c r="O113" s="137">
        <f t="shared" si="29"/>
        <v>6.57</v>
      </c>
      <c r="P113" s="137">
        <f t="shared" si="29"/>
        <v>6.57</v>
      </c>
      <c r="Q113" s="137">
        <f t="shared" si="29"/>
        <v>6.57</v>
      </c>
      <c r="R113" s="137">
        <f t="shared" si="29"/>
        <v>6.57</v>
      </c>
      <c r="S113" s="137">
        <f t="shared" si="30"/>
        <v>6.57</v>
      </c>
      <c r="T113" s="137">
        <f t="shared" si="30"/>
        <v>6.57</v>
      </c>
      <c r="U113" s="137">
        <f t="shared" si="30"/>
        <v>6.57</v>
      </c>
      <c r="V113" s="137">
        <f t="shared" si="30"/>
        <v>6.57</v>
      </c>
      <c r="W113" s="137">
        <f t="shared" si="30"/>
        <v>6.57</v>
      </c>
      <c r="X113" s="137">
        <f t="shared" si="30"/>
        <v>6.57</v>
      </c>
      <c r="Y113" s="137">
        <f t="shared" si="30"/>
        <v>6.57</v>
      </c>
      <c r="Z113" s="137">
        <f t="shared" si="30"/>
        <v>6.57</v>
      </c>
      <c r="AA113" s="137">
        <f t="shared" si="30"/>
        <v>6.57</v>
      </c>
      <c r="AB113" s="137">
        <f t="shared" si="30"/>
        <v>6.57</v>
      </c>
      <c r="AC113" s="137">
        <f t="shared" si="30"/>
        <v>6.57</v>
      </c>
      <c r="AD113" s="137">
        <f t="shared" si="30"/>
        <v>6.57</v>
      </c>
      <c r="AE113" s="137">
        <f t="shared" si="30"/>
        <v>6.57</v>
      </c>
      <c r="AF113" s="137">
        <f t="shared" si="30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9"/>
        <v>3.43</v>
      </c>
      <c r="D114" s="137">
        <f t="shared" si="29"/>
        <v>3.43</v>
      </c>
      <c r="E114" s="137">
        <f t="shared" si="29"/>
        <v>3.43</v>
      </c>
      <c r="F114" s="137">
        <f t="shared" si="29"/>
        <v>3.43</v>
      </c>
      <c r="G114" s="137">
        <f t="shared" si="29"/>
        <v>3.43</v>
      </c>
      <c r="H114" s="137">
        <f t="shared" si="29"/>
        <v>3.43</v>
      </c>
      <c r="I114" s="137">
        <f t="shared" si="29"/>
        <v>3.43</v>
      </c>
      <c r="J114" s="137">
        <f t="shared" si="29"/>
        <v>3.43</v>
      </c>
      <c r="K114" s="137">
        <f t="shared" si="29"/>
        <v>3.43</v>
      </c>
      <c r="L114" s="137">
        <f t="shared" si="29"/>
        <v>3.43</v>
      </c>
      <c r="M114" s="137">
        <f t="shared" si="29"/>
        <v>3.43</v>
      </c>
      <c r="N114" s="137">
        <f t="shared" si="29"/>
        <v>3.43</v>
      </c>
      <c r="O114" s="137">
        <f t="shared" si="29"/>
        <v>3.43</v>
      </c>
      <c r="P114" s="137">
        <f t="shared" si="29"/>
        <v>3.43</v>
      </c>
      <c r="Q114" s="137">
        <f t="shared" si="29"/>
        <v>3.43</v>
      </c>
      <c r="R114" s="137">
        <f t="shared" si="29"/>
        <v>3.43</v>
      </c>
      <c r="S114" s="137">
        <f t="shared" si="30"/>
        <v>3.43</v>
      </c>
      <c r="T114" s="137">
        <f t="shared" si="30"/>
        <v>3.43</v>
      </c>
      <c r="U114" s="137">
        <f t="shared" si="30"/>
        <v>3.43</v>
      </c>
      <c r="V114" s="137">
        <f t="shared" si="30"/>
        <v>3.43</v>
      </c>
      <c r="W114" s="137">
        <f t="shared" si="30"/>
        <v>3.43</v>
      </c>
      <c r="X114" s="137">
        <f t="shared" si="30"/>
        <v>3.43</v>
      </c>
      <c r="Y114" s="137">
        <f t="shared" si="30"/>
        <v>3.43</v>
      </c>
      <c r="Z114" s="137">
        <f t="shared" si="30"/>
        <v>3.43</v>
      </c>
      <c r="AA114" s="137">
        <f t="shared" si="30"/>
        <v>3.43</v>
      </c>
      <c r="AB114" s="137">
        <f t="shared" si="30"/>
        <v>3.43</v>
      </c>
      <c r="AC114" s="137">
        <f t="shared" si="30"/>
        <v>3.43</v>
      </c>
      <c r="AD114" s="137">
        <f t="shared" si="30"/>
        <v>3.43</v>
      </c>
      <c r="AE114" s="137">
        <f t="shared" si="30"/>
        <v>3.43</v>
      </c>
      <c r="AF114" s="137">
        <f t="shared" si="30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9"/>
        <v>2.96</v>
      </c>
      <c r="D115" s="137">
        <f t="shared" si="29"/>
        <v>2.96</v>
      </c>
      <c r="E115" s="137">
        <f t="shared" si="29"/>
        <v>2.96</v>
      </c>
      <c r="F115" s="137">
        <f t="shared" si="29"/>
        <v>2.96</v>
      </c>
      <c r="G115" s="137">
        <f t="shared" si="29"/>
        <v>2.96</v>
      </c>
      <c r="H115" s="137">
        <f t="shared" si="29"/>
        <v>2.96</v>
      </c>
      <c r="I115" s="137">
        <f t="shared" si="29"/>
        <v>2.96</v>
      </c>
      <c r="J115" s="137">
        <f t="shared" si="29"/>
        <v>2.96</v>
      </c>
      <c r="K115" s="137">
        <f t="shared" si="29"/>
        <v>2.96</v>
      </c>
      <c r="L115" s="137">
        <f t="shared" si="29"/>
        <v>2.96</v>
      </c>
      <c r="M115" s="137">
        <f t="shared" si="29"/>
        <v>2.96</v>
      </c>
      <c r="N115" s="137">
        <f t="shared" si="29"/>
        <v>2.96</v>
      </c>
      <c r="O115" s="137">
        <f t="shared" si="29"/>
        <v>2.96</v>
      </c>
      <c r="P115" s="137">
        <f t="shared" si="29"/>
        <v>2.96</v>
      </c>
      <c r="Q115" s="137">
        <f t="shared" si="29"/>
        <v>2.96</v>
      </c>
      <c r="R115" s="137">
        <f t="shared" si="29"/>
        <v>2.96</v>
      </c>
      <c r="S115" s="137">
        <f t="shared" si="30"/>
        <v>2.96</v>
      </c>
      <c r="T115" s="137">
        <f t="shared" si="30"/>
        <v>2.96</v>
      </c>
      <c r="U115" s="137">
        <f t="shared" si="30"/>
        <v>2.96</v>
      </c>
      <c r="V115" s="137">
        <f t="shared" si="30"/>
        <v>2.96</v>
      </c>
      <c r="W115" s="137">
        <f t="shared" si="30"/>
        <v>2.96</v>
      </c>
      <c r="X115" s="137">
        <f t="shared" si="30"/>
        <v>2.96</v>
      </c>
      <c r="Y115" s="137">
        <f t="shared" si="30"/>
        <v>2.96</v>
      </c>
      <c r="Z115" s="137">
        <f t="shared" si="30"/>
        <v>2.96</v>
      </c>
      <c r="AA115" s="137">
        <f t="shared" si="30"/>
        <v>2.96</v>
      </c>
      <c r="AB115" s="137">
        <f t="shared" si="30"/>
        <v>2.96</v>
      </c>
      <c r="AC115" s="137">
        <f t="shared" si="30"/>
        <v>2.96</v>
      </c>
      <c r="AD115" s="137">
        <f t="shared" si="30"/>
        <v>2.96</v>
      </c>
      <c r="AE115" s="137">
        <f t="shared" si="30"/>
        <v>2.96</v>
      </c>
      <c r="AF115" s="137">
        <f t="shared" si="30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9"/>
        <v>8</v>
      </c>
      <c r="D116" s="137">
        <f t="shared" si="29"/>
        <v>8</v>
      </c>
      <c r="E116" s="137">
        <f t="shared" si="29"/>
        <v>8</v>
      </c>
      <c r="F116" s="137">
        <f t="shared" si="29"/>
        <v>8</v>
      </c>
      <c r="G116" s="137">
        <f t="shared" si="29"/>
        <v>8</v>
      </c>
      <c r="H116" s="137">
        <f t="shared" si="29"/>
        <v>8</v>
      </c>
      <c r="I116" s="137">
        <f t="shared" si="29"/>
        <v>8</v>
      </c>
      <c r="J116" s="137">
        <f t="shared" si="29"/>
        <v>8</v>
      </c>
      <c r="K116" s="137">
        <f t="shared" si="29"/>
        <v>8</v>
      </c>
      <c r="L116" s="137">
        <f t="shared" si="29"/>
        <v>8</v>
      </c>
      <c r="M116" s="137">
        <f t="shared" si="29"/>
        <v>8</v>
      </c>
      <c r="N116" s="137">
        <f t="shared" si="29"/>
        <v>8</v>
      </c>
      <c r="O116" s="137">
        <f t="shared" si="29"/>
        <v>8</v>
      </c>
      <c r="P116" s="137">
        <f t="shared" si="29"/>
        <v>8</v>
      </c>
      <c r="Q116" s="137">
        <f t="shared" si="29"/>
        <v>8</v>
      </c>
      <c r="R116" s="137">
        <f t="shared" si="29"/>
        <v>8</v>
      </c>
      <c r="S116" s="137">
        <f t="shared" si="30"/>
        <v>8</v>
      </c>
      <c r="T116" s="137">
        <f t="shared" si="30"/>
        <v>8</v>
      </c>
      <c r="U116" s="137">
        <f t="shared" si="30"/>
        <v>8</v>
      </c>
      <c r="V116" s="137">
        <f t="shared" si="30"/>
        <v>8</v>
      </c>
      <c r="W116" s="137">
        <f t="shared" si="30"/>
        <v>8</v>
      </c>
      <c r="X116" s="137">
        <f t="shared" si="30"/>
        <v>8</v>
      </c>
      <c r="Y116" s="137">
        <f t="shared" si="30"/>
        <v>8</v>
      </c>
      <c r="Z116" s="137">
        <f t="shared" si="30"/>
        <v>8</v>
      </c>
      <c r="AA116" s="137">
        <f t="shared" si="30"/>
        <v>8</v>
      </c>
      <c r="AB116" s="137">
        <f t="shared" si="30"/>
        <v>8</v>
      </c>
      <c r="AC116" s="137">
        <f t="shared" si="30"/>
        <v>8</v>
      </c>
      <c r="AD116" s="137">
        <f t="shared" si="30"/>
        <v>8</v>
      </c>
      <c r="AE116" s="137">
        <f t="shared" si="30"/>
        <v>8</v>
      </c>
      <c r="AF116" s="137">
        <f t="shared" si="30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9"/>
        <v>7</v>
      </c>
      <c r="E117" s="137">
        <f t="shared" si="29"/>
        <v>7</v>
      </c>
      <c r="F117" s="137">
        <f t="shared" si="29"/>
        <v>7</v>
      </c>
      <c r="G117" s="137">
        <f t="shared" si="29"/>
        <v>7</v>
      </c>
      <c r="H117" s="137">
        <f t="shared" si="29"/>
        <v>7</v>
      </c>
      <c r="I117" s="137">
        <f t="shared" si="29"/>
        <v>7</v>
      </c>
      <c r="J117" s="137">
        <f t="shared" si="29"/>
        <v>7</v>
      </c>
      <c r="K117" s="137">
        <f t="shared" si="29"/>
        <v>7</v>
      </c>
      <c r="L117" s="137">
        <f t="shared" si="29"/>
        <v>7</v>
      </c>
      <c r="M117" s="137">
        <f t="shared" si="29"/>
        <v>7</v>
      </c>
      <c r="N117" s="137">
        <f t="shared" si="29"/>
        <v>7</v>
      </c>
      <c r="O117" s="137">
        <f t="shared" si="29"/>
        <v>7</v>
      </c>
      <c r="P117" s="137">
        <f t="shared" si="29"/>
        <v>7</v>
      </c>
      <c r="Q117" s="137">
        <f t="shared" si="29"/>
        <v>7</v>
      </c>
      <c r="R117" s="137">
        <f t="shared" si="29"/>
        <v>7</v>
      </c>
      <c r="S117" s="137">
        <f t="shared" si="30"/>
        <v>7</v>
      </c>
      <c r="T117" s="137">
        <f t="shared" si="30"/>
        <v>7</v>
      </c>
      <c r="U117" s="137">
        <f t="shared" si="30"/>
        <v>7</v>
      </c>
      <c r="V117" s="137">
        <f t="shared" si="30"/>
        <v>7</v>
      </c>
      <c r="W117" s="137">
        <f t="shared" si="30"/>
        <v>7</v>
      </c>
      <c r="X117" s="137">
        <f t="shared" si="30"/>
        <v>7</v>
      </c>
      <c r="Y117" s="137">
        <f t="shared" si="30"/>
        <v>7</v>
      </c>
      <c r="Z117" s="137">
        <f t="shared" si="30"/>
        <v>7</v>
      </c>
      <c r="AA117" s="137">
        <f t="shared" si="30"/>
        <v>7</v>
      </c>
      <c r="AB117" s="137">
        <f t="shared" si="30"/>
        <v>7</v>
      </c>
      <c r="AC117" s="137">
        <f t="shared" si="30"/>
        <v>7</v>
      </c>
      <c r="AD117" s="137">
        <f t="shared" si="30"/>
        <v>7</v>
      </c>
      <c r="AE117" s="137">
        <f t="shared" si="30"/>
        <v>7</v>
      </c>
      <c r="AF117" s="137">
        <f t="shared" si="30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1">B118</f>
        <v>3.47</v>
      </c>
      <c r="D118" s="137">
        <f t="shared" si="31"/>
        <v>3.47</v>
      </c>
      <c r="E118" s="137">
        <f t="shared" si="31"/>
        <v>3.47</v>
      </c>
      <c r="F118" s="137">
        <f t="shared" si="31"/>
        <v>3.47</v>
      </c>
      <c r="G118" s="137">
        <f t="shared" si="31"/>
        <v>3.47</v>
      </c>
      <c r="H118" s="137">
        <f t="shared" si="31"/>
        <v>3.47</v>
      </c>
      <c r="I118" s="137">
        <f t="shared" si="31"/>
        <v>3.47</v>
      </c>
      <c r="J118" s="137">
        <f t="shared" si="31"/>
        <v>3.47</v>
      </c>
      <c r="K118" s="137">
        <f t="shared" si="31"/>
        <v>3.47</v>
      </c>
      <c r="L118" s="137">
        <f t="shared" si="31"/>
        <v>3.47</v>
      </c>
      <c r="M118" s="137">
        <f t="shared" si="31"/>
        <v>3.47</v>
      </c>
      <c r="N118" s="137">
        <f t="shared" si="31"/>
        <v>3.47</v>
      </c>
      <c r="O118" s="137">
        <f t="shared" si="31"/>
        <v>3.47</v>
      </c>
      <c r="P118" s="137">
        <f t="shared" si="31"/>
        <v>3.47</v>
      </c>
      <c r="Q118" s="137">
        <f t="shared" si="31"/>
        <v>3.47</v>
      </c>
      <c r="R118" s="137">
        <f t="shared" si="31"/>
        <v>3.47</v>
      </c>
      <c r="S118" s="137">
        <f t="shared" si="30"/>
        <v>3.47</v>
      </c>
      <c r="T118" s="137">
        <f t="shared" si="30"/>
        <v>3.47</v>
      </c>
      <c r="U118" s="137">
        <f t="shared" si="30"/>
        <v>3.47</v>
      </c>
      <c r="V118" s="137">
        <f t="shared" si="30"/>
        <v>3.47</v>
      </c>
      <c r="W118" s="137">
        <f t="shared" si="30"/>
        <v>3.47</v>
      </c>
      <c r="X118" s="137">
        <f t="shared" si="30"/>
        <v>3.47</v>
      </c>
      <c r="Y118" s="137">
        <f t="shared" si="30"/>
        <v>3.47</v>
      </c>
      <c r="Z118" s="137">
        <f t="shared" si="30"/>
        <v>3.47</v>
      </c>
      <c r="AA118" s="137">
        <f t="shared" si="30"/>
        <v>3.47</v>
      </c>
      <c r="AB118" s="137">
        <f t="shared" si="30"/>
        <v>3.47</v>
      </c>
      <c r="AC118" s="137">
        <f t="shared" si="30"/>
        <v>3.47</v>
      </c>
      <c r="AD118" s="137">
        <f t="shared" si="30"/>
        <v>3.47</v>
      </c>
      <c r="AE118" s="137">
        <f t="shared" si="30"/>
        <v>3.47</v>
      </c>
      <c r="AF118" s="137">
        <f t="shared" si="30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1"/>
        <v>2.1</v>
      </c>
      <c r="D119" s="137">
        <f t="shared" si="31"/>
        <v>2.1</v>
      </c>
      <c r="E119" s="137">
        <f t="shared" si="31"/>
        <v>2.1</v>
      </c>
      <c r="F119" s="137">
        <f t="shared" si="31"/>
        <v>2.1</v>
      </c>
      <c r="G119" s="137">
        <f t="shared" si="31"/>
        <v>2.1</v>
      </c>
      <c r="H119" s="137">
        <f t="shared" si="31"/>
        <v>2.1</v>
      </c>
      <c r="I119" s="137">
        <f t="shared" si="31"/>
        <v>2.1</v>
      </c>
      <c r="J119" s="137">
        <f t="shared" si="31"/>
        <v>2.1</v>
      </c>
      <c r="K119" s="137">
        <f t="shared" si="31"/>
        <v>2.1</v>
      </c>
      <c r="L119" s="137">
        <f t="shared" si="31"/>
        <v>2.1</v>
      </c>
      <c r="M119" s="137">
        <f t="shared" si="31"/>
        <v>2.1</v>
      </c>
      <c r="N119" s="137">
        <f t="shared" si="31"/>
        <v>2.1</v>
      </c>
      <c r="O119" s="137">
        <f t="shared" si="31"/>
        <v>2.1</v>
      </c>
      <c r="P119" s="137">
        <f t="shared" si="31"/>
        <v>2.1</v>
      </c>
      <c r="Q119" s="137">
        <f t="shared" si="31"/>
        <v>2.1</v>
      </c>
      <c r="R119" s="137">
        <f t="shared" si="31"/>
        <v>2.1</v>
      </c>
      <c r="S119" s="137">
        <f t="shared" si="30"/>
        <v>2.1</v>
      </c>
      <c r="T119" s="137">
        <f t="shared" si="30"/>
        <v>2.1</v>
      </c>
      <c r="U119" s="137">
        <f t="shared" si="30"/>
        <v>2.1</v>
      </c>
      <c r="V119" s="137">
        <f t="shared" si="30"/>
        <v>2.1</v>
      </c>
      <c r="W119" s="137">
        <f t="shared" si="30"/>
        <v>2.1</v>
      </c>
      <c r="X119" s="137">
        <f t="shared" si="30"/>
        <v>2.1</v>
      </c>
      <c r="Y119" s="137">
        <f t="shared" si="30"/>
        <v>2.1</v>
      </c>
      <c r="Z119" s="137">
        <f t="shared" si="30"/>
        <v>2.1</v>
      </c>
      <c r="AA119" s="137">
        <f t="shared" si="30"/>
        <v>2.1</v>
      </c>
      <c r="AB119" s="137">
        <f t="shared" si="30"/>
        <v>2.1</v>
      </c>
      <c r="AC119" s="137">
        <f t="shared" si="30"/>
        <v>2.1</v>
      </c>
      <c r="AD119" s="137">
        <f t="shared" si="30"/>
        <v>2.1</v>
      </c>
      <c r="AE119" s="137">
        <f t="shared" si="30"/>
        <v>2.1</v>
      </c>
      <c r="AF119" s="137">
        <f t="shared" si="30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1"/>
        <v>9.3000000000000007</v>
      </c>
      <c r="D120" s="137">
        <f t="shared" si="31"/>
        <v>9.3000000000000007</v>
      </c>
      <c r="E120" s="137">
        <f t="shared" si="31"/>
        <v>9.3000000000000007</v>
      </c>
      <c r="F120" s="137">
        <f t="shared" si="31"/>
        <v>9.3000000000000007</v>
      </c>
      <c r="G120" s="137">
        <f t="shared" si="31"/>
        <v>9.3000000000000007</v>
      </c>
      <c r="H120" s="137">
        <f t="shared" si="31"/>
        <v>9.3000000000000007</v>
      </c>
      <c r="I120" s="137">
        <f t="shared" si="31"/>
        <v>9.3000000000000007</v>
      </c>
      <c r="J120" s="137">
        <f t="shared" si="31"/>
        <v>9.3000000000000007</v>
      </c>
      <c r="K120" s="137">
        <f t="shared" si="31"/>
        <v>9.3000000000000007</v>
      </c>
      <c r="L120" s="137">
        <f t="shared" si="31"/>
        <v>9.3000000000000007</v>
      </c>
      <c r="M120" s="137">
        <f t="shared" si="31"/>
        <v>9.3000000000000007</v>
      </c>
      <c r="N120" s="137">
        <f t="shared" si="31"/>
        <v>9.3000000000000007</v>
      </c>
      <c r="O120" s="137">
        <f t="shared" si="31"/>
        <v>9.3000000000000007</v>
      </c>
      <c r="P120" s="137">
        <f t="shared" si="31"/>
        <v>9.3000000000000007</v>
      </c>
      <c r="Q120" s="137">
        <f t="shared" si="31"/>
        <v>9.3000000000000007</v>
      </c>
      <c r="R120" s="137">
        <f t="shared" si="31"/>
        <v>9.3000000000000007</v>
      </c>
      <c r="S120" s="137">
        <f t="shared" si="30"/>
        <v>9.3000000000000007</v>
      </c>
      <c r="T120" s="137">
        <f t="shared" si="30"/>
        <v>9.3000000000000007</v>
      </c>
      <c r="U120" s="137">
        <f t="shared" si="30"/>
        <v>9.3000000000000007</v>
      </c>
      <c r="V120" s="137">
        <f t="shared" si="30"/>
        <v>9.3000000000000007</v>
      </c>
      <c r="W120" s="137">
        <f t="shared" si="30"/>
        <v>9.3000000000000007</v>
      </c>
      <c r="X120" s="137">
        <f t="shared" si="30"/>
        <v>9.3000000000000007</v>
      </c>
      <c r="Y120" s="137">
        <f t="shared" si="30"/>
        <v>9.3000000000000007</v>
      </c>
      <c r="Z120" s="137">
        <f t="shared" si="30"/>
        <v>9.3000000000000007</v>
      </c>
      <c r="AA120" s="137">
        <f t="shared" si="30"/>
        <v>9.3000000000000007</v>
      </c>
      <c r="AB120" s="137">
        <f t="shared" si="30"/>
        <v>9.3000000000000007</v>
      </c>
      <c r="AC120" s="137">
        <f t="shared" si="30"/>
        <v>9.3000000000000007</v>
      </c>
      <c r="AD120" s="137">
        <f t="shared" si="30"/>
        <v>9.3000000000000007</v>
      </c>
      <c r="AE120" s="137">
        <f t="shared" si="30"/>
        <v>9.3000000000000007</v>
      </c>
      <c r="AF120" s="137">
        <f t="shared" si="30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1"/>
        <v>0</v>
      </c>
      <c r="D121" s="137">
        <f t="shared" si="31"/>
        <v>0</v>
      </c>
      <c r="E121" s="137">
        <f t="shared" si="31"/>
        <v>0</v>
      </c>
      <c r="F121" s="137">
        <f t="shared" si="31"/>
        <v>0</v>
      </c>
      <c r="G121" s="137">
        <f t="shared" si="31"/>
        <v>0</v>
      </c>
      <c r="H121" s="137">
        <f t="shared" si="31"/>
        <v>0</v>
      </c>
      <c r="I121" s="137">
        <f t="shared" si="31"/>
        <v>0</v>
      </c>
      <c r="J121" s="137">
        <f t="shared" si="31"/>
        <v>0</v>
      </c>
      <c r="K121" s="137">
        <f t="shared" si="31"/>
        <v>0</v>
      </c>
      <c r="L121" s="137">
        <f t="shared" si="31"/>
        <v>0</v>
      </c>
      <c r="M121" s="137">
        <f t="shared" si="31"/>
        <v>0</v>
      </c>
      <c r="N121" s="137">
        <f t="shared" si="31"/>
        <v>0</v>
      </c>
      <c r="O121" s="137">
        <f t="shared" si="31"/>
        <v>0</v>
      </c>
      <c r="P121" s="137">
        <f t="shared" si="31"/>
        <v>0</v>
      </c>
      <c r="Q121" s="137">
        <f t="shared" si="31"/>
        <v>0</v>
      </c>
      <c r="R121" s="137">
        <f t="shared" si="31"/>
        <v>0</v>
      </c>
      <c r="S121" s="137">
        <f t="shared" si="30"/>
        <v>0</v>
      </c>
      <c r="T121" s="137">
        <f t="shared" si="30"/>
        <v>0</v>
      </c>
      <c r="U121" s="137">
        <f t="shared" si="30"/>
        <v>0</v>
      </c>
      <c r="V121" s="137">
        <f t="shared" si="30"/>
        <v>0</v>
      </c>
      <c r="W121" s="137">
        <f t="shared" si="30"/>
        <v>0</v>
      </c>
      <c r="X121" s="137">
        <f t="shared" si="30"/>
        <v>0</v>
      </c>
      <c r="Y121" s="137">
        <f t="shared" si="30"/>
        <v>0</v>
      </c>
      <c r="Z121" s="137">
        <f t="shared" si="30"/>
        <v>0</v>
      </c>
      <c r="AA121" s="137">
        <f t="shared" si="30"/>
        <v>0</v>
      </c>
      <c r="AB121" s="137">
        <f t="shared" si="30"/>
        <v>0</v>
      </c>
      <c r="AC121" s="137">
        <f t="shared" si="30"/>
        <v>0</v>
      </c>
      <c r="AD121" s="137">
        <f t="shared" si="30"/>
        <v>0</v>
      </c>
      <c r="AE121" s="137">
        <f t="shared" si="30"/>
        <v>0</v>
      </c>
      <c r="AF121" s="137">
        <f t="shared" si="30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1"/>
        <v>0</v>
      </c>
      <c r="D122" s="137">
        <f t="shared" si="31"/>
        <v>0</v>
      </c>
      <c r="E122" s="137">
        <f t="shared" si="31"/>
        <v>0</v>
      </c>
      <c r="F122" s="137">
        <f t="shared" si="31"/>
        <v>0</v>
      </c>
      <c r="G122" s="137">
        <f t="shared" si="31"/>
        <v>0</v>
      </c>
      <c r="H122" s="137">
        <f t="shared" si="31"/>
        <v>0</v>
      </c>
      <c r="I122" s="137">
        <f t="shared" si="31"/>
        <v>0</v>
      </c>
      <c r="J122" s="137">
        <f t="shared" si="31"/>
        <v>0</v>
      </c>
      <c r="K122" s="137">
        <f t="shared" si="31"/>
        <v>0</v>
      </c>
      <c r="L122" s="137">
        <f t="shared" si="31"/>
        <v>0</v>
      </c>
      <c r="M122" s="137">
        <f t="shared" si="31"/>
        <v>0</v>
      </c>
      <c r="N122" s="137">
        <f t="shared" si="31"/>
        <v>0</v>
      </c>
      <c r="O122" s="137">
        <f t="shared" si="31"/>
        <v>0</v>
      </c>
      <c r="P122" s="137">
        <f t="shared" si="31"/>
        <v>0</v>
      </c>
      <c r="Q122" s="137">
        <f t="shared" si="31"/>
        <v>0</v>
      </c>
      <c r="R122" s="137">
        <f t="shared" si="31"/>
        <v>0</v>
      </c>
      <c r="S122" s="137">
        <f t="shared" si="30"/>
        <v>0</v>
      </c>
      <c r="T122" s="137">
        <f t="shared" si="30"/>
        <v>0</v>
      </c>
      <c r="U122" s="137">
        <f t="shared" si="30"/>
        <v>0</v>
      </c>
      <c r="V122" s="137">
        <f t="shared" si="30"/>
        <v>0</v>
      </c>
      <c r="W122" s="137">
        <f t="shared" si="30"/>
        <v>0</v>
      </c>
      <c r="X122" s="137">
        <f t="shared" si="30"/>
        <v>0</v>
      </c>
      <c r="Y122" s="137">
        <f t="shared" si="30"/>
        <v>0</v>
      </c>
      <c r="Z122" s="137">
        <f t="shared" si="30"/>
        <v>0</v>
      </c>
      <c r="AA122" s="137">
        <f t="shared" si="30"/>
        <v>0</v>
      </c>
      <c r="AB122" s="137">
        <f t="shared" si="30"/>
        <v>0</v>
      </c>
      <c r="AC122" s="137">
        <f t="shared" si="30"/>
        <v>0</v>
      </c>
      <c r="AD122" s="137">
        <f t="shared" si="30"/>
        <v>0</v>
      </c>
      <c r="AE122" s="137">
        <f t="shared" si="30"/>
        <v>0</v>
      </c>
      <c r="AF122" s="137">
        <f t="shared" si="30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1"/>
        <v>5</v>
      </c>
      <c r="D123" s="137">
        <f t="shared" si="31"/>
        <v>5</v>
      </c>
      <c r="E123" s="137">
        <f t="shared" si="31"/>
        <v>5</v>
      </c>
      <c r="F123" s="137">
        <f t="shared" si="31"/>
        <v>5</v>
      </c>
      <c r="G123" s="137">
        <f t="shared" si="31"/>
        <v>5</v>
      </c>
      <c r="H123" s="137">
        <f t="shared" si="31"/>
        <v>5</v>
      </c>
      <c r="I123" s="137">
        <f t="shared" si="31"/>
        <v>5</v>
      </c>
      <c r="J123" s="137">
        <f t="shared" si="31"/>
        <v>5</v>
      </c>
      <c r="K123" s="137">
        <f t="shared" si="31"/>
        <v>5</v>
      </c>
      <c r="L123" s="137">
        <f t="shared" si="31"/>
        <v>5</v>
      </c>
      <c r="M123" s="137">
        <f t="shared" si="31"/>
        <v>5</v>
      </c>
      <c r="N123" s="137">
        <f t="shared" si="31"/>
        <v>5</v>
      </c>
      <c r="O123" s="137">
        <f t="shared" si="31"/>
        <v>5</v>
      </c>
      <c r="P123" s="137">
        <f t="shared" si="31"/>
        <v>5</v>
      </c>
      <c r="Q123" s="137">
        <f t="shared" si="31"/>
        <v>5</v>
      </c>
      <c r="R123" s="137">
        <f t="shared" si="31"/>
        <v>5</v>
      </c>
      <c r="S123" s="137">
        <f t="shared" si="30"/>
        <v>5</v>
      </c>
      <c r="T123" s="137">
        <f t="shared" si="30"/>
        <v>5</v>
      </c>
      <c r="U123" s="137">
        <f t="shared" si="30"/>
        <v>5</v>
      </c>
      <c r="V123" s="137">
        <f t="shared" si="30"/>
        <v>5</v>
      </c>
      <c r="W123" s="137">
        <f t="shared" si="30"/>
        <v>5</v>
      </c>
      <c r="X123" s="137">
        <f t="shared" si="30"/>
        <v>5</v>
      </c>
      <c r="Y123" s="137">
        <f t="shared" si="30"/>
        <v>5</v>
      </c>
      <c r="Z123" s="137">
        <f t="shared" si="30"/>
        <v>5</v>
      </c>
      <c r="AA123" s="137">
        <f t="shared" si="30"/>
        <v>5</v>
      </c>
      <c r="AB123" s="137">
        <f t="shared" si="30"/>
        <v>5</v>
      </c>
      <c r="AC123" s="137">
        <f t="shared" si="30"/>
        <v>5</v>
      </c>
      <c r="AD123" s="137">
        <f t="shared" si="30"/>
        <v>5</v>
      </c>
      <c r="AE123" s="137">
        <f t="shared" si="30"/>
        <v>5</v>
      </c>
      <c r="AF123" s="137">
        <f t="shared" si="30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1"/>
        <v>1</v>
      </c>
      <c r="D124" s="137">
        <f t="shared" si="31"/>
        <v>1</v>
      </c>
      <c r="E124" s="137">
        <f t="shared" si="31"/>
        <v>1</v>
      </c>
      <c r="F124" s="137">
        <f t="shared" si="31"/>
        <v>1</v>
      </c>
      <c r="G124" s="137">
        <f t="shared" si="31"/>
        <v>1</v>
      </c>
      <c r="H124" s="137">
        <f t="shared" si="31"/>
        <v>1</v>
      </c>
      <c r="I124" s="137">
        <f t="shared" si="31"/>
        <v>1</v>
      </c>
      <c r="J124" s="137">
        <f t="shared" si="31"/>
        <v>1</v>
      </c>
      <c r="K124" s="137">
        <f t="shared" si="31"/>
        <v>1</v>
      </c>
      <c r="L124" s="137">
        <f t="shared" si="31"/>
        <v>1</v>
      </c>
      <c r="M124" s="137">
        <f t="shared" si="31"/>
        <v>1</v>
      </c>
      <c r="N124" s="137">
        <f t="shared" si="31"/>
        <v>1</v>
      </c>
      <c r="O124" s="137">
        <f t="shared" si="31"/>
        <v>1</v>
      </c>
      <c r="P124" s="137">
        <f t="shared" si="31"/>
        <v>1</v>
      </c>
      <c r="Q124" s="137">
        <f t="shared" si="31"/>
        <v>1</v>
      </c>
      <c r="R124" s="137">
        <f t="shared" si="31"/>
        <v>1</v>
      </c>
      <c r="S124" s="137">
        <f t="shared" si="30"/>
        <v>1</v>
      </c>
      <c r="T124" s="137">
        <f t="shared" si="30"/>
        <v>1</v>
      </c>
      <c r="U124" s="137">
        <f t="shared" si="30"/>
        <v>1</v>
      </c>
      <c r="V124" s="137">
        <f t="shared" si="30"/>
        <v>1</v>
      </c>
      <c r="W124" s="137">
        <f t="shared" si="30"/>
        <v>1</v>
      </c>
      <c r="X124" s="137">
        <f t="shared" si="30"/>
        <v>1</v>
      </c>
      <c r="Y124" s="137">
        <f t="shared" si="30"/>
        <v>1</v>
      </c>
      <c r="Z124" s="137">
        <f t="shared" si="30"/>
        <v>1</v>
      </c>
      <c r="AA124" s="137">
        <f t="shared" si="30"/>
        <v>1</v>
      </c>
      <c r="AB124" s="137">
        <f t="shared" si="30"/>
        <v>1</v>
      </c>
      <c r="AC124" s="137">
        <f t="shared" si="30"/>
        <v>1</v>
      </c>
      <c r="AD124" s="137">
        <f t="shared" si="30"/>
        <v>1</v>
      </c>
      <c r="AE124" s="137">
        <f t="shared" si="30"/>
        <v>1</v>
      </c>
      <c r="AF124" s="137">
        <f t="shared" si="30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1"/>
        <v>1.58</v>
      </c>
      <c r="D125" s="137">
        <f t="shared" si="31"/>
        <v>1.58</v>
      </c>
      <c r="E125" s="137">
        <f t="shared" si="31"/>
        <v>1.58</v>
      </c>
      <c r="F125" s="137">
        <f t="shared" si="31"/>
        <v>1.58</v>
      </c>
      <c r="G125" s="137">
        <f t="shared" si="31"/>
        <v>1.58</v>
      </c>
      <c r="H125" s="137">
        <f t="shared" si="31"/>
        <v>1.58</v>
      </c>
      <c r="I125" s="137">
        <f t="shared" si="31"/>
        <v>1.58</v>
      </c>
      <c r="J125" s="137">
        <f t="shared" si="31"/>
        <v>1.58</v>
      </c>
      <c r="K125" s="137">
        <f t="shared" si="31"/>
        <v>1.58</v>
      </c>
      <c r="L125" s="137">
        <f t="shared" si="31"/>
        <v>1.58</v>
      </c>
      <c r="M125" s="137">
        <f t="shared" si="31"/>
        <v>1.58</v>
      </c>
      <c r="N125" s="137">
        <f t="shared" si="31"/>
        <v>1.58</v>
      </c>
      <c r="O125" s="137">
        <f t="shared" si="31"/>
        <v>1.58</v>
      </c>
      <c r="P125" s="137">
        <f t="shared" si="31"/>
        <v>1.58</v>
      </c>
      <c r="Q125" s="137">
        <f t="shared" si="31"/>
        <v>1.58</v>
      </c>
      <c r="R125" s="137">
        <f t="shared" si="31"/>
        <v>1.58</v>
      </c>
      <c r="S125" s="137">
        <f t="shared" si="30"/>
        <v>1.58</v>
      </c>
      <c r="T125" s="137">
        <f t="shared" si="30"/>
        <v>1.58</v>
      </c>
      <c r="U125" s="137">
        <f t="shared" si="30"/>
        <v>1.58</v>
      </c>
      <c r="V125" s="137">
        <f t="shared" si="30"/>
        <v>1.58</v>
      </c>
      <c r="W125" s="137">
        <f t="shared" si="30"/>
        <v>1.58</v>
      </c>
      <c r="X125" s="137">
        <f t="shared" si="30"/>
        <v>1.58</v>
      </c>
      <c r="Y125" s="137">
        <f t="shared" si="30"/>
        <v>1.58</v>
      </c>
      <c r="Z125" s="137">
        <f t="shared" si="30"/>
        <v>1.58</v>
      </c>
      <c r="AA125" s="137">
        <f t="shared" si="30"/>
        <v>1.58</v>
      </c>
      <c r="AB125" s="137">
        <f t="shared" si="30"/>
        <v>1.58</v>
      </c>
      <c r="AC125" s="137">
        <f t="shared" si="30"/>
        <v>1.58</v>
      </c>
      <c r="AD125" s="137">
        <f t="shared" si="30"/>
        <v>1.58</v>
      </c>
      <c r="AE125" s="137">
        <f t="shared" si="30"/>
        <v>1.58</v>
      </c>
      <c r="AF125" s="137">
        <f t="shared" si="30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1"/>
        <v>1.46</v>
      </c>
      <c r="D126" s="137">
        <f t="shared" si="31"/>
        <v>1.46</v>
      </c>
      <c r="E126" s="137">
        <f t="shared" si="31"/>
        <v>1.46</v>
      </c>
      <c r="F126" s="137">
        <f t="shared" si="31"/>
        <v>1.46</v>
      </c>
      <c r="G126" s="137">
        <f t="shared" si="31"/>
        <v>1.46</v>
      </c>
      <c r="H126" s="137">
        <f t="shared" si="31"/>
        <v>1.46</v>
      </c>
      <c r="I126" s="137">
        <f t="shared" si="31"/>
        <v>1.46</v>
      </c>
      <c r="J126" s="137">
        <f t="shared" si="31"/>
        <v>1.46</v>
      </c>
      <c r="K126" s="137">
        <f t="shared" si="31"/>
        <v>1.46</v>
      </c>
      <c r="L126" s="137">
        <f t="shared" si="31"/>
        <v>1.46</v>
      </c>
      <c r="M126" s="137">
        <f t="shared" si="31"/>
        <v>1.46</v>
      </c>
      <c r="N126" s="137">
        <f t="shared" si="31"/>
        <v>1.46</v>
      </c>
      <c r="O126" s="137">
        <f t="shared" si="31"/>
        <v>1.46</v>
      </c>
      <c r="P126" s="137">
        <f t="shared" si="31"/>
        <v>1.46</v>
      </c>
      <c r="Q126" s="137">
        <f t="shared" si="31"/>
        <v>1.46</v>
      </c>
      <c r="R126" s="137">
        <f t="shared" si="31"/>
        <v>1.46</v>
      </c>
      <c r="S126" s="137">
        <f t="shared" ref="S126:AF127" si="32">R126</f>
        <v>1.46</v>
      </c>
      <c r="T126" s="137">
        <f t="shared" si="32"/>
        <v>1.46</v>
      </c>
      <c r="U126" s="137">
        <f t="shared" si="32"/>
        <v>1.46</v>
      </c>
      <c r="V126" s="137">
        <f t="shared" si="32"/>
        <v>1.46</v>
      </c>
      <c r="W126" s="137">
        <f t="shared" si="32"/>
        <v>1.46</v>
      </c>
      <c r="X126" s="137">
        <f t="shared" si="32"/>
        <v>1.46</v>
      </c>
      <c r="Y126" s="137">
        <f t="shared" si="32"/>
        <v>1.46</v>
      </c>
      <c r="Z126" s="137">
        <f t="shared" si="32"/>
        <v>1.46</v>
      </c>
      <c r="AA126" s="137">
        <f t="shared" si="32"/>
        <v>1.46</v>
      </c>
      <c r="AB126" s="137">
        <f t="shared" si="32"/>
        <v>1.46</v>
      </c>
      <c r="AC126" s="137">
        <f t="shared" si="32"/>
        <v>1.46</v>
      </c>
      <c r="AD126" s="137">
        <f t="shared" si="32"/>
        <v>1.46</v>
      </c>
      <c r="AE126" s="137">
        <f t="shared" si="32"/>
        <v>1.46</v>
      </c>
      <c r="AF126" s="137">
        <f t="shared" si="32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1"/>
        <v>1.48</v>
      </c>
      <c r="D127" s="137">
        <f t="shared" si="31"/>
        <v>1.48</v>
      </c>
      <c r="E127" s="137">
        <f t="shared" si="31"/>
        <v>1.48</v>
      </c>
      <c r="F127" s="137">
        <f t="shared" si="31"/>
        <v>1.48</v>
      </c>
      <c r="G127" s="137">
        <f t="shared" si="31"/>
        <v>1.48</v>
      </c>
      <c r="H127" s="137">
        <f t="shared" si="31"/>
        <v>1.48</v>
      </c>
      <c r="I127" s="137">
        <f t="shared" si="31"/>
        <v>1.48</v>
      </c>
      <c r="J127" s="137">
        <f t="shared" si="31"/>
        <v>1.48</v>
      </c>
      <c r="K127" s="137">
        <f t="shared" si="31"/>
        <v>1.48</v>
      </c>
      <c r="L127" s="137">
        <f t="shared" si="31"/>
        <v>1.48</v>
      </c>
      <c r="M127" s="137">
        <f t="shared" si="31"/>
        <v>1.48</v>
      </c>
      <c r="N127" s="137">
        <f t="shared" si="31"/>
        <v>1.48</v>
      </c>
      <c r="O127" s="137">
        <f t="shared" si="31"/>
        <v>1.48</v>
      </c>
      <c r="P127" s="137">
        <f t="shared" si="31"/>
        <v>1.48</v>
      </c>
      <c r="Q127" s="137">
        <f t="shared" si="31"/>
        <v>1.48</v>
      </c>
      <c r="R127" s="137">
        <f t="shared" si="31"/>
        <v>1.48</v>
      </c>
      <c r="S127" s="137">
        <f t="shared" si="32"/>
        <v>1.48</v>
      </c>
      <c r="T127" s="137">
        <f t="shared" si="32"/>
        <v>1.48</v>
      </c>
      <c r="U127" s="137">
        <f t="shared" si="32"/>
        <v>1.48</v>
      </c>
      <c r="V127" s="137">
        <f t="shared" si="32"/>
        <v>1.48</v>
      </c>
      <c r="W127" s="137">
        <f t="shared" si="32"/>
        <v>1.48</v>
      </c>
      <c r="X127" s="137">
        <f t="shared" si="32"/>
        <v>1.48</v>
      </c>
      <c r="Y127" s="137">
        <f t="shared" si="32"/>
        <v>1.48</v>
      </c>
      <c r="Z127" s="137">
        <f t="shared" si="32"/>
        <v>1.48</v>
      </c>
      <c r="AA127" s="137">
        <f t="shared" si="32"/>
        <v>1.48</v>
      </c>
      <c r="AB127" s="137">
        <f t="shared" si="32"/>
        <v>1.48</v>
      </c>
      <c r="AC127" s="137">
        <f t="shared" si="32"/>
        <v>1.48</v>
      </c>
      <c r="AD127" s="137">
        <f t="shared" si="32"/>
        <v>1.48</v>
      </c>
      <c r="AE127" s="137">
        <f t="shared" si="32"/>
        <v>1.48</v>
      </c>
      <c r="AF127" s="137">
        <f t="shared" si="32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3">B129</f>
        <v>2.2000000000000002</v>
      </c>
      <c r="D129" s="137">
        <f t="shared" si="33"/>
        <v>2.2000000000000002</v>
      </c>
      <c r="E129" s="137">
        <f t="shared" si="33"/>
        <v>2.2000000000000002</v>
      </c>
      <c r="F129" s="137">
        <f t="shared" si="33"/>
        <v>2.2000000000000002</v>
      </c>
      <c r="G129" s="137">
        <f t="shared" si="33"/>
        <v>2.2000000000000002</v>
      </c>
      <c r="H129" s="137">
        <f t="shared" si="33"/>
        <v>2.2000000000000002</v>
      </c>
      <c r="I129" s="137">
        <f t="shared" si="33"/>
        <v>2.2000000000000002</v>
      </c>
      <c r="J129" s="137">
        <f t="shared" si="33"/>
        <v>2.2000000000000002</v>
      </c>
      <c r="K129" s="137">
        <f t="shared" si="33"/>
        <v>2.2000000000000002</v>
      </c>
      <c r="L129" s="137">
        <f t="shared" si="33"/>
        <v>2.2000000000000002</v>
      </c>
      <c r="M129" s="137">
        <f t="shared" si="33"/>
        <v>2.2000000000000002</v>
      </c>
      <c r="N129" s="137">
        <f t="shared" si="33"/>
        <v>2.2000000000000002</v>
      </c>
      <c r="O129" s="137">
        <f t="shared" si="33"/>
        <v>2.2000000000000002</v>
      </c>
      <c r="P129" s="137">
        <f t="shared" si="33"/>
        <v>2.2000000000000002</v>
      </c>
      <c r="Q129" s="137">
        <f t="shared" si="33"/>
        <v>2.2000000000000002</v>
      </c>
      <c r="R129" s="137">
        <f t="shared" si="33"/>
        <v>2.2000000000000002</v>
      </c>
      <c r="S129" s="137">
        <f t="shared" ref="S129:AF136" si="34">R129</f>
        <v>2.2000000000000002</v>
      </c>
      <c r="T129" s="137">
        <f t="shared" si="34"/>
        <v>2.2000000000000002</v>
      </c>
      <c r="U129" s="137">
        <f t="shared" si="34"/>
        <v>2.2000000000000002</v>
      </c>
      <c r="V129" s="137">
        <f t="shared" si="34"/>
        <v>2.2000000000000002</v>
      </c>
      <c r="W129" s="137">
        <f t="shared" si="34"/>
        <v>2.2000000000000002</v>
      </c>
      <c r="X129" s="137">
        <f t="shared" si="34"/>
        <v>2.2000000000000002</v>
      </c>
      <c r="Y129" s="137">
        <f t="shared" si="34"/>
        <v>2.2000000000000002</v>
      </c>
      <c r="Z129" s="137">
        <f t="shared" si="34"/>
        <v>2.2000000000000002</v>
      </c>
      <c r="AA129" s="137">
        <f t="shared" si="34"/>
        <v>2.2000000000000002</v>
      </c>
      <c r="AB129" s="137">
        <f t="shared" si="34"/>
        <v>2.2000000000000002</v>
      </c>
      <c r="AC129" s="137">
        <f t="shared" si="34"/>
        <v>2.2000000000000002</v>
      </c>
      <c r="AD129" s="137">
        <f t="shared" si="34"/>
        <v>2.2000000000000002</v>
      </c>
      <c r="AE129" s="137">
        <f t="shared" si="34"/>
        <v>2.2000000000000002</v>
      </c>
      <c r="AF129" s="137">
        <f t="shared" si="34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3"/>
        <v>2</v>
      </c>
      <c r="D130" s="137">
        <f t="shared" si="33"/>
        <v>2</v>
      </c>
      <c r="E130" s="137">
        <f t="shared" si="33"/>
        <v>2</v>
      </c>
      <c r="F130" s="137">
        <f t="shared" si="33"/>
        <v>2</v>
      </c>
      <c r="G130" s="137">
        <f t="shared" si="33"/>
        <v>2</v>
      </c>
      <c r="H130" s="137">
        <f t="shared" si="33"/>
        <v>2</v>
      </c>
      <c r="I130" s="137">
        <f t="shared" si="33"/>
        <v>2</v>
      </c>
      <c r="J130" s="137">
        <f t="shared" si="33"/>
        <v>2</v>
      </c>
      <c r="K130" s="137">
        <f t="shared" si="33"/>
        <v>2</v>
      </c>
      <c r="L130" s="137">
        <f t="shared" si="33"/>
        <v>2</v>
      </c>
      <c r="M130" s="137">
        <f t="shared" si="33"/>
        <v>2</v>
      </c>
      <c r="N130" s="137">
        <f t="shared" si="33"/>
        <v>2</v>
      </c>
      <c r="O130" s="137">
        <f t="shared" si="33"/>
        <v>2</v>
      </c>
      <c r="P130" s="137">
        <f t="shared" si="33"/>
        <v>2</v>
      </c>
      <c r="Q130" s="137">
        <f t="shared" si="33"/>
        <v>2</v>
      </c>
      <c r="R130" s="137">
        <f t="shared" si="33"/>
        <v>2</v>
      </c>
      <c r="S130" s="137">
        <f t="shared" si="34"/>
        <v>2</v>
      </c>
      <c r="T130" s="137">
        <f t="shared" si="34"/>
        <v>2</v>
      </c>
      <c r="U130" s="137">
        <f t="shared" si="34"/>
        <v>2</v>
      </c>
      <c r="V130" s="137">
        <f t="shared" si="34"/>
        <v>2</v>
      </c>
      <c r="W130" s="137">
        <f t="shared" si="34"/>
        <v>2</v>
      </c>
      <c r="X130" s="137">
        <f t="shared" si="34"/>
        <v>2</v>
      </c>
      <c r="Y130" s="137">
        <f t="shared" si="34"/>
        <v>2</v>
      </c>
      <c r="Z130" s="137">
        <f t="shared" si="34"/>
        <v>2</v>
      </c>
      <c r="AA130" s="137">
        <f t="shared" si="34"/>
        <v>2</v>
      </c>
      <c r="AB130" s="137">
        <f t="shared" si="34"/>
        <v>2</v>
      </c>
      <c r="AC130" s="137">
        <f t="shared" si="34"/>
        <v>2</v>
      </c>
      <c r="AD130" s="137">
        <f t="shared" si="34"/>
        <v>2</v>
      </c>
      <c r="AE130" s="137">
        <f t="shared" si="34"/>
        <v>2</v>
      </c>
      <c r="AF130" s="137">
        <f t="shared" si="34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3"/>
        <v>1.25</v>
      </c>
      <c r="D131" s="137">
        <f t="shared" si="33"/>
        <v>1.25</v>
      </c>
      <c r="E131" s="137">
        <f t="shared" si="33"/>
        <v>1.25</v>
      </c>
      <c r="F131" s="137">
        <f t="shared" si="33"/>
        <v>1.25</v>
      </c>
      <c r="G131" s="137">
        <f t="shared" si="33"/>
        <v>1.25</v>
      </c>
      <c r="H131" s="137">
        <f t="shared" si="33"/>
        <v>1.25</v>
      </c>
      <c r="I131" s="137">
        <f t="shared" si="33"/>
        <v>1.25</v>
      </c>
      <c r="J131" s="137">
        <f t="shared" si="33"/>
        <v>1.25</v>
      </c>
      <c r="K131" s="137">
        <f t="shared" si="33"/>
        <v>1.25</v>
      </c>
      <c r="L131" s="137">
        <f t="shared" si="33"/>
        <v>1.25</v>
      </c>
      <c r="M131" s="137">
        <f t="shared" si="33"/>
        <v>1.25</v>
      </c>
      <c r="N131" s="137">
        <f t="shared" si="33"/>
        <v>1.25</v>
      </c>
      <c r="O131" s="137">
        <f t="shared" si="33"/>
        <v>1.25</v>
      </c>
      <c r="P131" s="137">
        <f t="shared" si="33"/>
        <v>1.25</v>
      </c>
      <c r="Q131" s="137">
        <f t="shared" si="33"/>
        <v>1.25</v>
      </c>
      <c r="R131" s="137">
        <f t="shared" si="33"/>
        <v>1.25</v>
      </c>
      <c r="S131" s="137">
        <f t="shared" si="34"/>
        <v>1.25</v>
      </c>
      <c r="T131" s="137">
        <f t="shared" si="34"/>
        <v>1.25</v>
      </c>
      <c r="U131" s="137">
        <f t="shared" si="34"/>
        <v>1.25</v>
      </c>
      <c r="V131" s="137">
        <f t="shared" si="34"/>
        <v>1.25</v>
      </c>
      <c r="W131" s="137">
        <f t="shared" si="34"/>
        <v>1.25</v>
      </c>
      <c r="X131" s="137">
        <f t="shared" si="34"/>
        <v>1.25</v>
      </c>
      <c r="Y131" s="137">
        <f t="shared" si="34"/>
        <v>1.25</v>
      </c>
      <c r="Z131" s="137">
        <f t="shared" si="34"/>
        <v>1.25</v>
      </c>
      <c r="AA131" s="137">
        <f t="shared" si="34"/>
        <v>1.25</v>
      </c>
      <c r="AB131" s="137">
        <f t="shared" si="34"/>
        <v>1.25</v>
      </c>
      <c r="AC131" s="137">
        <f t="shared" si="34"/>
        <v>1.25</v>
      </c>
      <c r="AD131" s="137">
        <f t="shared" si="34"/>
        <v>1.25</v>
      </c>
      <c r="AE131" s="137">
        <f t="shared" si="34"/>
        <v>1.25</v>
      </c>
      <c r="AF131" s="137">
        <f t="shared" si="34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3"/>
        <v>1.1499999999999999</v>
      </c>
      <c r="D132" s="137">
        <f t="shared" si="33"/>
        <v>1.1499999999999999</v>
      </c>
      <c r="E132" s="137">
        <f t="shared" si="33"/>
        <v>1.1499999999999999</v>
      </c>
      <c r="F132" s="137">
        <f t="shared" si="33"/>
        <v>1.1499999999999999</v>
      </c>
      <c r="G132" s="137">
        <f t="shared" si="33"/>
        <v>1.1499999999999999</v>
      </c>
      <c r="H132" s="137">
        <f t="shared" si="33"/>
        <v>1.1499999999999999</v>
      </c>
      <c r="I132" s="137">
        <f t="shared" si="33"/>
        <v>1.1499999999999999</v>
      </c>
      <c r="J132" s="137">
        <f t="shared" si="33"/>
        <v>1.1499999999999999</v>
      </c>
      <c r="K132" s="137">
        <f t="shared" si="33"/>
        <v>1.1499999999999999</v>
      </c>
      <c r="L132" s="137">
        <f t="shared" si="33"/>
        <v>1.1499999999999999</v>
      </c>
      <c r="M132" s="137">
        <f t="shared" si="33"/>
        <v>1.1499999999999999</v>
      </c>
      <c r="N132" s="137">
        <f t="shared" si="33"/>
        <v>1.1499999999999999</v>
      </c>
      <c r="O132" s="137">
        <f t="shared" si="33"/>
        <v>1.1499999999999999</v>
      </c>
      <c r="P132" s="137">
        <f t="shared" si="33"/>
        <v>1.1499999999999999</v>
      </c>
      <c r="Q132" s="137">
        <f t="shared" si="33"/>
        <v>1.1499999999999999</v>
      </c>
      <c r="R132" s="137">
        <f t="shared" si="33"/>
        <v>1.1499999999999999</v>
      </c>
      <c r="S132" s="137">
        <f t="shared" si="34"/>
        <v>1.1499999999999999</v>
      </c>
      <c r="T132" s="137">
        <f t="shared" si="34"/>
        <v>1.1499999999999999</v>
      </c>
      <c r="U132" s="137">
        <f t="shared" si="34"/>
        <v>1.1499999999999999</v>
      </c>
      <c r="V132" s="137">
        <f t="shared" si="34"/>
        <v>1.1499999999999999</v>
      </c>
      <c r="W132" s="137">
        <f t="shared" si="34"/>
        <v>1.1499999999999999</v>
      </c>
      <c r="X132" s="137">
        <f t="shared" si="34"/>
        <v>1.1499999999999999</v>
      </c>
      <c r="Y132" s="137">
        <f t="shared" si="34"/>
        <v>1.1499999999999999</v>
      </c>
      <c r="Z132" s="137">
        <f t="shared" si="34"/>
        <v>1.1499999999999999</v>
      </c>
      <c r="AA132" s="137">
        <f t="shared" si="34"/>
        <v>1.1499999999999999</v>
      </c>
      <c r="AB132" s="137">
        <f t="shared" si="34"/>
        <v>1.1499999999999999</v>
      </c>
      <c r="AC132" s="137">
        <f t="shared" si="34"/>
        <v>1.1499999999999999</v>
      </c>
      <c r="AD132" s="137">
        <f t="shared" si="34"/>
        <v>1.1499999999999999</v>
      </c>
      <c r="AE132" s="137">
        <f t="shared" si="34"/>
        <v>1.1499999999999999</v>
      </c>
      <c r="AF132" s="137">
        <f t="shared" si="34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3"/>
        <v>2.133</v>
      </c>
      <c r="D133" s="137">
        <f t="shared" si="33"/>
        <v>2.133</v>
      </c>
      <c r="E133" s="137">
        <f t="shared" si="33"/>
        <v>2.133</v>
      </c>
      <c r="F133" s="137">
        <f t="shared" si="33"/>
        <v>2.133</v>
      </c>
      <c r="G133" s="137">
        <f t="shared" si="33"/>
        <v>2.133</v>
      </c>
      <c r="H133" s="137">
        <f t="shared" si="33"/>
        <v>2.133</v>
      </c>
      <c r="I133" s="137">
        <f t="shared" si="33"/>
        <v>2.133</v>
      </c>
      <c r="J133" s="137">
        <f t="shared" si="33"/>
        <v>2.133</v>
      </c>
      <c r="K133" s="137">
        <f t="shared" si="33"/>
        <v>2.133</v>
      </c>
      <c r="L133" s="137">
        <f t="shared" si="33"/>
        <v>2.133</v>
      </c>
      <c r="M133" s="137">
        <f t="shared" si="33"/>
        <v>2.133</v>
      </c>
      <c r="N133" s="137">
        <f t="shared" si="33"/>
        <v>2.133</v>
      </c>
      <c r="O133" s="137">
        <f t="shared" si="33"/>
        <v>2.133</v>
      </c>
      <c r="P133" s="137">
        <f t="shared" si="33"/>
        <v>2.133</v>
      </c>
      <c r="Q133" s="137">
        <f t="shared" si="33"/>
        <v>2.133</v>
      </c>
      <c r="R133" s="137">
        <f t="shared" si="33"/>
        <v>2.133</v>
      </c>
      <c r="S133" s="137">
        <f t="shared" si="34"/>
        <v>2.133</v>
      </c>
      <c r="T133" s="137">
        <f t="shared" si="34"/>
        <v>2.133</v>
      </c>
      <c r="U133" s="137">
        <f t="shared" si="34"/>
        <v>2.133</v>
      </c>
      <c r="V133" s="137">
        <f t="shared" si="34"/>
        <v>2.133</v>
      </c>
      <c r="W133" s="137">
        <f t="shared" si="34"/>
        <v>2.133</v>
      </c>
      <c r="X133" s="137">
        <f t="shared" si="34"/>
        <v>2.133</v>
      </c>
      <c r="Y133" s="137">
        <f t="shared" si="34"/>
        <v>2.133</v>
      </c>
      <c r="Z133" s="137">
        <f t="shared" si="34"/>
        <v>2.133</v>
      </c>
      <c r="AA133" s="137">
        <f t="shared" si="34"/>
        <v>2.133</v>
      </c>
      <c r="AB133" s="137">
        <f t="shared" si="34"/>
        <v>2.133</v>
      </c>
      <c r="AC133" s="137">
        <f t="shared" si="34"/>
        <v>2.133</v>
      </c>
      <c r="AD133" s="137">
        <f t="shared" si="34"/>
        <v>2.133</v>
      </c>
      <c r="AE133" s="137">
        <f t="shared" si="34"/>
        <v>2.133</v>
      </c>
      <c r="AF133" s="137">
        <f t="shared" si="34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3"/>
        <v>2.09</v>
      </c>
      <c r="D134" s="137">
        <f t="shared" si="33"/>
        <v>2.09</v>
      </c>
      <c r="E134" s="137">
        <f t="shared" si="33"/>
        <v>2.09</v>
      </c>
      <c r="F134" s="137">
        <f t="shared" si="33"/>
        <v>2.09</v>
      </c>
      <c r="G134" s="137">
        <f t="shared" si="33"/>
        <v>2.09</v>
      </c>
      <c r="H134" s="137">
        <f t="shared" si="33"/>
        <v>2.09</v>
      </c>
      <c r="I134" s="137">
        <f t="shared" si="33"/>
        <v>2.09</v>
      </c>
      <c r="J134" s="137">
        <f t="shared" si="33"/>
        <v>2.09</v>
      </c>
      <c r="K134" s="137">
        <f t="shared" si="33"/>
        <v>2.09</v>
      </c>
      <c r="L134" s="137">
        <f t="shared" si="33"/>
        <v>2.09</v>
      </c>
      <c r="M134" s="137">
        <f t="shared" si="33"/>
        <v>2.09</v>
      </c>
      <c r="N134" s="137">
        <f t="shared" si="33"/>
        <v>2.09</v>
      </c>
      <c r="O134" s="137">
        <f t="shared" si="33"/>
        <v>2.09</v>
      </c>
      <c r="P134" s="137">
        <f t="shared" si="33"/>
        <v>2.09</v>
      </c>
      <c r="Q134" s="137">
        <f t="shared" si="33"/>
        <v>2.09</v>
      </c>
      <c r="R134" s="137">
        <f t="shared" si="33"/>
        <v>2.09</v>
      </c>
      <c r="S134" s="137">
        <f t="shared" si="34"/>
        <v>2.09</v>
      </c>
      <c r="T134" s="137">
        <f t="shared" si="34"/>
        <v>2.09</v>
      </c>
      <c r="U134" s="137">
        <f t="shared" si="34"/>
        <v>2.09</v>
      </c>
      <c r="V134" s="137">
        <f t="shared" si="34"/>
        <v>2.09</v>
      </c>
      <c r="W134" s="137">
        <f t="shared" si="34"/>
        <v>2.09</v>
      </c>
      <c r="X134" s="137">
        <f t="shared" si="34"/>
        <v>2.09</v>
      </c>
      <c r="Y134" s="137">
        <f t="shared" si="34"/>
        <v>2.09</v>
      </c>
      <c r="Z134" s="137">
        <f t="shared" si="34"/>
        <v>2.09</v>
      </c>
      <c r="AA134" s="137">
        <f t="shared" si="34"/>
        <v>2.09</v>
      </c>
      <c r="AB134" s="137">
        <f t="shared" si="34"/>
        <v>2.09</v>
      </c>
      <c r="AC134" s="137">
        <f t="shared" si="34"/>
        <v>2.09</v>
      </c>
      <c r="AD134" s="137">
        <f t="shared" si="34"/>
        <v>2.09</v>
      </c>
      <c r="AE134" s="137">
        <f t="shared" si="34"/>
        <v>2.09</v>
      </c>
      <c r="AF134" s="137">
        <f t="shared" si="34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3"/>
        <v>1.1399999999999999</v>
      </c>
      <c r="D135" s="137">
        <f t="shared" si="33"/>
        <v>1.1399999999999999</v>
      </c>
      <c r="E135" s="137">
        <f t="shared" si="33"/>
        <v>1.1399999999999999</v>
      </c>
      <c r="F135" s="137">
        <f t="shared" si="33"/>
        <v>1.1399999999999999</v>
      </c>
      <c r="G135" s="137">
        <f t="shared" si="33"/>
        <v>1.1399999999999999</v>
      </c>
      <c r="H135" s="137">
        <f t="shared" si="33"/>
        <v>1.1399999999999999</v>
      </c>
      <c r="I135" s="137">
        <f t="shared" si="33"/>
        <v>1.1399999999999999</v>
      </c>
      <c r="J135" s="137">
        <f t="shared" si="33"/>
        <v>1.1399999999999999</v>
      </c>
      <c r="K135" s="137">
        <f t="shared" si="33"/>
        <v>1.1399999999999999</v>
      </c>
      <c r="L135" s="137">
        <f t="shared" si="33"/>
        <v>1.1399999999999999</v>
      </c>
      <c r="M135" s="137">
        <f t="shared" si="33"/>
        <v>1.1399999999999999</v>
      </c>
      <c r="N135" s="137">
        <f t="shared" si="33"/>
        <v>1.1399999999999999</v>
      </c>
      <c r="O135" s="137">
        <f t="shared" si="33"/>
        <v>1.1399999999999999</v>
      </c>
      <c r="P135" s="137">
        <f t="shared" si="33"/>
        <v>1.1399999999999999</v>
      </c>
      <c r="Q135" s="137">
        <f t="shared" si="33"/>
        <v>1.1399999999999999</v>
      </c>
      <c r="R135" s="137">
        <f t="shared" si="33"/>
        <v>1.1399999999999999</v>
      </c>
      <c r="S135" s="137">
        <f t="shared" si="34"/>
        <v>1.1399999999999999</v>
      </c>
      <c r="T135" s="137">
        <f t="shared" si="34"/>
        <v>1.1399999999999999</v>
      </c>
      <c r="U135" s="137">
        <f t="shared" si="34"/>
        <v>1.1399999999999999</v>
      </c>
      <c r="V135" s="137">
        <f t="shared" si="34"/>
        <v>1.1399999999999999</v>
      </c>
      <c r="W135" s="137">
        <f t="shared" si="34"/>
        <v>1.1399999999999999</v>
      </c>
      <c r="X135" s="137">
        <f t="shared" si="34"/>
        <v>1.1399999999999999</v>
      </c>
      <c r="Y135" s="137">
        <f t="shared" si="34"/>
        <v>1.1399999999999999</v>
      </c>
      <c r="Z135" s="137">
        <f t="shared" si="34"/>
        <v>1.1399999999999999</v>
      </c>
      <c r="AA135" s="137">
        <f t="shared" si="34"/>
        <v>1.1399999999999999</v>
      </c>
      <c r="AB135" s="137">
        <f t="shared" si="34"/>
        <v>1.1399999999999999</v>
      </c>
      <c r="AC135" s="137">
        <f t="shared" si="34"/>
        <v>1.1399999999999999</v>
      </c>
      <c r="AD135" s="137">
        <f t="shared" si="34"/>
        <v>1.1399999999999999</v>
      </c>
      <c r="AE135" s="137">
        <f t="shared" si="34"/>
        <v>1.1399999999999999</v>
      </c>
      <c r="AF135" s="137">
        <f t="shared" si="34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3"/>
        <v>0.82</v>
      </c>
      <c r="D136" s="137">
        <f t="shared" si="33"/>
        <v>0.82</v>
      </c>
      <c r="E136" s="137">
        <f t="shared" si="33"/>
        <v>0.82</v>
      </c>
      <c r="F136" s="137">
        <f t="shared" si="33"/>
        <v>0.82</v>
      </c>
      <c r="G136" s="137">
        <f t="shared" si="33"/>
        <v>0.82</v>
      </c>
      <c r="H136" s="137">
        <f t="shared" si="33"/>
        <v>0.82</v>
      </c>
      <c r="I136" s="137">
        <f t="shared" si="33"/>
        <v>0.82</v>
      </c>
      <c r="J136" s="137">
        <f t="shared" si="33"/>
        <v>0.82</v>
      </c>
      <c r="K136" s="137">
        <f t="shared" si="33"/>
        <v>0.82</v>
      </c>
      <c r="L136" s="137">
        <f t="shared" si="33"/>
        <v>0.82</v>
      </c>
      <c r="M136" s="137">
        <f t="shared" si="33"/>
        <v>0.82</v>
      </c>
      <c r="N136" s="137">
        <f t="shared" si="33"/>
        <v>0.82</v>
      </c>
      <c r="O136" s="137">
        <f t="shared" si="33"/>
        <v>0.82</v>
      </c>
      <c r="P136" s="137">
        <f t="shared" si="33"/>
        <v>0.82</v>
      </c>
      <c r="Q136" s="137">
        <f t="shared" si="33"/>
        <v>0.82</v>
      </c>
      <c r="R136" s="137">
        <f t="shared" si="33"/>
        <v>0.82</v>
      </c>
      <c r="S136" s="137">
        <f t="shared" si="34"/>
        <v>0.82</v>
      </c>
      <c r="T136" s="137">
        <f t="shared" si="34"/>
        <v>0.82</v>
      </c>
      <c r="U136" s="137">
        <f t="shared" si="34"/>
        <v>0.82</v>
      </c>
      <c r="V136" s="137">
        <f t="shared" si="34"/>
        <v>0.82</v>
      </c>
      <c r="W136" s="137">
        <f t="shared" si="34"/>
        <v>0.82</v>
      </c>
      <c r="X136" s="137">
        <f t="shared" si="34"/>
        <v>0.82</v>
      </c>
      <c r="Y136" s="137">
        <f t="shared" si="34"/>
        <v>0.82</v>
      </c>
      <c r="Z136" s="137">
        <f t="shared" si="34"/>
        <v>0.82</v>
      </c>
      <c r="AA136" s="137">
        <f t="shared" si="34"/>
        <v>0.82</v>
      </c>
      <c r="AB136" s="137">
        <f t="shared" si="34"/>
        <v>0.82</v>
      </c>
      <c r="AC136" s="137">
        <f t="shared" si="34"/>
        <v>0.82</v>
      </c>
      <c r="AD136" s="137">
        <f t="shared" si="34"/>
        <v>0.82</v>
      </c>
      <c r="AE136" s="137">
        <f t="shared" si="34"/>
        <v>0.82</v>
      </c>
      <c r="AF136" s="137">
        <f t="shared" si="34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5">B138</f>
        <v>2</v>
      </c>
      <c r="D138" s="137">
        <f t="shared" si="35"/>
        <v>2</v>
      </c>
      <c r="E138" s="137">
        <f t="shared" si="35"/>
        <v>2</v>
      </c>
      <c r="F138" s="137">
        <f t="shared" si="35"/>
        <v>2</v>
      </c>
      <c r="G138" s="137">
        <f t="shared" si="35"/>
        <v>2</v>
      </c>
      <c r="H138" s="137">
        <f t="shared" si="35"/>
        <v>2</v>
      </c>
      <c r="I138" s="137">
        <f t="shared" si="35"/>
        <v>2</v>
      </c>
      <c r="J138" s="137">
        <f t="shared" si="35"/>
        <v>2</v>
      </c>
      <c r="K138" s="137">
        <f t="shared" si="35"/>
        <v>2</v>
      </c>
      <c r="L138" s="137">
        <f t="shared" si="35"/>
        <v>2</v>
      </c>
      <c r="M138" s="137">
        <f t="shared" si="35"/>
        <v>2</v>
      </c>
      <c r="N138" s="137">
        <f t="shared" si="35"/>
        <v>2</v>
      </c>
      <c r="O138" s="137">
        <f t="shared" si="35"/>
        <v>2</v>
      </c>
      <c r="P138" s="137">
        <f t="shared" si="35"/>
        <v>2</v>
      </c>
      <c r="Q138" s="137">
        <f t="shared" si="35"/>
        <v>2</v>
      </c>
      <c r="R138" s="137">
        <f t="shared" si="35"/>
        <v>2</v>
      </c>
      <c r="S138" s="137">
        <f t="shared" ref="S138:AF144" si="36">R138</f>
        <v>2</v>
      </c>
      <c r="T138" s="137">
        <f t="shared" si="36"/>
        <v>2</v>
      </c>
      <c r="U138" s="137">
        <f t="shared" si="36"/>
        <v>2</v>
      </c>
      <c r="V138" s="137">
        <f t="shared" si="36"/>
        <v>2</v>
      </c>
      <c r="W138" s="137">
        <f t="shared" si="36"/>
        <v>2</v>
      </c>
      <c r="X138" s="137">
        <f t="shared" si="36"/>
        <v>2</v>
      </c>
      <c r="Y138" s="137">
        <f t="shared" si="36"/>
        <v>2</v>
      </c>
      <c r="Z138" s="137">
        <f t="shared" si="36"/>
        <v>2</v>
      </c>
      <c r="AA138" s="137">
        <f t="shared" si="36"/>
        <v>2</v>
      </c>
      <c r="AB138" s="137">
        <f t="shared" si="36"/>
        <v>2</v>
      </c>
      <c r="AC138" s="137">
        <f t="shared" si="36"/>
        <v>2</v>
      </c>
      <c r="AD138" s="137">
        <f t="shared" si="36"/>
        <v>2</v>
      </c>
      <c r="AE138" s="137">
        <f t="shared" si="36"/>
        <v>2</v>
      </c>
      <c r="AF138" s="137">
        <f t="shared" si="36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5"/>
        <v>5.61</v>
      </c>
      <c r="D139" s="137">
        <f t="shared" si="35"/>
        <v>5.61</v>
      </c>
      <c r="E139" s="137">
        <f t="shared" si="35"/>
        <v>5.61</v>
      </c>
      <c r="F139" s="137">
        <f t="shared" si="35"/>
        <v>5.61</v>
      </c>
      <c r="G139" s="137">
        <f t="shared" si="35"/>
        <v>5.61</v>
      </c>
      <c r="H139" s="137">
        <f t="shared" si="35"/>
        <v>5.61</v>
      </c>
      <c r="I139" s="137">
        <f t="shared" si="35"/>
        <v>5.61</v>
      </c>
      <c r="J139" s="137">
        <f t="shared" si="35"/>
        <v>5.61</v>
      </c>
      <c r="K139" s="137">
        <f t="shared" si="35"/>
        <v>5.61</v>
      </c>
      <c r="L139" s="137">
        <f t="shared" si="35"/>
        <v>5.61</v>
      </c>
      <c r="M139" s="137">
        <f t="shared" si="35"/>
        <v>5.61</v>
      </c>
      <c r="N139" s="137">
        <f t="shared" si="35"/>
        <v>5.61</v>
      </c>
      <c r="O139" s="137">
        <f t="shared" si="35"/>
        <v>5.61</v>
      </c>
      <c r="P139" s="137">
        <f t="shared" si="35"/>
        <v>5.61</v>
      </c>
      <c r="Q139" s="137">
        <f t="shared" si="35"/>
        <v>5.61</v>
      </c>
      <c r="R139" s="137">
        <f t="shared" si="35"/>
        <v>5.61</v>
      </c>
      <c r="S139" s="137">
        <f t="shared" si="36"/>
        <v>5.61</v>
      </c>
      <c r="T139" s="137">
        <f t="shared" si="36"/>
        <v>5.61</v>
      </c>
      <c r="U139" s="137">
        <f t="shared" si="36"/>
        <v>5.61</v>
      </c>
      <c r="V139" s="137">
        <f t="shared" si="36"/>
        <v>5.61</v>
      </c>
      <c r="W139" s="137">
        <f t="shared" si="36"/>
        <v>5.61</v>
      </c>
      <c r="X139" s="137">
        <f t="shared" si="36"/>
        <v>5.61</v>
      </c>
      <c r="Y139" s="137">
        <f t="shared" si="36"/>
        <v>5.61</v>
      </c>
      <c r="Z139" s="137">
        <f t="shared" si="36"/>
        <v>5.61</v>
      </c>
      <c r="AA139" s="137">
        <f t="shared" si="36"/>
        <v>5.61</v>
      </c>
      <c r="AB139" s="137">
        <f t="shared" si="36"/>
        <v>5.61</v>
      </c>
      <c r="AC139" s="137">
        <f t="shared" si="36"/>
        <v>5.61</v>
      </c>
      <c r="AD139" s="137">
        <f t="shared" si="36"/>
        <v>5.61</v>
      </c>
      <c r="AE139" s="137">
        <f t="shared" si="36"/>
        <v>5.61</v>
      </c>
      <c r="AF139" s="137">
        <f t="shared" si="36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5"/>
        <v>1.25</v>
      </c>
      <c r="D140" s="137">
        <f t="shared" si="35"/>
        <v>1.25</v>
      </c>
      <c r="E140" s="137">
        <f t="shared" si="35"/>
        <v>1.25</v>
      </c>
      <c r="F140" s="137">
        <f t="shared" si="35"/>
        <v>1.25</v>
      </c>
      <c r="G140" s="137">
        <f t="shared" si="35"/>
        <v>1.25</v>
      </c>
      <c r="H140" s="137">
        <f t="shared" si="35"/>
        <v>1.25</v>
      </c>
      <c r="I140" s="137">
        <f t="shared" si="35"/>
        <v>1.25</v>
      </c>
      <c r="J140" s="137">
        <f t="shared" si="35"/>
        <v>1.25</v>
      </c>
      <c r="K140" s="137">
        <f t="shared" si="35"/>
        <v>1.25</v>
      </c>
      <c r="L140" s="137">
        <f t="shared" si="35"/>
        <v>1.25</v>
      </c>
      <c r="M140" s="137">
        <f t="shared" si="35"/>
        <v>1.25</v>
      </c>
      <c r="N140" s="137">
        <f t="shared" si="35"/>
        <v>1.25</v>
      </c>
      <c r="O140" s="137">
        <f t="shared" si="35"/>
        <v>1.25</v>
      </c>
      <c r="P140" s="137">
        <f t="shared" si="35"/>
        <v>1.25</v>
      </c>
      <c r="Q140" s="137">
        <f t="shared" si="35"/>
        <v>1.25</v>
      </c>
      <c r="R140" s="137">
        <f t="shared" si="35"/>
        <v>1.25</v>
      </c>
      <c r="S140" s="137">
        <f t="shared" si="36"/>
        <v>1.25</v>
      </c>
      <c r="T140" s="137">
        <f t="shared" si="36"/>
        <v>1.25</v>
      </c>
      <c r="U140" s="137">
        <f t="shared" si="36"/>
        <v>1.25</v>
      </c>
      <c r="V140" s="137">
        <f t="shared" si="36"/>
        <v>1.25</v>
      </c>
      <c r="W140" s="137">
        <f t="shared" si="36"/>
        <v>1.25</v>
      </c>
      <c r="X140" s="137">
        <f t="shared" si="36"/>
        <v>1.25</v>
      </c>
      <c r="Y140" s="137">
        <f t="shared" si="36"/>
        <v>1.25</v>
      </c>
      <c r="Z140" s="137">
        <f t="shared" si="36"/>
        <v>1.25</v>
      </c>
      <c r="AA140" s="137">
        <f t="shared" si="36"/>
        <v>1.25</v>
      </c>
      <c r="AB140" s="137">
        <f t="shared" si="36"/>
        <v>1.25</v>
      </c>
      <c r="AC140" s="137">
        <f t="shared" si="36"/>
        <v>1.25</v>
      </c>
      <c r="AD140" s="137">
        <f t="shared" si="36"/>
        <v>1.25</v>
      </c>
      <c r="AE140" s="137">
        <f t="shared" si="36"/>
        <v>1.25</v>
      </c>
      <c r="AF140" s="137">
        <f t="shared" si="36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5"/>
        <v>1.25</v>
      </c>
      <c r="D141" s="137">
        <f t="shared" si="35"/>
        <v>1.25</v>
      </c>
      <c r="E141" s="137">
        <f t="shared" si="35"/>
        <v>1.25</v>
      </c>
      <c r="F141" s="137">
        <f t="shared" si="35"/>
        <v>1.25</v>
      </c>
      <c r="G141" s="137">
        <f t="shared" si="35"/>
        <v>1.25</v>
      </c>
      <c r="H141" s="137">
        <f t="shared" si="35"/>
        <v>1.25</v>
      </c>
      <c r="I141" s="137">
        <f t="shared" si="35"/>
        <v>1.25</v>
      </c>
      <c r="J141" s="137">
        <f t="shared" si="35"/>
        <v>1.25</v>
      </c>
      <c r="K141" s="137">
        <f t="shared" si="35"/>
        <v>1.25</v>
      </c>
      <c r="L141" s="137">
        <f t="shared" si="35"/>
        <v>1.25</v>
      </c>
      <c r="M141" s="137">
        <f t="shared" si="35"/>
        <v>1.25</v>
      </c>
      <c r="N141" s="137">
        <f t="shared" si="35"/>
        <v>1.25</v>
      </c>
      <c r="O141" s="137">
        <f t="shared" si="35"/>
        <v>1.25</v>
      </c>
      <c r="P141" s="137">
        <f t="shared" si="35"/>
        <v>1.25</v>
      </c>
      <c r="Q141" s="137">
        <f t="shared" si="35"/>
        <v>1.25</v>
      </c>
      <c r="R141" s="137">
        <f t="shared" si="35"/>
        <v>1.25</v>
      </c>
      <c r="S141" s="137">
        <f t="shared" si="36"/>
        <v>1.25</v>
      </c>
      <c r="T141" s="137">
        <f t="shared" si="36"/>
        <v>1.25</v>
      </c>
      <c r="U141" s="137">
        <f t="shared" si="36"/>
        <v>1.25</v>
      </c>
      <c r="V141" s="137">
        <f t="shared" si="36"/>
        <v>1.25</v>
      </c>
      <c r="W141" s="137">
        <f t="shared" si="36"/>
        <v>1.25</v>
      </c>
      <c r="X141" s="137">
        <f t="shared" si="36"/>
        <v>1.25</v>
      </c>
      <c r="Y141" s="137">
        <f t="shared" si="36"/>
        <v>1.25</v>
      </c>
      <c r="Z141" s="137">
        <f t="shared" si="36"/>
        <v>1.25</v>
      </c>
      <c r="AA141" s="137">
        <f t="shared" si="36"/>
        <v>1.25</v>
      </c>
      <c r="AB141" s="137">
        <f t="shared" si="36"/>
        <v>1.25</v>
      </c>
      <c r="AC141" s="137">
        <f t="shared" si="36"/>
        <v>1.25</v>
      </c>
      <c r="AD141" s="137">
        <f t="shared" si="36"/>
        <v>1.25</v>
      </c>
      <c r="AE141" s="137">
        <f t="shared" si="36"/>
        <v>1.25</v>
      </c>
      <c r="AF141" s="137">
        <f t="shared" si="36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5"/>
        <v>1.46</v>
      </c>
      <c r="D142" s="137">
        <f t="shared" si="35"/>
        <v>1.46</v>
      </c>
      <c r="E142" s="137">
        <f t="shared" si="35"/>
        <v>1.46</v>
      </c>
      <c r="F142" s="137">
        <f t="shared" si="35"/>
        <v>1.46</v>
      </c>
      <c r="G142" s="137">
        <f t="shared" si="35"/>
        <v>1.46</v>
      </c>
      <c r="H142" s="137">
        <f t="shared" si="35"/>
        <v>1.46</v>
      </c>
      <c r="I142" s="137">
        <f t="shared" si="35"/>
        <v>1.46</v>
      </c>
      <c r="J142" s="137">
        <f t="shared" si="35"/>
        <v>1.46</v>
      </c>
      <c r="K142" s="137">
        <f t="shared" si="35"/>
        <v>1.46</v>
      </c>
      <c r="L142" s="137">
        <f t="shared" si="35"/>
        <v>1.46</v>
      </c>
      <c r="M142" s="137">
        <f t="shared" si="35"/>
        <v>1.46</v>
      </c>
      <c r="N142" s="137">
        <f t="shared" si="35"/>
        <v>1.46</v>
      </c>
      <c r="O142" s="137">
        <f t="shared" si="35"/>
        <v>1.46</v>
      </c>
      <c r="P142" s="137">
        <f t="shared" si="35"/>
        <v>1.46</v>
      </c>
      <c r="Q142" s="137">
        <f t="shared" si="35"/>
        <v>1.46</v>
      </c>
      <c r="R142" s="137">
        <f t="shared" si="35"/>
        <v>1.46</v>
      </c>
      <c r="S142" s="137">
        <f t="shared" si="36"/>
        <v>1.46</v>
      </c>
      <c r="T142" s="137">
        <f t="shared" si="36"/>
        <v>1.46</v>
      </c>
      <c r="U142" s="137">
        <f t="shared" si="36"/>
        <v>1.46</v>
      </c>
      <c r="V142" s="137">
        <f t="shared" si="36"/>
        <v>1.46</v>
      </c>
      <c r="W142" s="137">
        <f t="shared" si="36"/>
        <v>1.46</v>
      </c>
      <c r="X142" s="137">
        <f t="shared" si="36"/>
        <v>1.46</v>
      </c>
      <c r="Y142" s="137">
        <f t="shared" si="36"/>
        <v>1.46</v>
      </c>
      <c r="Z142" s="137">
        <f t="shared" si="36"/>
        <v>1.46</v>
      </c>
      <c r="AA142" s="137">
        <f t="shared" si="36"/>
        <v>1.46</v>
      </c>
      <c r="AB142" s="137">
        <f t="shared" si="36"/>
        <v>1.46</v>
      </c>
      <c r="AC142" s="137">
        <f t="shared" si="36"/>
        <v>1.46</v>
      </c>
      <c r="AD142" s="137">
        <f t="shared" si="36"/>
        <v>1.46</v>
      </c>
      <c r="AE142" s="137">
        <f t="shared" si="36"/>
        <v>1.46</v>
      </c>
      <c r="AF142" s="137">
        <f t="shared" si="36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5"/>
        <v>3</v>
      </c>
      <c r="D143" s="137">
        <f t="shared" si="35"/>
        <v>3</v>
      </c>
      <c r="E143" s="137">
        <f t="shared" si="35"/>
        <v>3</v>
      </c>
      <c r="F143" s="137">
        <f t="shared" si="35"/>
        <v>3</v>
      </c>
      <c r="G143" s="137">
        <f t="shared" si="35"/>
        <v>3</v>
      </c>
      <c r="H143" s="137">
        <f t="shared" si="35"/>
        <v>3</v>
      </c>
      <c r="I143" s="137">
        <f t="shared" si="35"/>
        <v>3</v>
      </c>
      <c r="J143" s="137">
        <f t="shared" si="35"/>
        <v>3</v>
      </c>
      <c r="K143" s="137">
        <f t="shared" si="35"/>
        <v>3</v>
      </c>
      <c r="L143" s="137">
        <f t="shared" si="35"/>
        <v>3</v>
      </c>
      <c r="M143" s="137">
        <f t="shared" si="35"/>
        <v>3</v>
      </c>
      <c r="N143" s="137">
        <f t="shared" si="35"/>
        <v>3</v>
      </c>
      <c r="O143" s="137">
        <f t="shared" si="35"/>
        <v>3</v>
      </c>
      <c r="P143" s="137">
        <f t="shared" si="35"/>
        <v>3</v>
      </c>
      <c r="Q143" s="137">
        <f t="shared" si="35"/>
        <v>3</v>
      </c>
      <c r="R143" s="137">
        <f t="shared" si="35"/>
        <v>3</v>
      </c>
      <c r="S143" s="137">
        <f t="shared" si="36"/>
        <v>3</v>
      </c>
      <c r="T143" s="137">
        <f t="shared" si="36"/>
        <v>3</v>
      </c>
      <c r="U143" s="137">
        <f t="shared" si="36"/>
        <v>3</v>
      </c>
      <c r="V143" s="137">
        <f t="shared" si="36"/>
        <v>3</v>
      </c>
      <c r="W143" s="137">
        <f t="shared" si="36"/>
        <v>3</v>
      </c>
      <c r="X143" s="137">
        <f t="shared" si="36"/>
        <v>3</v>
      </c>
      <c r="Y143" s="137">
        <f t="shared" si="36"/>
        <v>3</v>
      </c>
      <c r="Z143" s="137">
        <f t="shared" si="36"/>
        <v>3</v>
      </c>
      <c r="AA143" s="137">
        <f t="shared" si="36"/>
        <v>3</v>
      </c>
      <c r="AB143" s="137">
        <f t="shared" si="36"/>
        <v>3</v>
      </c>
      <c r="AC143" s="137">
        <f t="shared" si="36"/>
        <v>3</v>
      </c>
      <c r="AD143" s="137">
        <f t="shared" si="36"/>
        <v>3</v>
      </c>
      <c r="AE143" s="137">
        <f t="shared" si="36"/>
        <v>3</v>
      </c>
      <c r="AF143" s="137">
        <f t="shared" si="36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5"/>
        <v>3.3</v>
      </c>
      <c r="D144" s="137">
        <f t="shared" si="35"/>
        <v>3.3</v>
      </c>
      <c r="E144" s="137">
        <f t="shared" si="35"/>
        <v>3.3</v>
      </c>
      <c r="F144" s="137">
        <f t="shared" si="35"/>
        <v>3.3</v>
      </c>
      <c r="G144" s="137">
        <f t="shared" si="35"/>
        <v>3.3</v>
      </c>
      <c r="H144" s="137">
        <f t="shared" si="35"/>
        <v>3.3</v>
      </c>
      <c r="I144" s="137">
        <f t="shared" si="35"/>
        <v>3.3</v>
      </c>
      <c r="J144" s="137">
        <f t="shared" si="35"/>
        <v>3.3</v>
      </c>
      <c r="K144" s="137">
        <f t="shared" si="35"/>
        <v>3.3</v>
      </c>
      <c r="L144" s="137">
        <f t="shared" si="35"/>
        <v>3.3</v>
      </c>
      <c r="M144" s="137">
        <f t="shared" si="35"/>
        <v>3.3</v>
      </c>
      <c r="N144" s="137">
        <f t="shared" si="35"/>
        <v>3.3</v>
      </c>
      <c r="O144" s="137">
        <f t="shared" si="35"/>
        <v>3.3</v>
      </c>
      <c r="P144" s="137">
        <f t="shared" si="35"/>
        <v>3.3</v>
      </c>
      <c r="Q144" s="137">
        <f t="shared" si="35"/>
        <v>3.3</v>
      </c>
      <c r="R144" s="137">
        <f t="shared" si="35"/>
        <v>3.3</v>
      </c>
      <c r="S144" s="137">
        <f t="shared" si="36"/>
        <v>3.3</v>
      </c>
      <c r="T144" s="137">
        <f t="shared" si="36"/>
        <v>3.3</v>
      </c>
      <c r="U144" s="137">
        <f t="shared" si="36"/>
        <v>3.3</v>
      </c>
      <c r="V144" s="137">
        <f t="shared" si="36"/>
        <v>3.3</v>
      </c>
      <c r="W144" s="137">
        <f t="shared" si="36"/>
        <v>3.3</v>
      </c>
      <c r="X144" s="137">
        <f t="shared" si="36"/>
        <v>3.3</v>
      </c>
      <c r="Y144" s="137">
        <f t="shared" si="36"/>
        <v>3.3</v>
      </c>
      <c r="Z144" s="137">
        <f t="shared" si="36"/>
        <v>3.3</v>
      </c>
      <c r="AA144" s="137">
        <f t="shared" si="36"/>
        <v>3.3</v>
      </c>
      <c r="AB144" s="137">
        <f t="shared" si="36"/>
        <v>3.3</v>
      </c>
      <c r="AC144" s="137">
        <f t="shared" si="36"/>
        <v>3.3</v>
      </c>
      <c r="AD144" s="137">
        <f t="shared" si="36"/>
        <v>3.3</v>
      </c>
      <c r="AE144" s="137">
        <f t="shared" si="36"/>
        <v>3.3</v>
      </c>
      <c r="AF144" s="137">
        <f t="shared" si="36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7">B146</f>
        <v>1.76</v>
      </c>
      <c r="D146" s="137">
        <f t="shared" si="37"/>
        <v>1.76</v>
      </c>
      <c r="E146" s="137">
        <f t="shared" si="37"/>
        <v>1.76</v>
      </c>
      <c r="F146" s="137">
        <f t="shared" si="37"/>
        <v>1.76</v>
      </c>
      <c r="G146" s="137">
        <f t="shared" si="37"/>
        <v>1.76</v>
      </c>
      <c r="H146" s="137">
        <f t="shared" si="37"/>
        <v>1.76</v>
      </c>
      <c r="I146" s="137">
        <f t="shared" si="37"/>
        <v>1.76</v>
      </c>
      <c r="J146" s="137">
        <f t="shared" si="37"/>
        <v>1.76</v>
      </c>
      <c r="K146" s="137">
        <f t="shared" si="37"/>
        <v>1.76</v>
      </c>
      <c r="L146" s="137">
        <f t="shared" si="37"/>
        <v>1.76</v>
      </c>
      <c r="M146" s="137">
        <f t="shared" si="37"/>
        <v>1.76</v>
      </c>
      <c r="N146" s="137">
        <f t="shared" si="37"/>
        <v>1.76</v>
      </c>
      <c r="O146" s="137">
        <f t="shared" si="37"/>
        <v>1.76</v>
      </c>
      <c r="P146" s="137">
        <f t="shared" si="37"/>
        <v>1.76</v>
      </c>
      <c r="Q146" s="137">
        <f t="shared" si="37"/>
        <v>1.76</v>
      </c>
      <c r="R146" s="137">
        <f t="shared" si="37"/>
        <v>1.76</v>
      </c>
      <c r="S146" s="137">
        <f t="shared" ref="S146:AF147" si="38">R146</f>
        <v>1.76</v>
      </c>
      <c r="T146" s="137">
        <f t="shared" si="38"/>
        <v>1.76</v>
      </c>
      <c r="U146" s="137">
        <f t="shared" si="38"/>
        <v>1.76</v>
      </c>
      <c r="V146" s="137">
        <f t="shared" si="38"/>
        <v>1.76</v>
      </c>
      <c r="W146" s="137">
        <f t="shared" si="38"/>
        <v>1.76</v>
      </c>
      <c r="X146" s="137">
        <f t="shared" si="38"/>
        <v>1.76</v>
      </c>
      <c r="Y146" s="137">
        <f t="shared" si="38"/>
        <v>1.76</v>
      </c>
      <c r="Z146" s="137">
        <f t="shared" si="38"/>
        <v>1.76</v>
      </c>
      <c r="AA146" s="137">
        <f t="shared" si="38"/>
        <v>1.76</v>
      </c>
      <c r="AB146" s="137">
        <f t="shared" si="38"/>
        <v>1.76</v>
      </c>
      <c r="AC146" s="137">
        <f t="shared" si="38"/>
        <v>1.76</v>
      </c>
      <c r="AD146" s="137">
        <f t="shared" si="38"/>
        <v>1.76</v>
      </c>
      <c r="AE146" s="137">
        <f t="shared" si="38"/>
        <v>1.76</v>
      </c>
      <c r="AF146" s="137">
        <f t="shared" si="38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7"/>
        <v>0</v>
      </c>
      <c r="D147" s="137">
        <f t="shared" si="37"/>
        <v>0</v>
      </c>
      <c r="E147" s="137">
        <f t="shared" si="37"/>
        <v>0</v>
      </c>
      <c r="F147" s="137">
        <f t="shared" si="37"/>
        <v>0</v>
      </c>
      <c r="G147" s="137">
        <f t="shared" si="37"/>
        <v>0</v>
      </c>
      <c r="H147" s="137">
        <f t="shared" si="37"/>
        <v>0</v>
      </c>
      <c r="I147" s="137">
        <f t="shared" si="37"/>
        <v>0</v>
      </c>
      <c r="J147" s="137">
        <f t="shared" si="37"/>
        <v>0</v>
      </c>
      <c r="K147" s="137">
        <f t="shared" si="37"/>
        <v>0</v>
      </c>
      <c r="L147" s="137">
        <f t="shared" si="37"/>
        <v>0</v>
      </c>
      <c r="M147" s="137">
        <f t="shared" si="37"/>
        <v>0</v>
      </c>
      <c r="N147" s="137">
        <f t="shared" si="37"/>
        <v>0</v>
      </c>
      <c r="O147" s="137">
        <f t="shared" si="37"/>
        <v>0</v>
      </c>
      <c r="P147" s="137">
        <f t="shared" si="37"/>
        <v>0</v>
      </c>
      <c r="Q147" s="137">
        <f t="shared" si="37"/>
        <v>0</v>
      </c>
      <c r="R147" s="137">
        <f t="shared" si="37"/>
        <v>0</v>
      </c>
      <c r="S147" s="137">
        <f t="shared" si="38"/>
        <v>0</v>
      </c>
      <c r="T147" s="137">
        <f t="shared" si="38"/>
        <v>0</v>
      </c>
      <c r="U147" s="137">
        <f t="shared" si="38"/>
        <v>0</v>
      </c>
      <c r="V147" s="137">
        <f t="shared" si="38"/>
        <v>0</v>
      </c>
      <c r="W147" s="137">
        <f t="shared" si="38"/>
        <v>0</v>
      </c>
      <c r="X147" s="137">
        <f t="shared" si="38"/>
        <v>0</v>
      </c>
      <c r="Y147" s="137">
        <f t="shared" si="38"/>
        <v>0</v>
      </c>
      <c r="Z147" s="137">
        <f t="shared" si="38"/>
        <v>0</v>
      </c>
      <c r="AA147" s="137">
        <f t="shared" si="38"/>
        <v>0</v>
      </c>
      <c r="AB147" s="137">
        <f t="shared" si="38"/>
        <v>0</v>
      </c>
      <c r="AC147" s="137">
        <f t="shared" si="38"/>
        <v>0</v>
      </c>
      <c r="AD147" s="137">
        <f t="shared" si="38"/>
        <v>0</v>
      </c>
      <c r="AE147" s="137">
        <f t="shared" si="38"/>
        <v>0</v>
      </c>
      <c r="AF147" s="137">
        <f t="shared" si="38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9">B149</f>
        <v>0.1</v>
      </c>
      <c r="D149" s="137">
        <f t="shared" si="39"/>
        <v>0.1</v>
      </c>
      <c r="E149" s="137">
        <f t="shared" si="39"/>
        <v>0.1</v>
      </c>
      <c r="F149" s="137">
        <f t="shared" si="39"/>
        <v>0.1</v>
      </c>
      <c r="G149" s="137">
        <f t="shared" si="39"/>
        <v>0.1</v>
      </c>
      <c r="H149" s="137">
        <f t="shared" si="39"/>
        <v>0.1</v>
      </c>
      <c r="I149" s="137">
        <f t="shared" si="39"/>
        <v>0.1</v>
      </c>
      <c r="J149" s="137">
        <f t="shared" si="39"/>
        <v>0.1</v>
      </c>
      <c r="K149" s="137">
        <f t="shared" si="39"/>
        <v>0.1</v>
      </c>
      <c r="L149" s="137">
        <f t="shared" si="39"/>
        <v>0.1</v>
      </c>
      <c r="M149" s="137">
        <f t="shared" si="39"/>
        <v>0.1</v>
      </c>
      <c r="N149" s="137">
        <f t="shared" si="39"/>
        <v>0.1</v>
      </c>
      <c r="O149" s="137">
        <f t="shared" si="39"/>
        <v>0.1</v>
      </c>
      <c r="P149" s="137">
        <f t="shared" si="39"/>
        <v>0.1</v>
      </c>
      <c r="Q149" s="137">
        <f t="shared" si="39"/>
        <v>0.1</v>
      </c>
      <c r="R149" s="137">
        <f t="shared" si="39"/>
        <v>0.1</v>
      </c>
      <c r="S149" s="137">
        <f t="shared" ref="S149:AF152" si="40">R149</f>
        <v>0.1</v>
      </c>
      <c r="T149" s="137">
        <f t="shared" si="40"/>
        <v>0.1</v>
      </c>
      <c r="U149" s="137">
        <f t="shared" si="40"/>
        <v>0.1</v>
      </c>
      <c r="V149" s="137">
        <f t="shared" si="40"/>
        <v>0.1</v>
      </c>
      <c r="W149" s="137">
        <f t="shared" si="40"/>
        <v>0.1</v>
      </c>
      <c r="X149" s="137">
        <f t="shared" si="40"/>
        <v>0.1</v>
      </c>
      <c r="Y149" s="137">
        <f t="shared" si="40"/>
        <v>0.1</v>
      </c>
      <c r="Z149" s="137">
        <f t="shared" si="40"/>
        <v>0.1</v>
      </c>
      <c r="AA149" s="137">
        <f t="shared" si="40"/>
        <v>0.1</v>
      </c>
      <c r="AB149" s="137">
        <f t="shared" si="40"/>
        <v>0.1</v>
      </c>
      <c r="AC149" s="137">
        <f t="shared" si="40"/>
        <v>0.1</v>
      </c>
      <c r="AD149" s="137">
        <f t="shared" si="40"/>
        <v>0.1</v>
      </c>
      <c r="AE149" s="137">
        <f t="shared" si="40"/>
        <v>0.1</v>
      </c>
      <c r="AF149" s="137">
        <f t="shared" si="40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9"/>
        <v>2.0499999999999998</v>
      </c>
      <c r="D150" s="137">
        <f t="shared" si="39"/>
        <v>2.0499999999999998</v>
      </c>
      <c r="E150" s="137">
        <f t="shared" si="39"/>
        <v>2.0499999999999998</v>
      </c>
      <c r="F150" s="137">
        <f t="shared" si="39"/>
        <v>2.0499999999999998</v>
      </c>
      <c r="G150" s="137">
        <f t="shared" si="39"/>
        <v>2.0499999999999998</v>
      </c>
      <c r="H150" s="137">
        <f t="shared" si="39"/>
        <v>2.0499999999999998</v>
      </c>
      <c r="I150" s="137">
        <f t="shared" si="39"/>
        <v>2.0499999999999998</v>
      </c>
      <c r="J150" s="137">
        <f t="shared" si="39"/>
        <v>2.0499999999999998</v>
      </c>
      <c r="K150" s="137">
        <f t="shared" si="39"/>
        <v>2.0499999999999998</v>
      </c>
      <c r="L150" s="137">
        <f t="shared" si="39"/>
        <v>2.0499999999999998</v>
      </c>
      <c r="M150" s="137">
        <f t="shared" si="39"/>
        <v>2.0499999999999998</v>
      </c>
      <c r="N150" s="137">
        <f t="shared" si="39"/>
        <v>2.0499999999999998</v>
      </c>
      <c r="O150" s="137">
        <f t="shared" si="39"/>
        <v>2.0499999999999998</v>
      </c>
      <c r="P150" s="137">
        <f t="shared" si="39"/>
        <v>2.0499999999999998</v>
      </c>
      <c r="Q150" s="137">
        <f t="shared" si="39"/>
        <v>2.0499999999999998</v>
      </c>
      <c r="R150" s="137">
        <f t="shared" si="39"/>
        <v>2.0499999999999998</v>
      </c>
      <c r="S150" s="137">
        <f t="shared" si="40"/>
        <v>2.0499999999999998</v>
      </c>
      <c r="T150" s="137">
        <f t="shared" si="40"/>
        <v>2.0499999999999998</v>
      </c>
      <c r="U150" s="137">
        <f t="shared" si="40"/>
        <v>2.0499999999999998</v>
      </c>
      <c r="V150" s="137">
        <f t="shared" si="40"/>
        <v>2.0499999999999998</v>
      </c>
      <c r="W150" s="137">
        <f t="shared" si="40"/>
        <v>2.0499999999999998</v>
      </c>
      <c r="X150" s="137">
        <f t="shared" si="40"/>
        <v>2.0499999999999998</v>
      </c>
      <c r="Y150" s="137">
        <f t="shared" si="40"/>
        <v>2.0499999999999998</v>
      </c>
      <c r="Z150" s="137">
        <f t="shared" si="40"/>
        <v>2.0499999999999998</v>
      </c>
      <c r="AA150" s="137">
        <f t="shared" si="40"/>
        <v>2.0499999999999998</v>
      </c>
      <c r="AB150" s="137">
        <f t="shared" si="40"/>
        <v>2.0499999999999998</v>
      </c>
      <c r="AC150" s="137">
        <f t="shared" si="40"/>
        <v>2.0499999999999998</v>
      </c>
      <c r="AD150" s="137">
        <f t="shared" si="40"/>
        <v>2.0499999999999998</v>
      </c>
      <c r="AE150" s="137">
        <f t="shared" si="40"/>
        <v>2.0499999999999998</v>
      </c>
      <c r="AF150" s="137">
        <f t="shared" si="40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9"/>
        <v>2.7</v>
      </c>
      <c r="D151" s="137">
        <f t="shared" si="39"/>
        <v>2.7</v>
      </c>
      <c r="E151" s="137">
        <f t="shared" si="39"/>
        <v>2.7</v>
      </c>
      <c r="F151" s="137">
        <f t="shared" si="39"/>
        <v>2.7</v>
      </c>
      <c r="G151" s="137">
        <f t="shared" si="39"/>
        <v>2.7</v>
      </c>
      <c r="H151" s="137">
        <f t="shared" si="39"/>
        <v>2.7</v>
      </c>
      <c r="I151" s="137">
        <f t="shared" si="39"/>
        <v>2.7</v>
      </c>
      <c r="J151" s="137">
        <f t="shared" si="39"/>
        <v>2.7</v>
      </c>
      <c r="K151" s="137">
        <f t="shared" si="39"/>
        <v>2.7</v>
      </c>
      <c r="L151" s="137">
        <f t="shared" si="39"/>
        <v>2.7</v>
      </c>
      <c r="M151" s="137">
        <f t="shared" si="39"/>
        <v>2.7</v>
      </c>
      <c r="N151" s="137">
        <f t="shared" si="39"/>
        <v>2.7</v>
      </c>
      <c r="O151" s="137">
        <f t="shared" si="39"/>
        <v>2.7</v>
      </c>
      <c r="P151" s="137">
        <f t="shared" si="39"/>
        <v>2.7</v>
      </c>
      <c r="Q151" s="137">
        <f t="shared" si="39"/>
        <v>2.7</v>
      </c>
      <c r="R151" s="137">
        <f t="shared" si="39"/>
        <v>2.7</v>
      </c>
      <c r="S151" s="137">
        <f t="shared" si="40"/>
        <v>2.7</v>
      </c>
      <c r="T151" s="137">
        <f t="shared" si="40"/>
        <v>2.7</v>
      </c>
      <c r="U151" s="137">
        <f t="shared" si="40"/>
        <v>2.7</v>
      </c>
      <c r="V151" s="137">
        <f t="shared" si="40"/>
        <v>2.7</v>
      </c>
      <c r="W151" s="137">
        <f t="shared" si="40"/>
        <v>2.7</v>
      </c>
      <c r="X151" s="137">
        <f t="shared" si="40"/>
        <v>2.7</v>
      </c>
      <c r="Y151" s="137">
        <f t="shared" si="40"/>
        <v>2.7</v>
      </c>
      <c r="Z151" s="137">
        <f t="shared" si="40"/>
        <v>2.7</v>
      </c>
      <c r="AA151" s="137">
        <f t="shared" si="40"/>
        <v>2.7</v>
      </c>
      <c r="AB151" s="137">
        <f t="shared" si="40"/>
        <v>2.7</v>
      </c>
      <c r="AC151" s="137">
        <f t="shared" si="40"/>
        <v>2.7</v>
      </c>
      <c r="AD151" s="137">
        <f t="shared" si="40"/>
        <v>2.7</v>
      </c>
      <c r="AE151" s="137">
        <f t="shared" si="40"/>
        <v>2.7</v>
      </c>
      <c r="AF151" s="137">
        <f t="shared" si="40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9"/>
        <v>2.15</v>
      </c>
      <c r="D152" s="137">
        <f t="shared" si="39"/>
        <v>2.15</v>
      </c>
      <c r="E152" s="137">
        <f t="shared" si="39"/>
        <v>2.15</v>
      </c>
      <c r="F152" s="137">
        <f t="shared" si="39"/>
        <v>2.15</v>
      </c>
      <c r="G152" s="137">
        <f t="shared" si="39"/>
        <v>2.15</v>
      </c>
      <c r="H152" s="137">
        <f t="shared" si="39"/>
        <v>2.15</v>
      </c>
      <c r="I152" s="137">
        <f t="shared" si="39"/>
        <v>2.15</v>
      </c>
      <c r="J152" s="137">
        <f t="shared" si="39"/>
        <v>2.15</v>
      </c>
      <c r="K152" s="137">
        <f t="shared" si="39"/>
        <v>2.15</v>
      </c>
      <c r="L152" s="137">
        <f t="shared" si="39"/>
        <v>2.15</v>
      </c>
      <c r="M152" s="137">
        <f t="shared" si="39"/>
        <v>2.15</v>
      </c>
      <c r="N152" s="137">
        <f t="shared" si="39"/>
        <v>2.15</v>
      </c>
      <c r="O152" s="137">
        <f t="shared" si="39"/>
        <v>2.15</v>
      </c>
      <c r="P152" s="137">
        <f t="shared" si="39"/>
        <v>2.15</v>
      </c>
      <c r="Q152" s="137">
        <f t="shared" si="39"/>
        <v>2.15</v>
      </c>
      <c r="R152" s="137">
        <f t="shared" si="39"/>
        <v>2.15</v>
      </c>
      <c r="S152" s="137">
        <f t="shared" si="40"/>
        <v>2.15</v>
      </c>
      <c r="T152" s="137">
        <f t="shared" si="40"/>
        <v>2.15</v>
      </c>
      <c r="U152" s="137">
        <f t="shared" si="40"/>
        <v>2.15</v>
      </c>
      <c r="V152" s="137">
        <f t="shared" si="40"/>
        <v>2.15</v>
      </c>
      <c r="W152" s="137">
        <f t="shared" si="40"/>
        <v>2.15</v>
      </c>
      <c r="X152" s="137">
        <f t="shared" si="40"/>
        <v>2.15</v>
      </c>
      <c r="Y152" s="137">
        <f t="shared" si="40"/>
        <v>2.15</v>
      </c>
      <c r="Z152" s="137">
        <f t="shared" si="40"/>
        <v>2.15</v>
      </c>
      <c r="AA152" s="137">
        <f t="shared" si="40"/>
        <v>2.15</v>
      </c>
      <c r="AB152" s="137">
        <f t="shared" si="40"/>
        <v>2.15</v>
      </c>
      <c r="AC152" s="137">
        <f t="shared" si="40"/>
        <v>2.15</v>
      </c>
      <c r="AD152" s="137">
        <f t="shared" si="40"/>
        <v>2.15</v>
      </c>
      <c r="AE152" s="137">
        <f t="shared" si="40"/>
        <v>2.15</v>
      </c>
      <c r="AF152" s="137">
        <f t="shared" si="40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1">B154</f>
        <v>0.9</v>
      </c>
      <c r="D154" s="137">
        <f t="shared" si="41"/>
        <v>0.9</v>
      </c>
      <c r="E154" s="137">
        <f t="shared" si="41"/>
        <v>0.9</v>
      </c>
      <c r="F154" s="137">
        <f t="shared" si="41"/>
        <v>0.9</v>
      </c>
      <c r="G154" s="137">
        <f t="shared" si="41"/>
        <v>0.9</v>
      </c>
      <c r="H154" s="137">
        <f t="shared" si="41"/>
        <v>0.9</v>
      </c>
      <c r="I154" s="137">
        <f t="shared" si="41"/>
        <v>0.9</v>
      </c>
      <c r="J154" s="137">
        <f t="shared" si="41"/>
        <v>0.9</v>
      </c>
      <c r="K154" s="137">
        <f t="shared" si="41"/>
        <v>0.9</v>
      </c>
      <c r="L154" s="137">
        <f t="shared" si="41"/>
        <v>0.9</v>
      </c>
      <c r="M154" s="137">
        <f t="shared" si="41"/>
        <v>0.9</v>
      </c>
      <c r="N154" s="137">
        <f t="shared" si="41"/>
        <v>0.9</v>
      </c>
      <c r="O154" s="137">
        <f t="shared" si="41"/>
        <v>0.9</v>
      </c>
      <c r="P154" s="137">
        <f t="shared" si="41"/>
        <v>0.9</v>
      </c>
      <c r="Q154" s="137">
        <f t="shared" si="41"/>
        <v>0.9</v>
      </c>
      <c r="R154" s="137">
        <f t="shared" si="41"/>
        <v>0.9</v>
      </c>
      <c r="S154" s="137">
        <f t="shared" ref="R154:AF166" si="42">R154</f>
        <v>0.9</v>
      </c>
      <c r="T154" s="137">
        <f t="shared" si="42"/>
        <v>0.9</v>
      </c>
      <c r="U154" s="137">
        <f t="shared" si="42"/>
        <v>0.9</v>
      </c>
      <c r="V154" s="137">
        <f t="shared" si="42"/>
        <v>0.9</v>
      </c>
      <c r="W154" s="137">
        <f t="shared" si="42"/>
        <v>0.9</v>
      </c>
      <c r="X154" s="137">
        <f t="shared" si="42"/>
        <v>0.9</v>
      </c>
      <c r="Y154" s="137">
        <f t="shared" si="42"/>
        <v>0.9</v>
      </c>
      <c r="Z154" s="137">
        <f t="shared" si="42"/>
        <v>0.9</v>
      </c>
      <c r="AA154" s="137">
        <f t="shared" si="42"/>
        <v>0.9</v>
      </c>
      <c r="AB154" s="137">
        <f t="shared" si="42"/>
        <v>0.9</v>
      </c>
      <c r="AC154" s="137">
        <f t="shared" si="42"/>
        <v>0.9</v>
      </c>
      <c r="AD154" s="137">
        <f t="shared" si="42"/>
        <v>0.9</v>
      </c>
      <c r="AE154" s="137">
        <f t="shared" si="42"/>
        <v>0.9</v>
      </c>
      <c r="AF154" s="137">
        <f t="shared" si="42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1"/>
        <v>1.08</v>
      </c>
      <c r="D155" s="137">
        <f t="shared" si="41"/>
        <v>1.08</v>
      </c>
      <c r="E155" s="137">
        <f t="shared" si="41"/>
        <v>1.08</v>
      </c>
      <c r="F155" s="137">
        <f t="shared" si="41"/>
        <v>1.08</v>
      </c>
      <c r="G155" s="137">
        <f t="shared" si="41"/>
        <v>1.08</v>
      </c>
      <c r="H155" s="137">
        <f t="shared" si="41"/>
        <v>1.08</v>
      </c>
      <c r="I155" s="137">
        <f t="shared" si="41"/>
        <v>1.08</v>
      </c>
      <c r="J155" s="137">
        <f t="shared" si="41"/>
        <v>1.08</v>
      </c>
      <c r="K155" s="137">
        <f t="shared" si="41"/>
        <v>1.08</v>
      </c>
      <c r="L155" s="137">
        <f t="shared" si="41"/>
        <v>1.08</v>
      </c>
      <c r="M155" s="137">
        <f t="shared" si="41"/>
        <v>1.08</v>
      </c>
      <c r="N155" s="137">
        <f t="shared" si="41"/>
        <v>1.08</v>
      </c>
      <c r="O155" s="137">
        <f t="shared" si="41"/>
        <v>1.08</v>
      </c>
      <c r="P155" s="137">
        <f t="shared" si="41"/>
        <v>1.08</v>
      </c>
      <c r="Q155" s="137">
        <f t="shared" si="41"/>
        <v>1.08</v>
      </c>
      <c r="R155" s="137">
        <f t="shared" si="41"/>
        <v>1.08</v>
      </c>
      <c r="S155" s="137">
        <f t="shared" si="42"/>
        <v>1.08</v>
      </c>
      <c r="T155" s="137">
        <f t="shared" si="42"/>
        <v>1.08</v>
      </c>
      <c r="U155" s="137">
        <f t="shared" si="42"/>
        <v>1.08</v>
      </c>
      <c r="V155" s="137">
        <f t="shared" si="42"/>
        <v>1.08</v>
      </c>
      <c r="W155" s="137">
        <f t="shared" si="42"/>
        <v>1.08</v>
      </c>
      <c r="X155" s="137">
        <f t="shared" si="42"/>
        <v>1.08</v>
      </c>
      <c r="Y155" s="137">
        <f t="shared" si="42"/>
        <v>1.08</v>
      </c>
      <c r="Z155" s="137">
        <f t="shared" si="42"/>
        <v>1.08</v>
      </c>
      <c r="AA155" s="137">
        <f t="shared" si="42"/>
        <v>1.08</v>
      </c>
      <c r="AB155" s="137">
        <f t="shared" si="42"/>
        <v>1.08</v>
      </c>
      <c r="AC155" s="137">
        <f t="shared" si="42"/>
        <v>1.08</v>
      </c>
      <c r="AD155" s="137">
        <f t="shared" si="42"/>
        <v>1.08</v>
      </c>
      <c r="AE155" s="137">
        <f t="shared" si="42"/>
        <v>1.08</v>
      </c>
      <c r="AF155" s="137">
        <f t="shared" si="42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1"/>
        <v>2.37</v>
      </c>
      <c r="D156" s="137">
        <f t="shared" si="41"/>
        <v>2.37</v>
      </c>
      <c r="E156" s="137">
        <f t="shared" si="41"/>
        <v>2.37</v>
      </c>
      <c r="F156" s="137">
        <f t="shared" si="41"/>
        <v>2.37</v>
      </c>
      <c r="G156" s="137">
        <f t="shared" si="41"/>
        <v>2.37</v>
      </c>
      <c r="H156" s="137">
        <f t="shared" si="41"/>
        <v>2.37</v>
      </c>
      <c r="I156" s="137">
        <f t="shared" si="41"/>
        <v>2.37</v>
      </c>
      <c r="J156" s="137">
        <f t="shared" si="41"/>
        <v>2.37</v>
      </c>
      <c r="K156" s="137">
        <f t="shared" si="41"/>
        <v>2.37</v>
      </c>
      <c r="L156" s="137">
        <f t="shared" si="41"/>
        <v>2.37</v>
      </c>
      <c r="M156" s="137">
        <f t="shared" si="41"/>
        <v>2.37</v>
      </c>
      <c r="N156" s="137">
        <f t="shared" si="41"/>
        <v>2.37</v>
      </c>
      <c r="O156" s="137">
        <f t="shared" si="41"/>
        <v>2.37</v>
      </c>
      <c r="P156" s="137">
        <f t="shared" si="41"/>
        <v>2.37</v>
      </c>
      <c r="Q156" s="137">
        <f t="shared" si="41"/>
        <v>2.37</v>
      </c>
      <c r="R156" s="137">
        <f t="shared" si="41"/>
        <v>2.37</v>
      </c>
      <c r="S156" s="137">
        <f t="shared" si="42"/>
        <v>2.37</v>
      </c>
      <c r="T156" s="137">
        <f t="shared" si="42"/>
        <v>2.37</v>
      </c>
      <c r="U156" s="137">
        <f t="shared" si="42"/>
        <v>2.37</v>
      </c>
      <c r="V156" s="137">
        <f t="shared" si="42"/>
        <v>2.37</v>
      </c>
      <c r="W156" s="137">
        <f t="shared" si="42"/>
        <v>2.37</v>
      </c>
      <c r="X156" s="137">
        <f t="shared" si="42"/>
        <v>2.37</v>
      </c>
      <c r="Y156" s="137">
        <f t="shared" si="42"/>
        <v>2.37</v>
      </c>
      <c r="Z156" s="137">
        <f t="shared" si="42"/>
        <v>2.37</v>
      </c>
      <c r="AA156" s="137">
        <f t="shared" si="42"/>
        <v>2.37</v>
      </c>
      <c r="AB156" s="137">
        <f t="shared" si="42"/>
        <v>2.37</v>
      </c>
      <c r="AC156" s="137">
        <f t="shared" si="42"/>
        <v>2.37</v>
      </c>
      <c r="AD156" s="137">
        <f t="shared" si="42"/>
        <v>2.37</v>
      </c>
      <c r="AE156" s="137">
        <f t="shared" si="42"/>
        <v>2.37</v>
      </c>
      <c r="AF156" s="137">
        <f t="shared" si="42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1"/>
        <v>1.81</v>
      </c>
      <c r="D157" s="137">
        <f t="shared" si="41"/>
        <v>1.81</v>
      </c>
      <c r="E157" s="137">
        <f t="shared" si="41"/>
        <v>1.81</v>
      </c>
      <c r="F157" s="137">
        <f t="shared" si="41"/>
        <v>1.81</v>
      </c>
      <c r="G157" s="137">
        <f t="shared" si="41"/>
        <v>1.81</v>
      </c>
      <c r="H157" s="137">
        <f t="shared" si="41"/>
        <v>1.81</v>
      </c>
      <c r="I157" s="137">
        <f t="shared" si="41"/>
        <v>1.81</v>
      </c>
      <c r="J157" s="137">
        <f t="shared" si="41"/>
        <v>1.81</v>
      </c>
      <c r="K157" s="137">
        <f t="shared" si="41"/>
        <v>1.81</v>
      </c>
      <c r="L157" s="137">
        <f t="shared" si="41"/>
        <v>1.81</v>
      </c>
      <c r="M157" s="137">
        <f t="shared" si="41"/>
        <v>1.81</v>
      </c>
      <c r="N157" s="137">
        <f t="shared" si="41"/>
        <v>1.81</v>
      </c>
      <c r="O157" s="137">
        <f t="shared" si="41"/>
        <v>1.81</v>
      </c>
      <c r="P157" s="137">
        <f t="shared" si="41"/>
        <v>1.81</v>
      </c>
      <c r="Q157" s="137">
        <f t="shared" si="41"/>
        <v>1.81</v>
      </c>
      <c r="R157" s="137">
        <f t="shared" si="41"/>
        <v>1.81</v>
      </c>
      <c r="S157" s="137">
        <f t="shared" si="42"/>
        <v>1.81</v>
      </c>
      <c r="T157" s="137">
        <f t="shared" si="42"/>
        <v>1.81</v>
      </c>
      <c r="U157" s="137">
        <f t="shared" si="42"/>
        <v>1.81</v>
      </c>
      <c r="V157" s="137">
        <f t="shared" si="42"/>
        <v>1.81</v>
      </c>
      <c r="W157" s="137">
        <f t="shared" si="42"/>
        <v>1.81</v>
      </c>
      <c r="X157" s="137">
        <f t="shared" si="42"/>
        <v>1.81</v>
      </c>
      <c r="Y157" s="137">
        <f t="shared" si="42"/>
        <v>1.81</v>
      </c>
      <c r="Z157" s="137">
        <f t="shared" si="42"/>
        <v>1.81</v>
      </c>
      <c r="AA157" s="137">
        <f t="shared" si="42"/>
        <v>1.81</v>
      </c>
      <c r="AB157" s="137">
        <f t="shared" si="42"/>
        <v>1.81</v>
      </c>
      <c r="AC157" s="137">
        <f t="shared" si="42"/>
        <v>1.81</v>
      </c>
      <c r="AD157" s="137">
        <f t="shared" si="42"/>
        <v>1.81</v>
      </c>
      <c r="AE157" s="137">
        <f t="shared" si="42"/>
        <v>1.81</v>
      </c>
      <c r="AF157" s="137">
        <f t="shared" si="42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1"/>
        <v>1.0900000000000001</v>
      </c>
      <c r="D158" s="137">
        <f t="shared" si="41"/>
        <v>1.0900000000000001</v>
      </c>
      <c r="E158" s="137">
        <f t="shared" si="41"/>
        <v>1.0900000000000001</v>
      </c>
      <c r="F158" s="137">
        <f t="shared" si="41"/>
        <v>1.0900000000000001</v>
      </c>
      <c r="G158" s="137">
        <f t="shared" si="41"/>
        <v>1.0900000000000001</v>
      </c>
      <c r="H158" s="137">
        <f t="shared" si="41"/>
        <v>1.0900000000000001</v>
      </c>
      <c r="I158" s="137">
        <f t="shared" si="41"/>
        <v>1.0900000000000001</v>
      </c>
      <c r="J158" s="137">
        <f t="shared" si="41"/>
        <v>1.0900000000000001</v>
      </c>
      <c r="K158" s="137">
        <f t="shared" si="41"/>
        <v>1.0900000000000001</v>
      </c>
      <c r="L158" s="137">
        <f t="shared" si="41"/>
        <v>1.0900000000000001</v>
      </c>
      <c r="M158" s="137">
        <f t="shared" si="41"/>
        <v>1.0900000000000001</v>
      </c>
      <c r="N158" s="137">
        <f t="shared" si="41"/>
        <v>1.0900000000000001</v>
      </c>
      <c r="O158" s="137">
        <f t="shared" si="41"/>
        <v>1.0900000000000001</v>
      </c>
      <c r="P158" s="137">
        <f t="shared" si="41"/>
        <v>1.0900000000000001</v>
      </c>
      <c r="Q158" s="137">
        <f t="shared" si="41"/>
        <v>1.0900000000000001</v>
      </c>
      <c r="R158" s="137">
        <f t="shared" si="41"/>
        <v>1.0900000000000001</v>
      </c>
      <c r="S158" s="137">
        <f t="shared" si="42"/>
        <v>1.0900000000000001</v>
      </c>
      <c r="T158" s="137">
        <f t="shared" si="42"/>
        <v>1.0900000000000001</v>
      </c>
      <c r="U158" s="137">
        <f t="shared" si="42"/>
        <v>1.0900000000000001</v>
      </c>
      <c r="V158" s="137">
        <f t="shared" si="42"/>
        <v>1.0900000000000001</v>
      </c>
      <c r="W158" s="137">
        <f t="shared" si="42"/>
        <v>1.0900000000000001</v>
      </c>
      <c r="X158" s="137">
        <f t="shared" si="42"/>
        <v>1.0900000000000001</v>
      </c>
      <c r="Y158" s="137">
        <f t="shared" si="42"/>
        <v>1.0900000000000001</v>
      </c>
      <c r="Z158" s="137">
        <f t="shared" si="42"/>
        <v>1.0900000000000001</v>
      </c>
      <c r="AA158" s="137">
        <f t="shared" si="42"/>
        <v>1.0900000000000001</v>
      </c>
      <c r="AB158" s="137">
        <f t="shared" si="42"/>
        <v>1.0900000000000001</v>
      </c>
      <c r="AC158" s="137">
        <f t="shared" si="42"/>
        <v>1.0900000000000001</v>
      </c>
      <c r="AD158" s="137">
        <f t="shared" si="42"/>
        <v>1.0900000000000001</v>
      </c>
      <c r="AE158" s="137">
        <f t="shared" si="42"/>
        <v>1.0900000000000001</v>
      </c>
      <c r="AF158" s="137">
        <f t="shared" si="42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1"/>
        <v>1.58</v>
      </c>
      <c r="D159" s="137">
        <f t="shared" si="41"/>
        <v>1.58</v>
      </c>
      <c r="E159" s="137">
        <f t="shared" si="41"/>
        <v>1.58</v>
      </c>
      <c r="F159" s="137">
        <f t="shared" si="41"/>
        <v>1.58</v>
      </c>
      <c r="G159" s="137">
        <f t="shared" si="41"/>
        <v>1.58</v>
      </c>
      <c r="H159" s="137">
        <f t="shared" si="41"/>
        <v>1.58</v>
      </c>
      <c r="I159" s="137">
        <f t="shared" si="41"/>
        <v>1.58</v>
      </c>
      <c r="J159" s="137">
        <f t="shared" si="41"/>
        <v>1.58</v>
      </c>
      <c r="K159" s="137">
        <f t="shared" si="41"/>
        <v>1.58</v>
      </c>
      <c r="L159" s="137">
        <f t="shared" si="41"/>
        <v>1.58</v>
      </c>
      <c r="M159" s="137">
        <f t="shared" si="41"/>
        <v>1.58</v>
      </c>
      <c r="N159" s="137">
        <f t="shared" si="41"/>
        <v>1.58</v>
      </c>
      <c r="O159" s="137">
        <f t="shared" si="41"/>
        <v>1.58</v>
      </c>
      <c r="P159" s="137">
        <f t="shared" si="41"/>
        <v>1.58</v>
      </c>
      <c r="Q159" s="137">
        <f t="shared" si="41"/>
        <v>1.58</v>
      </c>
      <c r="R159" s="137">
        <f t="shared" si="41"/>
        <v>1.58</v>
      </c>
      <c r="S159" s="137">
        <f t="shared" si="42"/>
        <v>1.58</v>
      </c>
      <c r="T159" s="137">
        <f t="shared" si="42"/>
        <v>1.58</v>
      </c>
      <c r="U159" s="137">
        <f t="shared" si="42"/>
        <v>1.58</v>
      </c>
      <c r="V159" s="137">
        <f t="shared" si="42"/>
        <v>1.58</v>
      </c>
      <c r="W159" s="137">
        <f t="shared" si="42"/>
        <v>1.58</v>
      </c>
      <c r="X159" s="137">
        <f t="shared" si="42"/>
        <v>1.58</v>
      </c>
      <c r="Y159" s="137">
        <f t="shared" si="42"/>
        <v>1.58</v>
      </c>
      <c r="Z159" s="137">
        <f t="shared" si="42"/>
        <v>1.58</v>
      </c>
      <c r="AA159" s="137">
        <f t="shared" si="42"/>
        <v>1.58</v>
      </c>
      <c r="AB159" s="137">
        <f t="shared" si="42"/>
        <v>1.58</v>
      </c>
      <c r="AC159" s="137">
        <f t="shared" si="42"/>
        <v>1.58</v>
      </c>
      <c r="AD159" s="137">
        <f t="shared" si="42"/>
        <v>1.58</v>
      </c>
      <c r="AE159" s="137">
        <f t="shared" si="42"/>
        <v>1.58</v>
      </c>
      <c r="AF159" s="137">
        <f t="shared" si="42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1"/>
        <v>2</v>
      </c>
      <c r="D160" s="137">
        <f t="shared" si="41"/>
        <v>2</v>
      </c>
      <c r="E160" s="137">
        <f t="shared" si="41"/>
        <v>2</v>
      </c>
      <c r="F160" s="137">
        <f t="shared" si="41"/>
        <v>2</v>
      </c>
      <c r="G160" s="137">
        <f t="shared" si="41"/>
        <v>2</v>
      </c>
      <c r="H160" s="137">
        <f t="shared" si="41"/>
        <v>2</v>
      </c>
      <c r="I160" s="137">
        <f t="shared" si="41"/>
        <v>2</v>
      </c>
      <c r="J160" s="137">
        <f t="shared" si="41"/>
        <v>2</v>
      </c>
      <c r="K160" s="137">
        <f t="shared" si="41"/>
        <v>2</v>
      </c>
      <c r="L160" s="137">
        <f t="shared" si="41"/>
        <v>2</v>
      </c>
      <c r="M160" s="137">
        <f t="shared" si="41"/>
        <v>2</v>
      </c>
      <c r="N160" s="137">
        <f t="shared" si="41"/>
        <v>2</v>
      </c>
      <c r="O160" s="137">
        <f t="shared" si="41"/>
        <v>2</v>
      </c>
      <c r="P160" s="137">
        <f t="shared" si="41"/>
        <v>2</v>
      </c>
      <c r="Q160" s="137">
        <f t="shared" si="41"/>
        <v>2</v>
      </c>
      <c r="R160" s="137">
        <f t="shared" si="41"/>
        <v>2</v>
      </c>
      <c r="S160" s="137">
        <f t="shared" si="42"/>
        <v>2</v>
      </c>
      <c r="T160" s="137">
        <f t="shared" si="42"/>
        <v>2</v>
      </c>
      <c r="U160" s="137">
        <f t="shared" si="42"/>
        <v>2</v>
      </c>
      <c r="V160" s="137">
        <f t="shared" si="42"/>
        <v>2</v>
      </c>
      <c r="W160" s="137">
        <f t="shared" si="42"/>
        <v>2</v>
      </c>
      <c r="X160" s="137">
        <f t="shared" si="42"/>
        <v>2</v>
      </c>
      <c r="Y160" s="137">
        <f t="shared" si="42"/>
        <v>2</v>
      </c>
      <c r="Z160" s="137">
        <f t="shared" si="42"/>
        <v>2</v>
      </c>
      <c r="AA160" s="137">
        <f t="shared" si="42"/>
        <v>2</v>
      </c>
      <c r="AB160" s="137">
        <f t="shared" si="42"/>
        <v>2</v>
      </c>
      <c r="AC160" s="137">
        <f t="shared" si="42"/>
        <v>2</v>
      </c>
      <c r="AD160" s="137">
        <f t="shared" si="42"/>
        <v>2</v>
      </c>
      <c r="AE160" s="137">
        <f t="shared" si="42"/>
        <v>2</v>
      </c>
      <c r="AF160" s="137">
        <f t="shared" si="42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1"/>
        <v>0.47</v>
      </c>
      <c r="D161" s="137">
        <f t="shared" si="41"/>
        <v>0.47</v>
      </c>
      <c r="E161" s="137">
        <f t="shared" si="41"/>
        <v>0.47</v>
      </c>
      <c r="F161" s="137">
        <f t="shared" si="41"/>
        <v>0.47</v>
      </c>
      <c r="G161" s="137">
        <f t="shared" si="41"/>
        <v>0.47</v>
      </c>
      <c r="H161" s="137">
        <f t="shared" si="41"/>
        <v>0.47</v>
      </c>
      <c r="I161" s="137">
        <f t="shared" si="41"/>
        <v>0.47</v>
      </c>
      <c r="J161" s="137">
        <f t="shared" si="41"/>
        <v>0.47</v>
      </c>
      <c r="K161" s="137">
        <f t="shared" si="41"/>
        <v>0.47</v>
      </c>
      <c r="L161" s="137">
        <f t="shared" si="41"/>
        <v>0.47</v>
      </c>
      <c r="M161" s="137">
        <f t="shared" si="41"/>
        <v>0.47</v>
      </c>
      <c r="N161" s="137">
        <f t="shared" si="41"/>
        <v>0.47</v>
      </c>
      <c r="O161" s="137">
        <f t="shared" si="41"/>
        <v>0.47</v>
      </c>
      <c r="P161" s="137">
        <f t="shared" si="41"/>
        <v>0.47</v>
      </c>
      <c r="Q161" s="137">
        <f t="shared" si="41"/>
        <v>0.47</v>
      </c>
      <c r="R161" s="137">
        <f t="shared" si="41"/>
        <v>0.47</v>
      </c>
      <c r="S161" s="137">
        <f t="shared" si="42"/>
        <v>0.47</v>
      </c>
      <c r="T161" s="137">
        <f t="shared" si="42"/>
        <v>0.47</v>
      </c>
      <c r="U161" s="137">
        <f t="shared" si="42"/>
        <v>0.47</v>
      </c>
      <c r="V161" s="137">
        <f t="shared" si="42"/>
        <v>0.47</v>
      </c>
      <c r="W161" s="137">
        <f t="shared" si="42"/>
        <v>0.47</v>
      </c>
      <c r="X161" s="137">
        <f t="shared" si="42"/>
        <v>0.47</v>
      </c>
      <c r="Y161" s="137">
        <f t="shared" si="42"/>
        <v>0.47</v>
      </c>
      <c r="Z161" s="137">
        <f t="shared" si="42"/>
        <v>0.47</v>
      </c>
      <c r="AA161" s="137">
        <f t="shared" si="42"/>
        <v>0.47</v>
      </c>
      <c r="AB161" s="137">
        <f t="shared" si="42"/>
        <v>0.47</v>
      </c>
      <c r="AC161" s="137">
        <f t="shared" si="42"/>
        <v>0.47</v>
      </c>
      <c r="AD161" s="137">
        <f t="shared" si="42"/>
        <v>0.47</v>
      </c>
      <c r="AE161" s="137">
        <f t="shared" si="42"/>
        <v>0.47</v>
      </c>
      <c r="AF161" s="137">
        <f t="shared" si="42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1"/>
        <v>0</v>
      </c>
      <c r="D162" s="137">
        <f t="shared" si="41"/>
        <v>0</v>
      </c>
      <c r="E162" s="137">
        <f t="shared" si="41"/>
        <v>0</v>
      </c>
      <c r="F162" s="137">
        <f t="shared" si="41"/>
        <v>0</v>
      </c>
      <c r="G162" s="137">
        <f t="shared" si="41"/>
        <v>0</v>
      </c>
      <c r="H162" s="137">
        <f t="shared" si="41"/>
        <v>0</v>
      </c>
      <c r="I162" s="137">
        <f t="shared" si="41"/>
        <v>0</v>
      </c>
      <c r="J162" s="137">
        <f t="shared" si="41"/>
        <v>0</v>
      </c>
      <c r="K162" s="137">
        <f t="shared" si="41"/>
        <v>0</v>
      </c>
      <c r="L162" s="137">
        <f t="shared" si="41"/>
        <v>0</v>
      </c>
      <c r="M162" s="137">
        <f t="shared" si="41"/>
        <v>0</v>
      </c>
      <c r="N162" s="137">
        <f t="shared" si="41"/>
        <v>0</v>
      </c>
      <c r="O162" s="137">
        <f t="shared" si="41"/>
        <v>0</v>
      </c>
      <c r="P162" s="137">
        <f t="shared" si="41"/>
        <v>0</v>
      </c>
      <c r="Q162" s="137">
        <f t="shared" si="41"/>
        <v>0</v>
      </c>
      <c r="R162" s="137">
        <f t="shared" si="41"/>
        <v>0</v>
      </c>
      <c r="S162" s="137">
        <f t="shared" si="42"/>
        <v>0</v>
      </c>
      <c r="T162" s="137">
        <f t="shared" si="42"/>
        <v>0</v>
      </c>
      <c r="U162" s="137">
        <f t="shared" si="42"/>
        <v>0</v>
      </c>
      <c r="V162" s="137">
        <f t="shared" si="42"/>
        <v>0</v>
      </c>
      <c r="W162" s="137">
        <f t="shared" si="42"/>
        <v>0</v>
      </c>
      <c r="X162" s="137">
        <f t="shared" si="42"/>
        <v>0</v>
      </c>
      <c r="Y162" s="137">
        <f t="shared" si="42"/>
        <v>0</v>
      </c>
      <c r="Z162" s="137">
        <f t="shared" si="42"/>
        <v>0</v>
      </c>
      <c r="AA162" s="137">
        <f t="shared" si="42"/>
        <v>0</v>
      </c>
      <c r="AB162" s="137">
        <f t="shared" si="42"/>
        <v>0</v>
      </c>
      <c r="AC162" s="137">
        <f t="shared" si="42"/>
        <v>0</v>
      </c>
      <c r="AD162" s="137">
        <f t="shared" si="42"/>
        <v>0</v>
      </c>
      <c r="AE162" s="137">
        <f t="shared" si="42"/>
        <v>0</v>
      </c>
      <c r="AF162" s="137">
        <f t="shared" si="42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1"/>
        <v>0</v>
      </c>
      <c r="D163" s="137">
        <f t="shared" si="41"/>
        <v>0</v>
      </c>
      <c r="E163" s="137">
        <f t="shared" si="41"/>
        <v>0</v>
      </c>
      <c r="F163" s="137">
        <f t="shared" si="41"/>
        <v>0</v>
      </c>
      <c r="G163" s="137">
        <f t="shared" si="41"/>
        <v>0</v>
      </c>
      <c r="H163" s="137">
        <f t="shared" si="41"/>
        <v>0</v>
      </c>
      <c r="I163" s="137">
        <f t="shared" si="41"/>
        <v>0</v>
      </c>
      <c r="J163" s="137">
        <f t="shared" si="41"/>
        <v>0</v>
      </c>
      <c r="K163" s="137">
        <f t="shared" si="41"/>
        <v>0</v>
      </c>
      <c r="L163" s="137">
        <f t="shared" si="41"/>
        <v>0</v>
      </c>
      <c r="M163" s="137">
        <f t="shared" si="41"/>
        <v>0</v>
      </c>
      <c r="N163" s="137">
        <f t="shared" si="41"/>
        <v>0</v>
      </c>
      <c r="O163" s="137">
        <f t="shared" si="41"/>
        <v>0</v>
      </c>
      <c r="P163" s="137">
        <f t="shared" si="41"/>
        <v>0</v>
      </c>
      <c r="Q163" s="137">
        <f t="shared" si="41"/>
        <v>0</v>
      </c>
      <c r="R163" s="137">
        <f t="shared" si="42"/>
        <v>0</v>
      </c>
      <c r="S163" s="137">
        <f t="shared" si="42"/>
        <v>0</v>
      </c>
      <c r="T163" s="137">
        <f t="shared" si="42"/>
        <v>0</v>
      </c>
      <c r="U163" s="137">
        <f t="shared" si="42"/>
        <v>0</v>
      </c>
      <c r="V163" s="137">
        <f t="shared" si="42"/>
        <v>0</v>
      </c>
      <c r="W163" s="137">
        <f t="shared" si="42"/>
        <v>0</v>
      </c>
      <c r="X163" s="137">
        <f t="shared" si="42"/>
        <v>0</v>
      </c>
      <c r="Y163" s="137">
        <f t="shared" si="42"/>
        <v>0</v>
      </c>
      <c r="Z163" s="137">
        <f t="shared" si="42"/>
        <v>0</v>
      </c>
      <c r="AA163" s="137">
        <f t="shared" si="42"/>
        <v>0</v>
      </c>
      <c r="AB163" s="137">
        <f t="shared" si="42"/>
        <v>0</v>
      </c>
      <c r="AC163" s="137">
        <f t="shared" si="42"/>
        <v>0</v>
      </c>
      <c r="AD163" s="137">
        <f t="shared" si="42"/>
        <v>0</v>
      </c>
      <c r="AE163" s="137">
        <f t="shared" si="42"/>
        <v>0</v>
      </c>
      <c r="AF163" s="137">
        <f t="shared" si="42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1"/>
        <v>0.8</v>
      </c>
      <c r="D164" s="137">
        <f t="shared" si="41"/>
        <v>0.8</v>
      </c>
      <c r="E164" s="137">
        <f t="shared" si="41"/>
        <v>0.8</v>
      </c>
      <c r="F164" s="137">
        <f t="shared" si="41"/>
        <v>0.8</v>
      </c>
      <c r="G164" s="137">
        <f t="shared" si="41"/>
        <v>0.8</v>
      </c>
      <c r="H164" s="137">
        <f t="shared" si="41"/>
        <v>0.8</v>
      </c>
      <c r="I164" s="137">
        <f t="shared" si="41"/>
        <v>0.8</v>
      </c>
      <c r="J164" s="137">
        <f t="shared" si="41"/>
        <v>0.8</v>
      </c>
      <c r="K164" s="137">
        <f t="shared" si="41"/>
        <v>0.8</v>
      </c>
      <c r="L164" s="137">
        <f t="shared" si="41"/>
        <v>0.8</v>
      </c>
      <c r="M164" s="137">
        <f t="shared" si="41"/>
        <v>0.8</v>
      </c>
      <c r="N164" s="137">
        <f t="shared" si="41"/>
        <v>0.8</v>
      </c>
      <c r="O164" s="137">
        <f t="shared" si="41"/>
        <v>0.8</v>
      </c>
      <c r="P164" s="137">
        <f t="shared" si="41"/>
        <v>0.8</v>
      </c>
      <c r="Q164" s="137">
        <f t="shared" si="41"/>
        <v>0.8</v>
      </c>
      <c r="R164" s="137">
        <f t="shared" si="42"/>
        <v>0.8</v>
      </c>
      <c r="S164" s="137">
        <f t="shared" si="42"/>
        <v>0.8</v>
      </c>
      <c r="T164" s="137">
        <f t="shared" si="42"/>
        <v>0.8</v>
      </c>
      <c r="U164" s="137">
        <f t="shared" si="42"/>
        <v>0.8</v>
      </c>
      <c r="V164" s="137">
        <f t="shared" si="42"/>
        <v>0.8</v>
      </c>
      <c r="W164" s="137">
        <f t="shared" si="42"/>
        <v>0.8</v>
      </c>
      <c r="X164" s="137">
        <f t="shared" si="42"/>
        <v>0.8</v>
      </c>
      <c r="Y164" s="137">
        <f t="shared" si="42"/>
        <v>0.8</v>
      </c>
      <c r="Z164" s="137">
        <f t="shared" si="42"/>
        <v>0.8</v>
      </c>
      <c r="AA164" s="137">
        <f t="shared" si="42"/>
        <v>0.8</v>
      </c>
      <c r="AB164" s="137">
        <f t="shared" si="42"/>
        <v>0.8</v>
      </c>
      <c r="AC164" s="137">
        <f t="shared" si="42"/>
        <v>0.8</v>
      </c>
      <c r="AD164" s="137">
        <f t="shared" si="42"/>
        <v>0.8</v>
      </c>
      <c r="AE164" s="137">
        <f t="shared" si="42"/>
        <v>0.8</v>
      </c>
      <c r="AF164" s="137">
        <f t="shared" si="42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1"/>
        <v>1.5</v>
      </c>
      <c r="D165" s="137">
        <f t="shared" si="41"/>
        <v>1.5</v>
      </c>
      <c r="E165" s="137">
        <f t="shared" si="41"/>
        <v>1.5</v>
      </c>
      <c r="F165" s="137">
        <f t="shared" si="41"/>
        <v>1.5</v>
      </c>
      <c r="G165" s="137">
        <f t="shared" si="41"/>
        <v>1.5</v>
      </c>
      <c r="H165" s="137">
        <f t="shared" si="41"/>
        <v>1.5</v>
      </c>
      <c r="I165" s="137">
        <f t="shared" si="41"/>
        <v>1.5</v>
      </c>
      <c r="J165" s="137">
        <f t="shared" si="41"/>
        <v>1.5</v>
      </c>
      <c r="K165" s="137">
        <f t="shared" si="41"/>
        <v>1.5</v>
      </c>
      <c r="L165" s="137">
        <f t="shared" si="41"/>
        <v>1.5</v>
      </c>
      <c r="M165" s="137">
        <f t="shared" si="41"/>
        <v>1.5</v>
      </c>
      <c r="N165" s="137">
        <f t="shared" si="41"/>
        <v>1.5</v>
      </c>
      <c r="O165" s="137">
        <f t="shared" si="41"/>
        <v>1.5</v>
      </c>
      <c r="P165" s="137">
        <f t="shared" si="41"/>
        <v>1.5</v>
      </c>
      <c r="Q165" s="137">
        <f t="shared" si="41"/>
        <v>1.5</v>
      </c>
      <c r="R165" s="137">
        <f t="shared" si="42"/>
        <v>1.5</v>
      </c>
      <c r="S165" s="137">
        <f t="shared" si="42"/>
        <v>1.5</v>
      </c>
      <c r="T165" s="137">
        <f t="shared" si="42"/>
        <v>1.5</v>
      </c>
      <c r="U165" s="137">
        <f t="shared" si="42"/>
        <v>1.5</v>
      </c>
      <c r="V165" s="137">
        <f t="shared" si="42"/>
        <v>1.5</v>
      </c>
      <c r="W165" s="137">
        <f t="shared" si="42"/>
        <v>1.5</v>
      </c>
      <c r="X165" s="137">
        <f t="shared" si="42"/>
        <v>1.5</v>
      </c>
      <c r="Y165" s="137">
        <f t="shared" si="42"/>
        <v>1.5</v>
      </c>
      <c r="Z165" s="137">
        <f t="shared" si="42"/>
        <v>1.5</v>
      </c>
      <c r="AA165" s="137">
        <f t="shared" si="42"/>
        <v>1.5</v>
      </c>
      <c r="AB165" s="137">
        <f t="shared" si="42"/>
        <v>1.5</v>
      </c>
      <c r="AC165" s="137">
        <f t="shared" si="42"/>
        <v>1.5</v>
      </c>
      <c r="AD165" s="137">
        <f t="shared" si="42"/>
        <v>1.5</v>
      </c>
      <c r="AE165" s="137">
        <f t="shared" si="42"/>
        <v>1.5</v>
      </c>
      <c r="AF165" s="137">
        <f t="shared" si="42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1"/>
        <v>1</v>
      </c>
      <c r="D166" s="137">
        <f t="shared" si="41"/>
        <v>1</v>
      </c>
      <c r="E166" s="137">
        <f t="shared" si="41"/>
        <v>1</v>
      </c>
      <c r="F166" s="137">
        <f t="shared" si="41"/>
        <v>1</v>
      </c>
      <c r="G166" s="137">
        <f t="shared" si="41"/>
        <v>1</v>
      </c>
      <c r="H166" s="137">
        <f t="shared" si="41"/>
        <v>1</v>
      </c>
      <c r="I166" s="137">
        <f t="shared" si="41"/>
        <v>1</v>
      </c>
      <c r="J166" s="137">
        <f t="shared" si="41"/>
        <v>1</v>
      </c>
      <c r="K166" s="137">
        <f t="shared" si="41"/>
        <v>1</v>
      </c>
      <c r="L166" s="137">
        <f t="shared" si="41"/>
        <v>1</v>
      </c>
      <c r="M166" s="137">
        <f t="shared" si="41"/>
        <v>1</v>
      </c>
      <c r="N166" s="137">
        <f t="shared" si="41"/>
        <v>1</v>
      </c>
      <c r="O166" s="137">
        <f t="shared" si="41"/>
        <v>1</v>
      </c>
      <c r="P166" s="137">
        <f t="shared" si="41"/>
        <v>1</v>
      </c>
      <c r="Q166" s="137">
        <f t="shared" si="41"/>
        <v>1</v>
      </c>
      <c r="R166" s="137">
        <f t="shared" si="42"/>
        <v>1</v>
      </c>
      <c r="S166" s="137">
        <f t="shared" si="42"/>
        <v>1</v>
      </c>
      <c r="T166" s="137">
        <f t="shared" si="42"/>
        <v>1</v>
      </c>
      <c r="U166" s="137">
        <f t="shared" si="42"/>
        <v>1</v>
      </c>
      <c r="V166" s="137">
        <f t="shared" si="42"/>
        <v>1</v>
      </c>
      <c r="W166" s="137">
        <f t="shared" si="42"/>
        <v>1</v>
      </c>
      <c r="X166" s="137">
        <f t="shared" si="42"/>
        <v>1</v>
      </c>
      <c r="Y166" s="137">
        <f t="shared" si="42"/>
        <v>1</v>
      </c>
      <c r="Z166" s="137">
        <f t="shared" si="42"/>
        <v>1</v>
      </c>
      <c r="AA166" s="137">
        <f t="shared" si="42"/>
        <v>1</v>
      </c>
      <c r="AB166" s="137">
        <f t="shared" si="42"/>
        <v>1</v>
      </c>
      <c r="AC166" s="137">
        <f t="shared" si="42"/>
        <v>1</v>
      </c>
      <c r="AD166" s="137">
        <f t="shared" si="42"/>
        <v>1</v>
      </c>
      <c r="AE166" s="137">
        <f t="shared" si="42"/>
        <v>1</v>
      </c>
      <c r="AF166" s="137">
        <f t="shared" si="42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3">B168</f>
        <v>1</v>
      </c>
      <c r="D168" s="137">
        <f t="shared" si="43"/>
        <v>1</v>
      </c>
      <c r="E168" s="137">
        <f t="shared" si="43"/>
        <v>1</v>
      </c>
      <c r="F168" s="137">
        <f t="shared" si="43"/>
        <v>1</v>
      </c>
      <c r="G168" s="137">
        <f t="shared" si="43"/>
        <v>1</v>
      </c>
      <c r="H168" s="137">
        <f t="shared" si="43"/>
        <v>1</v>
      </c>
      <c r="I168" s="137">
        <f t="shared" si="43"/>
        <v>1</v>
      </c>
      <c r="J168" s="137">
        <f t="shared" si="43"/>
        <v>1</v>
      </c>
      <c r="K168" s="137">
        <f t="shared" si="43"/>
        <v>1</v>
      </c>
      <c r="L168" s="137">
        <f t="shared" si="43"/>
        <v>1</v>
      </c>
      <c r="M168" s="137">
        <f t="shared" si="43"/>
        <v>1</v>
      </c>
      <c r="N168" s="137">
        <f t="shared" si="43"/>
        <v>1</v>
      </c>
      <c r="O168" s="137">
        <f t="shared" si="43"/>
        <v>1</v>
      </c>
      <c r="P168" s="137">
        <f t="shared" si="43"/>
        <v>1</v>
      </c>
      <c r="Q168" s="137">
        <f t="shared" si="43"/>
        <v>1</v>
      </c>
      <c r="R168" s="137">
        <f t="shared" si="43"/>
        <v>1</v>
      </c>
      <c r="S168" s="137">
        <f t="shared" ref="R168:AF175" si="44">R168</f>
        <v>1</v>
      </c>
      <c r="T168" s="137">
        <f t="shared" si="44"/>
        <v>1</v>
      </c>
      <c r="U168" s="137">
        <f t="shared" si="44"/>
        <v>1</v>
      </c>
      <c r="V168" s="137">
        <f t="shared" si="44"/>
        <v>1</v>
      </c>
      <c r="W168" s="137">
        <f t="shared" si="44"/>
        <v>1</v>
      </c>
      <c r="X168" s="137">
        <f t="shared" si="44"/>
        <v>1</v>
      </c>
      <c r="Y168" s="137">
        <f t="shared" si="44"/>
        <v>1</v>
      </c>
      <c r="Z168" s="137">
        <f t="shared" si="44"/>
        <v>1</v>
      </c>
      <c r="AA168" s="137">
        <f t="shared" si="44"/>
        <v>1</v>
      </c>
      <c r="AB168" s="137">
        <f t="shared" si="44"/>
        <v>1</v>
      </c>
      <c r="AC168" s="137">
        <f t="shared" si="44"/>
        <v>1</v>
      </c>
      <c r="AD168" s="137">
        <f t="shared" si="44"/>
        <v>1</v>
      </c>
      <c r="AE168" s="137">
        <f t="shared" si="44"/>
        <v>1</v>
      </c>
      <c r="AF168" s="137">
        <f t="shared" si="44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3"/>
        <v>0.42</v>
      </c>
      <c r="D169" s="137">
        <f t="shared" si="43"/>
        <v>0.42</v>
      </c>
      <c r="E169" s="137">
        <f t="shared" si="43"/>
        <v>0.42</v>
      </c>
      <c r="F169" s="137">
        <f t="shared" si="43"/>
        <v>0.42</v>
      </c>
      <c r="G169" s="137">
        <f t="shared" si="43"/>
        <v>0.42</v>
      </c>
      <c r="H169" s="137">
        <f t="shared" si="43"/>
        <v>0.42</v>
      </c>
      <c r="I169" s="137">
        <f t="shared" si="43"/>
        <v>0.42</v>
      </c>
      <c r="J169" s="137">
        <f t="shared" si="43"/>
        <v>0.42</v>
      </c>
      <c r="K169" s="137">
        <f t="shared" si="43"/>
        <v>0.42</v>
      </c>
      <c r="L169" s="137">
        <f t="shared" si="43"/>
        <v>0.42</v>
      </c>
      <c r="M169" s="137">
        <f t="shared" si="43"/>
        <v>0.42</v>
      </c>
      <c r="N169" s="137">
        <f t="shared" si="43"/>
        <v>0.42</v>
      </c>
      <c r="O169" s="137">
        <f t="shared" si="43"/>
        <v>0.42</v>
      </c>
      <c r="P169" s="137">
        <f t="shared" si="43"/>
        <v>0.42</v>
      </c>
      <c r="Q169" s="137">
        <f t="shared" si="43"/>
        <v>0.42</v>
      </c>
      <c r="R169" s="137">
        <f t="shared" si="44"/>
        <v>0.42</v>
      </c>
      <c r="S169" s="137">
        <f t="shared" si="44"/>
        <v>0.42</v>
      </c>
      <c r="T169" s="137">
        <f t="shared" si="44"/>
        <v>0.42</v>
      </c>
      <c r="U169" s="137">
        <f t="shared" si="44"/>
        <v>0.42</v>
      </c>
      <c r="V169" s="137">
        <f t="shared" si="44"/>
        <v>0.42</v>
      </c>
      <c r="W169" s="137">
        <f t="shared" si="44"/>
        <v>0.42</v>
      </c>
      <c r="X169" s="137">
        <f t="shared" si="44"/>
        <v>0.42</v>
      </c>
      <c r="Y169" s="137">
        <f t="shared" si="44"/>
        <v>0.42</v>
      </c>
      <c r="Z169" s="137">
        <f t="shared" si="44"/>
        <v>0.42</v>
      </c>
      <c r="AA169" s="137">
        <f t="shared" si="44"/>
        <v>0.42</v>
      </c>
      <c r="AB169" s="137">
        <f t="shared" si="44"/>
        <v>0.42</v>
      </c>
      <c r="AC169" s="137">
        <f t="shared" si="44"/>
        <v>0.42</v>
      </c>
      <c r="AD169" s="137">
        <f t="shared" si="44"/>
        <v>0.42</v>
      </c>
      <c r="AE169" s="137">
        <f t="shared" si="44"/>
        <v>0.42</v>
      </c>
      <c r="AF169" s="137">
        <f t="shared" si="44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3"/>
        <v>0.46</v>
      </c>
      <c r="D170" s="137">
        <f t="shared" si="43"/>
        <v>0.46</v>
      </c>
      <c r="E170" s="137">
        <f t="shared" si="43"/>
        <v>0.46</v>
      </c>
      <c r="F170" s="137">
        <f t="shared" si="43"/>
        <v>0.46</v>
      </c>
      <c r="G170" s="137">
        <f t="shared" si="43"/>
        <v>0.46</v>
      </c>
      <c r="H170" s="137">
        <f t="shared" si="43"/>
        <v>0.46</v>
      </c>
      <c r="I170" s="137">
        <f t="shared" si="43"/>
        <v>0.46</v>
      </c>
      <c r="J170" s="137">
        <f t="shared" si="43"/>
        <v>0.46</v>
      </c>
      <c r="K170" s="137">
        <f t="shared" si="43"/>
        <v>0.46</v>
      </c>
      <c r="L170" s="137">
        <f t="shared" si="43"/>
        <v>0.46</v>
      </c>
      <c r="M170" s="137">
        <f t="shared" si="43"/>
        <v>0.46</v>
      </c>
      <c r="N170" s="137">
        <f t="shared" si="43"/>
        <v>0.46</v>
      </c>
      <c r="O170" s="137">
        <f t="shared" si="43"/>
        <v>0.46</v>
      </c>
      <c r="P170" s="137">
        <f t="shared" si="43"/>
        <v>0.46</v>
      </c>
      <c r="Q170" s="137">
        <f t="shared" si="43"/>
        <v>0.46</v>
      </c>
      <c r="R170" s="137">
        <f t="shared" si="44"/>
        <v>0.46</v>
      </c>
      <c r="S170" s="137">
        <f t="shared" si="44"/>
        <v>0.46</v>
      </c>
      <c r="T170" s="137">
        <f t="shared" si="44"/>
        <v>0.46</v>
      </c>
      <c r="U170" s="137">
        <f t="shared" si="44"/>
        <v>0.46</v>
      </c>
      <c r="V170" s="137">
        <f t="shared" si="44"/>
        <v>0.46</v>
      </c>
      <c r="W170" s="137">
        <f t="shared" si="44"/>
        <v>0.46</v>
      </c>
      <c r="X170" s="137">
        <f t="shared" si="44"/>
        <v>0.46</v>
      </c>
      <c r="Y170" s="137">
        <f t="shared" si="44"/>
        <v>0.46</v>
      </c>
      <c r="Z170" s="137">
        <f t="shared" si="44"/>
        <v>0.46</v>
      </c>
      <c r="AA170" s="137">
        <f t="shared" si="44"/>
        <v>0.46</v>
      </c>
      <c r="AB170" s="137">
        <f t="shared" si="44"/>
        <v>0.46</v>
      </c>
      <c r="AC170" s="137">
        <f t="shared" si="44"/>
        <v>0.46</v>
      </c>
      <c r="AD170" s="137">
        <f t="shared" si="44"/>
        <v>0.46</v>
      </c>
      <c r="AE170" s="137">
        <f t="shared" si="44"/>
        <v>0.46</v>
      </c>
      <c r="AF170" s="137">
        <f t="shared" si="44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3"/>
        <v>0.85</v>
      </c>
      <c r="D171" s="137">
        <f t="shared" si="43"/>
        <v>0.85</v>
      </c>
      <c r="E171" s="137">
        <f t="shared" si="43"/>
        <v>0.85</v>
      </c>
      <c r="F171" s="137">
        <f t="shared" si="43"/>
        <v>0.85</v>
      </c>
      <c r="G171" s="137">
        <f t="shared" si="43"/>
        <v>0.85</v>
      </c>
      <c r="H171" s="137">
        <f t="shared" si="43"/>
        <v>0.85</v>
      </c>
      <c r="I171" s="137">
        <f t="shared" si="43"/>
        <v>0.85</v>
      </c>
      <c r="J171" s="137">
        <f t="shared" si="43"/>
        <v>0.85</v>
      </c>
      <c r="K171" s="137">
        <f t="shared" si="43"/>
        <v>0.85</v>
      </c>
      <c r="L171" s="137">
        <f t="shared" si="43"/>
        <v>0.85</v>
      </c>
      <c r="M171" s="137">
        <f t="shared" si="43"/>
        <v>0.85</v>
      </c>
      <c r="N171" s="137">
        <f t="shared" si="43"/>
        <v>0.85</v>
      </c>
      <c r="O171" s="137">
        <f t="shared" si="43"/>
        <v>0.85</v>
      </c>
      <c r="P171" s="137">
        <f t="shared" si="43"/>
        <v>0.85</v>
      </c>
      <c r="Q171" s="137">
        <f t="shared" si="43"/>
        <v>0.85</v>
      </c>
      <c r="R171" s="137">
        <f t="shared" si="44"/>
        <v>0.85</v>
      </c>
      <c r="S171" s="137">
        <f t="shared" si="44"/>
        <v>0.85</v>
      </c>
      <c r="T171" s="137">
        <f t="shared" si="44"/>
        <v>0.85</v>
      </c>
      <c r="U171" s="137">
        <f t="shared" si="44"/>
        <v>0.85</v>
      </c>
      <c r="V171" s="137">
        <f t="shared" si="44"/>
        <v>0.85</v>
      </c>
      <c r="W171" s="137">
        <f t="shared" si="44"/>
        <v>0.85</v>
      </c>
      <c r="X171" s="137">
        <f t="shared" si="44"/>
        <v>0.85</v>
      </c>
      <c r="Y171" s="137">
        <f t="shared" si="44"/>
        <v>0.85</v>
      </c>
      <c r="Z171" s="137">
        <f t="shared" si="44"/>
        <v>0.85</v>
      </c>
      <c r="AA171" s="137">
        <f t="shared" si="44"/>
        <v>0.85</v>
      </c>
      <c r="AB171" s="137">
        <f t="shared" si="44"/>
        <v>0.85</v>
      </c>
      <c r="AC171" s="137">
        <f t="shared" si="44"/>
        <v>0.85</v>
      </c>
      <c r="AD171" s="137">
        <f t="shared" si="44"/>
        <v>0.85</v>
      </c>
      <c r="AE171" s="137">
        <f t="shared" si="44"/>
        <v>0.85</v>
      </c>
      <c r="AF171" s="137">
        <f t="shared" si="44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3"/>
        <v>0.9</v>
      </c>
      <c r="D172" s="137">
        <f t="shared" si="43"/>
        <v>0.9</v>
      </c>
      <c r="E172" s="137">
        <f t="shared" si="43"/>
        <v>0.9</v>
      </c>
      <c r="F172" s="137">
        <f t="shared" si="43"/>
        <v>0.9</v>
      </c>
      <c r="G172" s="137">
        <f t="shared" si="43"/>
        <v>0.9</v>
      </c>
      <c r="H172" s="137">
        <f t="shared" si="43"/>
        <v>0.9</v>
      </c>
      <c r="I172" s="137">
        <f t="shared" si="43"/>
        <v>0.9</v>
      </c>
      <c r="J172" s="137">
        <f t="shared" si="43"/>
        <v>0.9</v>
      </c>
      <c r="K172" s="137">
        <f t="shared" si="43"/>
        <v>0.9</v>
      </c>
      <c r="L172" s="137">
        <f t="shared" si="43"/>
        <v>0.9</v>
      </c>
      <c r="M172" s="137">
        <f t="shared" si="43"/>
        <v>0.9</v>
      </c>
      <c r="N172" s="137">
        <f t="shared" si="43"/>
        <v>0.9</v>
      </c>
      <c r="O172" s="137">
        <f t="shared" si="43"/>
        <v>0.9</v>
      </c>
      <c r="P172" s="137">
        <f t="shared" si="43"/>
        <v>0.9</v>
      </c>
      <c r="Q172" s="137">
        <f t="shared" si="43"/>
        <v>0.9</v>
      </c>
      <c r="R172" s="137">
        <f t="shared" si="44"/>
        <v>0.9</v>
      </c>
      <c r="S172" s="137">
        <f t="shared" si="44"/>
        <v>0.9</v>
      </c>
      <c r="T172" s="137">
        <f t="shared" si="44"/>
        <v>0.9</v>
      </c>
      <c r="U172" s="137">
        <f t="shared" si="44"/>
        <v>0.9</v>
      </c>
      <c r="V172" s="137">
        <f t="shared" si="44"/>
        <v>0.9</v>
      </c>
      <c r="W172" s="137">
        <f t="shared" si="44"/>
        <v>0.9</v>
      </c>
      <c r="X172" s="137">
        <f t="shared" si="44"/>
        <v>0.9</v>
      </c>
      <c r="Y172" s="137">
        <f t="shared" si="44"/>
        <v>0.9</v>
      </c>
      <c r="Z172" s="137">
        <f t="shared" si="44"/>
        <v>0.9</v>
      </c>
      <c r="AA172" s="137">
        <f t="shared" si="44"/>
        <v>0.9</v>
      </c>
      <c r="AB172" s="137">
        <f t="shared" si="44"/>
        <v>0.9</v>
      </c>
      <c r="AC172" s="137">
        <f t="shared" si="44"/>
        <v>0.9</v>
      </c>
      <c r="AD172" s="137">
        <f t="shared" si="44"/>
        <v>0.9</v>
      </c>
      <c r="AE172" s="137">
        <f t="shared" si="44"/>
        <v>0.9</v>
      </c>
      <c r="AF172" s="137">
        <f t="shared" si="44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3"/>
        <v>0.44</v>
      </c>
      <c r="D173" s="137">
        <f t="shared" si="43"/>
        <v>0.44</v>
      </c>
      <c r="E173" s="137">
        <f t="shared" si="43"/>
        <v>0.44</v>
      </c>
      <c r="F173" s="137">
        <f t="shared" si="43"/>
        <v>0.44</v>
      </c>
      <c r="G173" s="137">
        <f t="shared" si="43"/>
        <v>0.44</v>
      </c>
      <c r="H173" s="137">
        <f t="shared" si="43"/>
        <v>0.44</v>
      </c>
      <c r="I173" s="137">
        <f t="shared" si="43"/>
        <v>0.44</v>
      </c>
      <c r="J173" s="137">
        <f t="shared" si="43"/>
        <v>0.44</v>
      </c>
      <c r="K173" s="137">
        <f t="shared" si="43"/>
        <v>0.44</v>
      </c>
      <c r="L173" s="137">
        <f t="shared" si="43"/>
        <v>0.44</v>
      </c>
      <c r="M173" s="137">
        <f t="shared" si="43"/>
        <v>0.44</v>
      </c>
      <c r="N173" s="137">
        <f t="shared" si="43"/>
        <v>0.44</v>
      </c>
      <c r="O173" s="137">
        <f t="shared" si="43"/>
        <v>0.44</v>
      </c>
      <c r="P173" s="137">
        <f t="shared" si="43"/>
        <v>0.44</v>
      </c>
      <c r="Q173" s="137">
        <f t="shared" si="43"/>
        <v>0.44</v>
      </c>
      <c r="R173" s="137">
        <f t="shared" si="44"/>
        <v>0.44</v>
      </c>
      <c r="S173" s="137">
        <f t="shared" si="44"/>
        <v>0.44</v>
      </c>
      <c r="T173" s="137">
        <f t="shared" si="44"/>
        <v>0.44</v>
      </c>
      <c r="U173" s="137">
        <f t="shared" si="44"/>
        <v>0.44</v>
      </c>
      <c r="V173" s="137">
        <f t="shared" si="44"/>
        <v>0.44</v>
      </c>
      <c r="W173" s="137">
        <f t="shared" si="44"/>
        <v>0.44</v>
      </c>
      <c r="X173" s="137">
        <f t="shared" si="44"/>
        <v>0.44</v>
      </c>
      <c r="Y173" s="137">
        <f t="shared" si="44"/>
        <v>0.44</v>
      </c>
      <c r="Z173" s="137">
        <f t="shared" si="44"/>
        <v>0.44</v>
      </c>
      <c r="AA173" s="137">
        <f t="shared" si="44"/>
        <v>0.44</v>
      </c>
      <c r="AB173" s="137">
        <f t="shared" si="44"/>
        <v>0.44</v>
      </c>
      <c r="AC173" s="137">
        <f t="shared" si="44"/>
        <v>0.44</v>
      </c>
      <c r="AD173" s="137">
        <f t="shared" si="44"/>
        <v>0.44</v>
      </c>
      <c r="AE173" s="137">
        <f t="shared" si="44"/>
        <v>0.44</v>
      </c>
      <c r="AF173" s="137">
        <f t="shared" si="44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3"/>
        <v>2.1</v>
      </c>
      <c r="D174" s="137">
        <f t="shared" si="43"/>
        <v>2.1</v>
      </c>
      <c r="E174" s="137">
        <f t="shared" si="43"/>
        <v>2.1</v>
      </c>
      <c r="F174" s="137">
        <f t="shared" si="43"/>
        <v>2.1</v>
      </c>
      <c r="G174" s="137">
        <f t="shared" si="43"/>
        <v>2.1</v>
      </c>
      <c r="H174" s="137">
        <f t="shared" si="43"/>
        <v>2.1</v>
      </c>
      <c r="I174" s="137">
        <f t="shared" si="43"/>
        <v>2.1</v>
      </c>
      <c r="J174" s="137">
        <f t="shared" si="43"/>
        <v>2.1</v>
      </c>
      <c r="K174" s="137">
        <f t="shared" si="43"/>
        <v>2.1</v>
      </c>
      <c r="L174" s="137">
        <f t="shared" si="43"/>
        <v>2.1</v>
      </c>
      <c r="M174" s="137">
        <f t="shared" si="43"/>
        <v>2.1</v>
      </c>
      <c r="N174" s="137">
        <f t="shared" si="43"/>
        <v>2.1</v>
      </c>
      <c r="O174" s="137">
        <f t="shared" si="43"/>
        <v>2.1</v>
      </c>
      <c r="P174" s="137">
        <f t="shared" si="43"/>
        <v>2.1</v>
      </c>
      <c r="Q174" s="137">
        <f t="shared" si="43"/>
        <v>2.1</v>
      </c>
      <c r="R174" s="137">
        <f t="shared" si="44"/>
        <v>2.1</v>
      </c>
      <c r="S174" s="137">
        <f t="shared" si="44"/>
        <v>2.1</v>
      </c>
      <c r="T174" s="137">
        <f t="shared" si="44"/>
        <v>2.1</v>
      </c>
      <c r="U174" s="137">
        <f t="shared" si="44"/>
        <v>2.1</v>
      </c>
      <c r="V174" s="137">
        <f t="shared" si="44"/>
        <v>2.1</v>
      </c>
      <c r="W174" s="137">
        <f t="shared" si="44"/>
        <v>2.1</v>
      </c>
      <c r="X174" s="137">
        <f t="shared" si="44"/>
        <v>2.1</v>
      </c>
      <c r="Y174" s="137">
        <f t="shared" si="44"/>
        <v>2.1</v>
      </c>
      <c r="Z174" s="137">
        <f t="shared" si="44"/>
        <v>2.1</v>
      </c>
      <c r="AA174" s="137">
        <f t="shared" si="44"/>
        <v>2.1</v>
      </c>
      <c r="AB174" s="137">
        <f t="shared" si="44"/>
        <v>2.1</v>
      </c>
      <c r="AC174" s="137">
        <f t="shared" si="44"/>
        <v>2.1</v>
      </c>
      <c r="AD174" s="137">
        <f t="shared" si="44"/>
        <v>2.1</v>
      </c>
      <c r="AE174" s="137">
        <f t="shared" si="44"/>
        <v>2.1</v>
      </c>
      <c r="AF174" s="137">
        <f t="shared" si="44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3"/>
        <v>0.9</v>
      </c>
      <c r="D175" s="137">
        <f t="shared" si="43"/>
        <v>0.9</v>
      </c>
      <c r="E175" s="137">
        <f t="shared" si="43"/>
        <v>0.9</v>
      </c>
      <c r="F175" s="137">
        <f t="shared" si="43"/>
        <v>0.9</v>
      </c>
      <c r="G175" s="137">
        <f t="shared" si="43"/>
        <v>0.9</v>
      </c>
      <c r="H175" s="137">
        <f t="shared" si="43"/>
        <v>0.9</v>
      </c>
      <c r="I175" s="137">
        <f t="shared" si="43"/>
        <v>0.9</v>
      </c>
      <c r="J175" s="137">
        <f t="shared" si="43"/>
        <v>0.9</v>
      </c>
      <c r="K175" s="137">
        <f t="shared" si="43"/>
        <v>0.9</v>
      </c>
      <c r="L175" s="137">
        <f t="shared" si="43"/>
        <v>0.9</v>
      </c>
      <c r="M175" s="137">
        <f t="shared" si="43"/>
        <v>0.9</v>
      </c>
      <c r="N175" s="137">
        <f t="shared" si="43"/>
        <v>0.9</v>
      </c>
      <c r="O175" s="137">
        <f t="shared" si="43"/>
        <v>0.9</v>
      </c>
      <c r="P175" s="137">
        <f t="shared" si="43"/>
        <v>0.9</v>
      </c>
      <c r="Q175" s="137">
        <f t="shared" si="43"/>
        <v>0.9</v>
      </c>
      <c r="R175" s="137">
        <f t="shared" si="44"/>
        <v>0.9</v>
      </c>
      <c r="S175" s="137">
        <f t="shared" si="44"/>
        <v>0.9</v>
      </c>
      <c r="T175" s="137">
        <f t="shared" si="44"/>
        <v>0.9</v>
      </c>
      <c r="U175" s="137">
        <f t="shared" si="44"/>
        <v>0.9</v>
      </c>
      <c r="V175" s="137">
        <f t="shared" si="44"/>
        <v>0.9</v>
      </c>
      <c r="W175" s="137">
        <f t="shared" si="44"/>
        <v>0.9</v>
      </c>
      <c r="X175" s="137">
        <f t="shared" si="44"/>
        <v>0.9</v>
      </c>
      <c r="Y175" s="137">
        <f t="shared" si="44"/>
        <v>0.9</v>
      </c>
      <c r="Z175" s="137">
        <f t="shared" si="44"/>
        <v>0.9</v>
      </c>
      <c r="AA175" s="137">
        <f t="shared" si="44"/>
        <v>0.9</v>
      </c>
      <c r="AB175" s="137">
        <f t="shared" si="44"/>
        <v>0.9</v>
      </c>
      <c r="AC175" s="137">
        <f t="shared" si="44"/>
        <v>0.9</v>
      </c>
      <c r="AD175" s="137">
        <f t="shared" si="44"/>
        <v>0.9</v>
      </c>
      <c r="AE175" s="137">
        <f t="shared" si="44"/>
        <v>0.9</v>
      </c>
      <c r="AF175" s="137">
        <f t="shared" si="44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5">B177</f>
        <v>0.57999999999999996</v>
      </c>
      <c r="D177" s="137">
        <f t="shared" si="45"/>
        <v>0.57999999999999996</v>
      </c>
      <c r="E177" s="137">
        <f t="shared" si="45"/>
        <v>0.57999999999999996</v>
      </c>
      <c r="F177" s="137">
        <f t="shared" si="45"/>
        <v>0.57999999999999996</v>
      </c>
      <c r="G177" s="137">
        <f t="shared" si="45"/>
        <v>0.57999999999999996</v>
      </c>
      <c r="H177" s="137">
        <f t="shared" si="45"/>
        <v>0.57999999999999996</v>
      </c>
      <c r="I177" s="137">
        <f t="shared" si="45"/>
        <v>0.57999999999999996</v>
      </c>
      <c r="J177" s="137">
        <f t="shared" si="45"/>
        <v>0.57999999999999996</v>
      </c>
      <c r="K177" s="137">
        <f t="shared" si="45"/>
        <v>0.57999999999999996</v>
      </c>
      <c r="L177" s="137">
        <f t="shared" si="45"/>
        <v>0.57999999999999996</v>
      </c>
      <c r="M177" s="137">
        <f t="shared" si="45"/>
        <v>0.57999999999999996</v>
      </c>
      <c r="N177" s="137">
        <f t="shared" si="45"/>
        <v>0.57999999999999996</v>
      </c>
      <c r="O177" s="137">
        <f t="shared" si="45"/>
        <v>0.57999999999999996</v>
      </c>
      <c r="P177" s="137">
        <f t="shared" si="45"/>
        <v>0.57999999999999996</v>
      </c>
      <c r="Q177" s="137">
        <f t="shared" si="45"/>
        <v>0.57999999999999996</v>
      </c>
      <c r="R177" s="137">
        <f t="shared" si="45"/>
        <v>0.57999999999999996</v>
      </c>
      <c r="S177" s="137">
        <f t="shared" ref="R177:AF189" si="46">R177</f>
        <v>0.57999999999999996</v>
      </c>
      <c r="T177" s="137">
        <f t="shared" si="46"/>
        <v>0.57999999999999996</v>
      </c>
      <c r="U177" s="137">
        <f t="shared" si="46"/>
        <v>0.57999999999999996</v>
      </c>
      <c r="V177" s="137">
        <f t="shared" si="46"/>
        <v>0.57999999999999996</v>
      </c>
      <c r="W177" s="137">
        <f t="shared" si="46"/>
        <v>0.57999999999999996</v>
      </c>
      <c r="X177" s="137">
        <f t="shared" si="46"/>
        <v>0.57999999999999996</v>
      </c>
      <c r="Y177" s="137">
        <f t="shared" si="46"/>
        <v>0.57999999999999996</v>
      </c>
      <c r="Z177" s="137">
        <f t="shared" si="46"/>
        <v>0.57999999999999996</v>
      </c>
      <c r="AA177" s="137">
        <f t="shared" si="46"/>
        <v>0.57999999999999996</v>
      </c>
      <c r="AB177" s="137">
        <f t="shared" si="46"/>
        <v>0.57999999999999996</v>
      </c>
      <c r="AC177" s="137">
        <f t="shared" si="46"/>
        <v>0.57999999999999996</v>
      </c>
      <c r="AD177" s="137">
        <f t="shared" si="46"/>
        <v>0.57999999999999996</v>
      </c>
      <c r="AE177" s="137">
        <f t="shared" si="46"/>
        <v>0.57999999999999996</v>
      </c>
      <c r="AF177" s="137">
        <f t="shared" si="46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5"/>
        <v>0.8</v>
      </c>
      <c r="D178" s="137">
        <f t="shared" si="45"/>
        <v>0.8</v>
      </c>
      <c r="E178" s="137">
        <f t="shared" si="45"/>
        <v>0.8</v>
      </c>
      <c r="F178" s="137">
        <f t="shared" si="45"/>
        <v>0.8</v>
      </c>
      <c r="G178" s="137">
        <f t="shared" si="45"/>
        <v>0.8</v>
      </c>
      <c r="H178" s="137">
        <f t="shared" si="45"/>
        <v>0.8</v>
      </c>
      <c r="I178" s="137">
        <f t="shared" si="45"/>
        <v>0.8</v>
      </c>
      <c r="J178" s="137">
        <f t="shared" si="45"/>
        <v>0.8</v>
      </c>
      <c r="K178" s="137">
        <f t="shared" si="45"/>
        <v>0.8</v>
      </c>
      <c r="L178" s="137">
        <f t="shared" si="45"/>
        <v>0.8</v>
      </c>
      <c r="M178" s="137">
        <f t="shared" si="45"/>
        <v>0.8</v>
      </c>
      <c r="N178" s="137">
        <f t="shared" si="45"/>
        <v>0.8</v>
      </c>
      <c r="O178" s="137">
        <f t="shared" si="45"/>
        <v>0.8</v>
      </c>
      <c r="P178" s="137">
        <f t="shared" si="45"/>
        <v>0.8</v>
      </c>
      <c r="Q178" s="137">
        <f t="shared" si="45"/>
        <v>0.8</v>
      </c>
      <c r="R178" s="137">
        <f t="shared" si="45"/>
        <v>0.8</v>
      </c>
      <c r="S178" s="137">
        <f t="shared" si="46"/>
        <v>0.8</v>
      </c>
      <c r="T178" s="137">
        <f t="shared" si="46"/>
        <v>0.8</v>
      </c>
      <c r="U178" s="137">
        <f t="shared" si="46"/>
        <v>0.8</v>
      </c>
      <c r="V178" s="137">
        <f t="shared" si="46"/>
        <v>0.8</v>
      </c>
      <c r="W178" s="137">
        <f t="shared" si="46"/>
        <v>0.8</v>
      </c>
      <c r="X178" s="137">
        <f t="shared" si="46"/>
        <v>0.8</v>
      </c>
      <c r="Y178" s="137">
        <f t="shared" si="46"/>
        <v>0.8</v>
      </c>
      <c r="Z178" s="137">
        <f t="shared" si="46"/>
        <v>0.8</v>
      </c>
      <c r="AA178" s="137">
        <f t="shared" si="46"/>
        <v>0.8</v>
      </c>
      <c r="AB178" s="137">
        <f t="shared" si="46"/>
        <v>0.8</v>
      </c>
      <c r="AC178" s="137">
        <f t="shared" si="46"/>
        <v>0.8</v>
      </c>
      <c r="AD178" s="137">
        <f t="shared" si="46"/>
        <v>0.8</v>
      </c>
      <c r="AE178" s="137">
        <f t="shared" si="46"/>
        <v>0.8</v>
      </c>
      <c r="AF178" s="137">
        <f t="shared" si="46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5"/>
        <v>0</v>
      </c>
      <c r="D179" s="137">
        <f t="shared" si="45"/>
        <v>0</v>
      </c>
      <c r="E179" s="137">
        <f t="shared" si="45"/>
        <v>0</v>
      </c>
      <c r="F179" s="137">
        <f t="shared" si="45"/>
        <v>0</v>
      </c>
      <c r="G179" s="137">
        <f t="shared" si="45"/>
        <v>0</v>
      </c>
      <c r="H179" s="137">
        <f t="shared" si="45"/>
        <v>0</v>
      </c>
      <c r="I179" s="137">
        <f t="shared" si="45"/>
        <v>0</v>
      </c>
      <c r="J179" s="137">
        <f t="shared" si="45"/>
        <v>0</v>
      </c>
      <c r="K179" s="137">
        <f t="shared" si="45"/>
        <v>0</v>
      </c>
      <c r="L179" s="137">
        <f t="shared" si="45"/>
        <v>0</v>
      </c>
      <c r="M179" s="137">
        <f t="shared" si="45"/>
        <v>0</v>
      </c>
      <c r="N179" s="137">
        <f t="shared" si="45"/>
        <v>0</v>
      </c>
      <c r="O179" s="137">
        <f t="shared" si="45"/>
        <v>0</v>
      </c>
      <c r="P179" s="137">
        <f t="shared" si="45"/>
        <v>0</v>
      </c>
      <c r="Q179" s="137">
        <f t="shared" si="45"/>
        <v>0</v>
      </c>
      <c r="R179" s="137">
        <f t="shared" si="45"/>
        <v>0</v>
      </c>
      <c r="S179" s="137">
        <f t="shared" si="46"/>
        <v>0</v>
      </c>
      <c r="T179" s="137">
        <f t="shared" si="46"/>
        <v>0</v>
      </c>
      <c r="U179" s="137">
        <f t="shared" si="46"/>
        <v>0</v>
      </c>
      <c r="V179" s="137">
        <f t="shared" si="46"/>
        <v>0</v>
      </c>
      <c r="W179" s="137">
        <f t="shared" si="46"/>
        <v>0</v>
      </c>
      <c r="X179" s="137">
        <f t="shared" si="46"/>
        <v>0</v>
      </c>
      <c r="Y179" s="137">
        <f t="shared" si="46"/>
        <v>0</v>
      </c>
      <c r="Z179" s="137">
        <f t="shared" si="46"/>
        <v>0</v>
      </c>
      <c r="AA179" s="137">
        <f t="shared" si="46"/>
        <v>0</v>
      </c>
      <c r="AB179" s="137">
        <f t="shared" si="46"/>
        <v>0</v>
      </c>
      <c r="AC179" s="137">
        <f t="shared" si="46"/>
        <v>0</v>
      </c>
      <c r="AD179" s="137">
        <f t="shared" si="46"/>
        <v>0</v>
      </c>
      <c r="AE179" s="137">
        <f t="shared" si="46"/>
        <v>0</v>
      </c>
      <c r="AF179" s="137">
        <f t="shared" si="46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5"/>
        <v>0.6</v>
      </c>
      <c r="D180" s="137">
        <f t="shared" si="45"/>
        <v>0.6</v>
      </c>
      <c r="E180" s="137">
        <f t="shared" si="45"/>
        <v>0.6</v>
      </c>
      <c r="F180" s="137">
        <f t="shared" si="45"/>
        <v>0.6</v>
      </c>
      <c r="G180" s="137">
        <f t="shared" si="45"/>
        <v>0.6</v>
      </c>
      <c r="H180" s="137">
        <f t="shared" si="45"/>
        <v>0.6</v>
      </c>
      <c r="I180" s="137">
        <f t="shared" si="45"/>
        <v>0.6</v>
      </c>
      <c r="J180" s="137">
        <f t="shared" si="45"/>
        <v>0.6</v>
      </c>
      <c r="K180" s="137">
        <f t="shared" si="45"/>
        <v>0.6</v>
      </c>
      <c r="L180" s="137">
        <f t="shared" si="45"/>
        <v>0.6</v>
      </c>
      <c r="M180" s="137">
        <f t="shared" si="45"/>
        <v>0.6</v>
      </c>
      <c r="N180" s="137">
        <f t="shared" si="45"/>
        <v>0.6</v>
      </c>
      <c r="O180" s="137">
        <f t="shared" si="45"/>
        <v>0.6</v>
      </c>
      <c r="P180" s="137">
        <f t="shared" si="45"/>
        <v>0.6</v>
      </c>
      <c r="Q180" s="137">
        <f t="shared" si="45"/>
        <v>0.6</v>
      </c>
      <c r="R180" s="137">
        <f t="shared" si="45"/>
        <v>0.6</v>
      </c>
      <c r="S180" s="137">
        <f t="shared" si="46"/>
        <v>0.6</v>
      </c>
      <c r="T180" s="137">
        <f t="shared" si="46"/>
        <v>0.6</v>
      </c>
      <c r="U180" s="137">
        <f t="shared" si="46"/>
        <v>0.6</v>
      </c>
      <c r="V180" s="137">
        <f t="shared" si="46"/>
        <v>0.6</v>
      </c>
      <c r="W180" s="137">
        <f t="shared" si="46"/>
        <v>0.6</v>
      </c>
      <c r="X180" s="137">
        <f t="shared" si="46"/>
        <v>0.6</v>
      </c>
      <c r="Y180" s="137">
        <f t="shared" si="46"/>
        <v>0.6</v>
      </c>
      <c r="Z180" s="137">
        <f t="shared" si="46"/>
        <v>0.6</v>
      </c>
      <c r="AA180" s="137">
        <f t="shared" si="46"/>
        <v>0.6</v>
      </c>
      <c r="AB180" s="137">
        <f t="shared" si="46"/>
        <v>0.6</v>
      </c>
      <c r="AC180" s="137">
        <f t="shared" si="46"/>
        <v>0.6</v>
      </c>
      <c r="AD180" s="137">
        <f t="shared" si="46"/>
        <v>0.6</v>
      </c>
      <c r="AE180" s="137">
        <f t="shared" si="46"/>
        <v>0.6</v>
      </c>
      <c r="AF180" s="137">
        <f t="shared" si="46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5"/>
        <v>0.6</v>
      </c>
      <c r="D181" s="137">
        <f t="shared" si="45"/>
        <v>0.6</v>
      </c>
      <c r="E181" s="137">
        <f t="shared" si="45"/>
        <v>0.6</v>
      </c>
      <c r="F181" s="137">
        <f t="shared" si="45"/>
        <v>0.6</v>
      </c>
      <c r="G181" s="137">
        <f t="shared" si="45"/>
        <v>0.6</v>
      </c>
      <c r="H181" s="137">
        <f t="shared" si="45"/>
        <v>0.6</v>
      </c>
      <c r="I181" s="137">
        <f t="shared" si="45"/>
        <v>0.6</v>
      </c>
      <c r="J181" s="137">
        <f t="shared" si="45"/>
        <v>0.6</v>
      </c>
      <c r="K181" s="137">
        <f t="shared" si="45"/>
        <v>0.6</v>
      </c>
      <c r="L181" s="137">
        <f t="shared" si="45"/>
        <v>0.6</v>
      </c>
      <c r="M181" s="137">
        <f t="shared" si="45"/>
        <v>0.6</v>
      </c>
      <c r="N181" s="137">
        <f t="shared" si="45"/>
        <v>0.6</v>
      </c>
      <c r="O181" s="137">
        <f t="shared" si="45"/>
        <v>0.6</v>
      </c>
      <c r="P181" s="137">
        <f t="shared" si="45"/>
        <v>0.6</v>
      </c>
      <c r="Q181" s="137">
        <f t="shared" si="45"/>
        <v>0.6</v>
      </c>
      <c r="R181" s="137">
        <f t="shared" si="45"/>
        <v>0.6</v>
      </c>
      <c r="S181" s="137">
        <f t="shared" si="46"/>
        <v>0.6</v>
      </c>
      <c r="T181" s="137">
        <f t="shared" si="46"/>
        <v>0.6</v>
      </c>
      <c r="U181" s="137">
        <f t="shared" si="46"/>
        <v>0.6</v>
      </c>
      <c r="V181" s="137">
        <f t="shared" si="46"/>
        <v>0.6</v>
      </c>
      <c r="W181" s="137">
        <f t="shared" si="46"/>
        <v>0.6</v>
      </c>
      <c r="X181" s="137">
        <f t="shared" si="46"/>
        <v>0.6</v>
      </c>
      <c r="Y181" s="137">
        <f t="shared" si="46"/>
        <v>0.6</v>
      </c>
      <c r="Z181" s="137">
        <f t="shared" si="46"/>
        <v>0.6</v>
      </c>
      <c r="AA181" s="137">
        <f t="shared" si="46"/>
        <v>0.6</v>
      </c>
      <c r="AB181" s="137">
        <f t="shared" si="46"/>
        <v>0.6</v>
      </c>
      <c r="AC181" s="137">
        <f t="shared" si="46"/>
        <v>0.6</v>
      </c>
      <c r="AD181" s="137">
        <f t="shared" si="46"/>
        <v>0.6</v>
      </c>
      <c r="AE181" s="137">
        <f t="shared" si="46"/>
        <v>0.6</v>
      </c>
      <c r="AF181" s="137">
        <f t="shared" si="46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5"/>
        <v>0.35</v>
      </c>
      <c r="D182" s="137">
        <f t="shared" si="45"/>
        <v>0.35</v>
      </c>
      <c r="E182" s="137">
        <f t="shared" si="45"/>
        <v>0.35</v>
      </c>
      <c r="F182" s="137">
        <f t="shared" si="45"/>
        <v>0.35</v>
      </c>
      <c r="G182" s="137">
        <f t="shared" si="45"/>
        <v>0.35</v>
      </c>
      <c r="H182" s="137">
        <f t="shared" si="45"/>
        <v>0.35</v>
      </c>
      <c r="I182" s="137">
        <f t="shared" si="45"/>
        <v>0.35</v>
      </c>
      <c r="J182" s="137">
        <f t="shared" si="45"/>
        <v>0.35</v>
      </c>
      <c r="K182" s="137">
        <f t="shared" si="45"/>
        <v>0.35</v>
      </c>
      <c r="L182" s="137">
        <f t="shared" si="45"/>
        <v>0.35</v>
      </c>
      <c r="M182" s="137">
        <f t="shared" si="45"/>
        <v>0.35</v>
      </c>
      <c r="N182" s="137">
        <f t="shared" si="45"/>
        <v>0.35</v>
      </c>
      <c r="O182" s="137">
        <f t="shared" si="45"/>
        <v>0.35</v>
      </c>
      <c r="P182" s="137">
        <f t="shared" si="45"/>
        <v>0.35</v>
      </c>
      <c r="Q182" s="137">
        <f t="shared" si="45"/>
        <v>0.35</v>
      </c>
      <c r="R182" s="137">
        <f t="shared" si="45"/>
        <v>0.35</v>
      </c>
      <c r="S182" s="137">
        <f t="shared" si="46"/>
        <v>0.35</v>
      </c>
      <c r="T182" s="137">
        <f t="shared" si="46"/>
        <v>0.35</v>
      </c>
      <c r="U182" s="137">
        <f t="shared" si="46"/>
        <v>0.35</v>
      </c>
      <c r="V182" s="137">
        <f t="shared" si="46"/>
        <v>0.35</v>
      </c>
      <c r="W182" s="137">
        <f t="shared" si="46"/>
        <v>0.35</v>
      </c>
      <c r="X182" s="137">
        <f t="shared" si="46"/>
        <v>0.35</v>
      </c>
      <c r="Y182" s="137">
        <f t="shared" si="46"/>
        <v>0.35</v>
      </c>
      <c r="Z182" s="137">
        <f t="shared" si="46"/>
        <v>0.35</v>
      </c>
      <c r="AA182" s="137">
        <f t="shared" si="46"/>
        <v>0.35</v>
      </c>
      <c r="AB182" s="137">
        <f t="shared" si="46"/>
        <v>0.35</v>
      </c>
      <c r="AC182" s="137">
        <f t="shared" si="46"/>
        <v>0.35</v>
      </c>
      <c r="AD182" s="137">
        <f t="shared" si="46"/>
        <v>0.35</v>
      </c>
      <c r="AE182" s="137">
        <f t="shared" si="46"/>
        <v>0.35</v>
      </c>
      <c r="AF182" s="137">
        <f t="shared" si="46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5"/>
        <v>0.28999999999999998</v>
      </c>
      <c r="D183" s="137">
        <f t="shared" si="45"/>
        <v>0.28999999999999998</v>
      </c>
      <c r="E183" s="137">
        <f t="shared" si="45"/>
        <v>0.28999999999999998</v>
      </c>
      <c r="F183" s="137">
        <f t="shared" si="45"/>
        <v>0.28999999999999998</v>
      </c>
      <c r="G183" s="137">
        <f t="shared" si="45"/>
        <v>0.28999999999999998</v>
      </c>
      <c r="H183" s="137">
        <f t="shared" si="45"/>
        <v>0.28999999999999998</v>
      </c>
      <c r="I183" s="137">
        <f t="shared" si="45"/>
        <v>0.28999999999999998</v>
      </c>
      <c r="J183" s="137">
        <f t="shared" si="45"/>
        <v>0.28999999999999998</v>
      </c>
      <c r="K183" s="137">
        <f t="shared" si="45"/>
        <v>0.28999999999999998</v>
      </c>
      <c r="L183" s="137">
        <f t="shared" si="45"/>
        <v>0.28999999999999998</v>
      </c>
      <c r="M183" s="137">
        <f t="shared" si="45"/>
        <v>0.28999999999999998</v>
      </c>
      <c r="N183" s="137">
        <f t="shared" si="45"/>
        <v>0.28999999999999998</v>
      </c>
      <c r="O183" s="137">
        <f t="shared" si="45"/>
        <v>0.28999999999999998</v>
      </c>
      <c r="P183" s="137">
        <f t="shared" si="45"/>
        <v>0.28999999999999998</v>
      </c>
      <c r="Q183" s="137">
        <f t="shared" si="45"/>
        <v>0.28999999999999998</v>
      </c>
      <c r="R183" s="137">
        <f t="shared" si="45"/>
        <v>0.28999999999999998</v>
      </c>
      <c r="S183" s="137">
        <f t="shared" si="46"/>
        <v>0.28999999999999998</v>
      </c>
      <c r="T183" s="137">
        <f t="shared" si="46"/>
        <v>0.28999999999999998</v>
      </c>
      <c r="U183" s="137">
        <f t="shared" si="46"/>
        <v>0.28999999999999998</v>
      </c>
      <c r="V183" s="137">
        <f t="shared" si="46"/>
        <v>0.28999999999999998</v>
      </c>
      <c r="W183" s="137">
        <f t="shared" si="46"/>
        <v>0.28999999999999998</v>
      </c>
      <c r="X183" s="137">
        <f t="shared" si="46"/>
        <v>0.28999999999999998</v>
      </c>
      <c r="Y183" s="137">
        <f t="shared" si="46"/>
        <v>0.28999999999999998</v>
      </c>
      <c r="Z183" s="137">
        <f t="shared" si="46"/>
        <v>0.28999999999999998</v>
      </c>
      <c r="AA183" s="137">
        <f t="shared" si="46"/>
        <v>0.28999999999999998</v>
      </c>
      <c r="AB183" s="137">
        <f t="shared" si="46"/>
        <v>0.28999999999999998</v>
      </c>
      <c r="AC183" s="137">
        <f t="shared" si="46"/>
        <v>0.28999999999999998</v>
      </c>
      <c r="AD183" s="137">
        <f t="shared" si="46"/>
        <v>0.28999999999999998</v>
      </c>
      <c r="AE183" s="137">
        <f t="shared" si="46"/>
        <v>0.28999999999999998</v>
      </c>
      <c r="AF183" s="137">
        <f t="shared" si="46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5"/>
        <v>0.06</v>
      </c>
      <c r="D184" s="137">
        <f t="shared" si="45"/>
        <v>0.06</v>
      </c>
      <c r="E184" s="137">
        <f t="shared" si="45"/>
        <v>0.06</v>
      </c>
      <c r="F184" s="137">
        <f t="shared" si="45"/>
        <v>0.06</v>
      </c>
      <c r="G184" s="137">
        <f t="shared" si="45"/>
        <v>0.06</v>
      </c>
      <c r="H184" s="137">
        <f t="shared" si="45"/>
        <v>0.06</v>
      </c>
      <c r="I184" s="137">
        <f t="shared" si="45"/>
        <v>0.06</v>
      </c>
      <c r="J184" s="137">
        <f t="shared" si="45"/>
        <v>0.06</v>
      </c>
      <c r="K184" s="137">
        <f t="shared" si="45"/>
        <v>0.06</v>
      </c>
      <c r="L184" s="137">
        <f t="shared" si="45"/>
        <v>0.06</v>
      </c>
      <c r="M184" s="137">
        <f t="shared" si="45"/>
        <v>0.06</v>
      </c>
      <c r="N184" s="137">
        <f t="shared" si="45"/>
        <v>0.06</v>
      </c>
      <c r="O184" s="137">
        <f t="shared" si="45"/>
        <v>0.06</v>
      </c>
      <c r="P184" s="137">
        <f t="shared" si="45"/>
        <v>0.06</v>
      </c>
      <c r="Q184" s="137">
        <f t="shared" si="45"/>
        <v>0.06</v>
      </c>
      <c r="R184" s="137">
        <f t="shared" si="45"/>
        <v>0.06</v>
      </c>
      <c r="S184" s="137">
        <f t="shared" si="46"/>
        <v>0.06</v>
      </c>
      <c r="T184" s="137">
        <f t="shared" si="46"/>
        <v>0.06</v>
      </c>
      <c r="U184" s="137">
        <f t="shared" si="46"/>
        <v>0.06</v>
      </c>
      <c r="V184" s="137">
        <f t="shared" si="46"/>
        <v>0.06</v>
      </c>
      <c r="W184" s="137">
        <f t="shared" si="46"/>
        <v>0.06</v>
      </c>
      <c r="X184" s="137">
        <f t="shared" si="46"/>
        <v>0.06</v>
      </c>
      <c r="Y184" s="137">
        <f t="shared" si="46"/>
        <v>0.06</v>
      </c>
      <c r="Z184" s="137">
        <f t="shared" si="46"/>
        <v>0.06</v>
      </c>
      <c r="AA184" s="137">
        <f t="shared" si="46"/>
        <v>0.06</v>
      </c>
      <c r="AB184" s="137">
        <f t="shared" si="46"/>
        <v>0.06</v>
      </c>
      <c r="AC184" s="137">
        <f t="shared" si="46"/>
        <v>0.06</v>
      </c>
      <c r="AD184" s="137">
        <f t="shared" si="46"/>
        <v>0.06</v>
      </c>
      <c r="AE184" s="137">
        <f t="shared" si="46"/>
        <v>0.06</v>
      </c>
      <c r="AF184" s="137">
        <f t="shared" si="46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5"/>
        <v>0.11</v>
      </c>
      <c r="D185" s="137">
        <f t="shared" si="45"/>
        <v>0.11</v>
      </c>
      <c r="E185" s="137">
        <f t="shared" si="45"/>
        <v>0.11</v>
      </c>
      <c r="F185" s="137">
        <f t="shared" si="45"/>
        <v>0.11</v>
      </c>
      <c r="G185" s="137">
        <f t="shared" si="45"/>
        <v>0.11</v>
      </c>
      <c r="H185" s="137">
        <f t="shared" si="45"/>
        <v>0.11</v>
      </c>
      <c r="I185" s="137">
        <f t="shared" si="45"/>
        <v>0.11</v>
      </c>
      <c r="J185" s="137">
        <f t="shared" si="45"/>
        <v>0.11</v>
      </c>
      <c r="K185" s="137">
        <f t="shared" si="45"/>
        <v>0.11</v>
      </c>
      <c r="L185" s="137">
        <f t="shared" si="45"/>
        <v>0.11</v>
      </c>
      <c r="M185" s="137">
        <f t="shared" si="45"/>
        <v>0.11</v>
      </c>
      <c r="N185" s="137">
        <f t="shared" si="45"/>
        <v>0.11</v>
      </c>
      <c r="O185" s="137">
        <f t="shared" si="45"/>
        <v>0.11</v>
      </c>
      <c r="P185" s="137">
        <f t="shared" si="45"/>
        <v>0.11</v>
      </c>
      <c r="Q185" s="137">
        <f t="shared" si="45"/>
        <v>0.11</v>
      </c>
      <c r="R185" s="137">
        <f t="shared" si="45"/>
        <v>0.11</v>
      </c>
      <c r="S185" s="137">
        <f t="shared" si="46"/>
        <v>0.11</v>
      </c>
      <c r="T185" s="137">
        <f t="shared" si="46"/>
        <v>0.11</v>
      </c>
      <c r="U185" s="137">
        <f t="shared" si="46"/>
        <v>0.11</v>
      </c>
      <c r="V185" s="137">
        <f t="shared" si="46"/>
        <v>0.11</v>
      </c>
      <c r="W185" s="137">
        <f t="shared" si="46"/>
        <v>0.11</v>
      </c>
      <c r="X185" s="137">
        <f t="shared" si="46"/>
        <v>0.11</v>
      </c>
      <c r="Y185" s="137">
        <f t="shared" si="46"/>
        <v>0.11</v>
      </c>
      <c r="Z185" s="137">
        <f t="shared" si="46"/>
        <v>0.11</v>
      </c>
      <c r="AA185" s="137">
        <f t="shared" si="46"/>
        <v>0.11</v>
      </c>
      <c r="AB185" s="137">
        <f t="shared" si="46"/>
        <v>0.11</v>
      </c>
      <c r="AC185" s="137">
        <f t="shared" si="46"/>
        <v>0.11</v>
      </c>
      <c r="AD185" s="137">
        <f t="shared" si="46"/>
        <v>0.11</v>
      </c>
      <c r="AE185" s="137">
        <f t="shared" si="46"/>
        <v>0.11</v>
      </c>
      <c r="AF185" s="137">
        <f t="shared" si="46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5"/>
        <v>0.1</v>
      </c>
      <c r="D186" s="137">
        <f t="shared" si="45"/>
        <v>0.1</v>
      </c>
      <c r="E186" s="137">
        <f t="shared" si="45"/>
        <v>0.1</v>
      </c>
      <c r="F186" s="137">
        <f t="shared" si="45"/>
        <v>0.1</v>
      </c>
      <c r="G186" s="137">
        <f t="shared" si="45"/>
        <v>0.1</v>
      </c>
      <c r="H186" s="137">
        <f t="shared" si="45"/>
        <v>0.1</v>
      </c>
      <c r="I186" s="137">
        <f t="shared" si="45"/>
        <v>0.1</v>
      </c>
      <c r="J186" s="137">
        <f t="shared" si="45"/>
        <v>0.1</v>
      </c>
      <c r="K186" s="137">
        <f t="shared" si="45"/>
        <v>0.1</v>
      </c>
      <c r="L186" s="137">
        <f t="shared" si="45"/>
        <v>0.1</v>
      </c>
      <c r="M186" s="137">
        <f t="shared" si="45"/>
        <v>0.1</v>
      </c>
      <c r="N186" s="137">
        <f t="shared" si="45"/>
        <v>0.1</v>
      </c>
      <c r="O186" s="137">
        <f t="shared" si="45"/>
        <v>0.1</v>
      </c>
      <c r="P186" s="137">
        <f t="shared" si="45"/>
        <v>0.1</v>
      </c>
      <c r="Q186" s="137">
        <f t="shared" si="45"/>
        <v>0.1</v>
      </c>
      <c r="R186" s="137">
        <f t="shared" si="46"/>
        <v>0.1</v>
      </c>
      <c r="S186" s="137">
        <f t="shared" si="46"/>
        <v>0.1</v>
      </c>
      <c r="T186" s="137">
        <f t="shared" si="46"/>
        <v>0.1</v>
      </c>
      <c r="U186" s="137">
        <f t="shared" si="46"/>
        <v>0.1</v>
      </c>
      <c r="V186" s="137">
        <f t="shared" si="46"/>
        <v>0.1</v>
      </c>
      <c r="W186" s="137">
        <f t="shared" si="46"/>
        <v>0.1</v>
      </c>
      <c r="X186" s="137">
        <f t="shared" si="46"/>
        <v>0.1</v>
      </c>
      <c r="Y186" s="137">
        <f t="shared" si="46"/>
        <v>0.1</v>
      </c>
      <c r="Z186" s="137">
        <f t="shared" si="46"/>
        <v>0.1</v>
      </c>
      <c r="AA186" s="137">
        <f t="shared" si="46"/>
        <v>0.1</v>
      </c>
      <c r="AB186" s="137">
        <f t="shared" si="46"/>
        <v>0.1</v>
      </c>
      <c r="AC186" s="137">
        <f t="shared" si="46"/>
        <v>0.1</v>
      </c>
      <c r="AD186" s="137">
        <f t="shared" si="46"/>
        <v>0.1</v>
      </c>
      <c r="AE186" s="137">
        <f t="shared" si="46"/>
        <v>0.1</v>
      </c>
      <c r="AF186" s="137">
        <f t="shared" si="46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5"/>
        <v>0.09</v>
      </c>
      <c r="D187" s="137">
        <f t="shared" si="45"/>
        <v>0.09</v>
      </c>
      <c r="E187" s="137">
        <f t="shared" si="45"/>
        <v>0.09</v>
      </c>
      <c r="F187" s="137">
        <f t="shared" si="45"/>
        <v>0.09</v>
      </c>
      <c r="G187" s="137">
        <f t="shared" si="45"/>
        <v>0.09</v>
      </c>
      <c r="H187" s="137">
        <f t="shared" si="45"/>
        <v>0.09</v>
      </c>
      <c r="I187" s="137">
        <f t="shared" si="45"/>
        <v>0.09</v>
      </c>
      <c r="J187" s="137">
        <f t="shared" si="45"/>
        <v>0.09</v>
      </c>
      <c r="K187" s="137">
        <f t="shared" si="45"/>
        <v>0.09</v>
      </c>
      <c r="L187" s="137">
        <f t="shared" si="45"/>
        <v>0.09</v>
      </c>
      <c r="M187" s="137">
        <f t="shared" si="45"/>
        <v>0.09</v>
      </c>
      <c r="N187" s="137">
        <f t="shared" si="45"/>
        <v>0.09</v>
      </c>
      <c r="O187" s="137">
        <f t="shared" si="45"/>
        <v>0.09</v>
      </c>
      <c r="P187" s="137">
        <f t="shared" si="45"/>
        <v>0.09</v>
      </c>
      <c r="Q187" s="137">
        <f t="shared" si="45"/>
        <v>0.09</v>
      </c>
      <c r="R187" s="137">
        <f t="shared" si="46"/>
        <v>0.09</v>
      </c>
      <c r="S187" s="137">
        <f t="shared" si="46"/>
        <v>0.09</v>
      </c>
      <c r="T187" s="137">
        <f t="shared" si="46"/>
        <v>0.09</v>
      </c>
      <c r="U187" s="137">
        <f t="shared" si="46"/>
        <v>0.09</v>
      </c>
      <c r="V187" s="137">
        <f t="shared" si="46"/>
        <v>0.09</v>
      </c>
      <c r="W187" s="137">
        <f t="shared" si="46"/>
        <v>0.09</v>
      </c>
      <c r="X187" s="137">
        <f t="shared" si="46"/>
        <v>0.09</v>
      </c>
      <c r="Y187" s="137">
        <f t="shared" si="46"/>
        <v>0.09</v>
      </c>
      <c r="Z187" s="137">
        <f t="shared" si="46"/>
        <v>0.09</v>
      </c>
      <c r="AA187" s="137">
        <f t="shared" si="46"/>
        <v>0.09</v>
      </c>
      <c r="AB187" s="137">
        <f t="shared" si="46"/>
        <v>0.09</v>
      </c>
      <c r="AC187" s="137">
        <f t="shared" si="46"/>
        <v>0.09</v>
      </c>
      <c r="AD187" s="137">
        <f t="shared" si="46"/>
        <v>0.09</v>
      </c>
      <c r="AE187" s="137">
        <f t="shared" si="46"/>
        <v>0.09</v>
      </c>
      <c r="AF187" s="137">
        <f t="shared" si="46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5"/>
        <v>0.04</v>
      </c>
      <c r="D188" s="137">
        <f t="shared" si="45"/>
        <v>0.04</v>
      </c>
      <c r="E188" s="137">
        <f t="shared" si="45"/>
        <v>0.04</v>
      </c>
      <c r="F188" s="137">
        <f t="shared" si="45"/>
        <v>0.04</v>
      </c>
      <c r="G188" s="137">
        <f t="shared" si="45"/>
        <v>0.04</v>
      </c>
      <c r="H188" s="137">
        <f t="shared" si="45"/>
        <v>0.04</v>
      </c>
      <c r="I188" s="137">
        <f t="shared" si="45"/>
        <v>0.04</v>
      </c>
      <c r="J188" s="137">
        <f t="shared" si="45"/>
        <v>0.04</v>
      </c>
      <c r="K188" s="137">
        <f t="shared" si="45"/>
        <v>0.04</v>
      </c>
      <c r="L188" s="137">
        <f t="shared" si="45"/>
        <v>0.04</v>
      </c>
      <c r="M188" s="137">
        <f t="shared" si="45"/>
        <v>0.04</v>
      </c>
      <c r="N188" s="137">
        <f t="shared" si="45"/>
        <v>0.04</v>
      </c>
      <c r="O188" s="137">
        <f t="shared" si="45"/>
        <v>0.04</v>
      </c>
      <c r="P188" s="137">
        <f t="shared" si="45"/>
        <v>0.04</v>
      </c>
      <c r="Q188" s="137">
        <f t="shared" si="45"/>
        <v>0.04</v>
      </c>
      <c r="R188" s="137">
        <f t="shared" si="46"/>
        <v>0.04</v>
      </c>
      <c r="S188" s="137">
        <f t="shared" si="46"/>
        <v>0.04</v>
      </c>
      <c r="T188" s="137">
        <f t="shared" si="46"/>
        <v>0.04</v>
      </c>
      <c r="U188" s="137">
        <f t="shared" si="46"/>
        <v>0.04</v>
      </c>
      <c r="V188" s="137">
        <f t="shared" si="46"/>
        <v>0.04</v>
      </c>
      <c r="W188" s="137">
        <f t="shared" si="46"/>
        <v>0.04</v>
      </c>
      <c r="X188" s="137">
        <f t="shared" si="46"/>
        <v>0.04</v>
      </c>
      <c r="Y188" s="137">
        <f t="shared" si="46"/>
        <v>0.04</v>
      </c>
      <c r="Z188" s="137">
        <f t="shared" si="46"/>
        <v>0.04</v>
      </c>
      <c r="AA188" s="137">
        <f t="shared" si="46"/>
        <v>0.04</v>
      </c>
      <c r="AB188" s="137">
        <f t="shared" si="46"/>
        <v>0.04</v>
      </c>
      <c r="AC188" s="137">
        <f t="shared" si="46"/>
        <v>0.04</v>
      </c>
      <c r="AD188" s="137">
        <f t="shared" si="46"/>
        <v>0.04</v>
      </c>
      <c r="AE188" s="137">
        <f t="shared" si="46"/>
        <v>0.04</v>
      </c>
      <c r="AF188" s="137">
        <f t="shared" si="46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5"/>
        <v>2.3E-2</v>
      </c>
      <c r="E189" s="137">
        <f t="shared" si="45"/>
        <v>2.3E-2</v>
      </c>
      <c r="F189" s="137">
        <f t="shared" si="45"/>
        <v>2.3E-2</v>
      </c>
      <c r="G189" s="137">
        <f t="shared" si="45"/>
        <v>2.3E-2</v>
      </c>
      <c r="H189" s="137">
        <f t="shared" si="45"/>
        <v>2.3E-2</v>
      </c>
      <c r="I189" s="137">
        <f t="shared" si="45"/>
        <v>2.3E-2</v>
      </c>
      <c r="J189" s="137">
        <f t="shared" si="45"/>
        <v>2.3E-2</v>
      </c>
      <c r="K189" s="137">
        <f t="shared" si="45"/>
        <v>2.3E-2</v>
      </c>
      <c r="L189" s="137">
        <f t="shared" si="45"/>
        <v>2.3E-2</v>
      </c>
      <c r="M189" s="137">
        <f t="shared" si="45"/>
        <v>2.3E-2</v>
      </c>
      <c r="N189" s="137">
        <f t="shared" si="45"/>
        <v>2.3E-2</v>
      </c>
      <c r="O189" s="137">
        <f t="shared" si="45"/>
        <v>2.3E-2</v>
      </c>
      <c r="P189" s="137">
        <f t="shared" si="45"/>
        <v>2.3E-2</v>
      </c>
      <c r="Q189" s="137">
        <f t="shared" si="45"/>
        <v>2.3E-2</v>
      </c>
      <c r="R189" s="137">
        <f t="shared" si="46"/>
        <v>2.3E-2</v>
      </c>
      <c r="S189" s="137">
        <f t="shared" si="46"/>
        <v>2.3E-2</v>
      </c>
      <c r="T189" s="137">
        <f t="shared" si="46"/>
        <v>2.3E-2</v>
      </c>
      <c r="U189" s="137">
        <f t="shared" si="46"/>
        <v>2.3E-2</v>
      </c>
      <c r="V189" s="137">
        <f t="shared" si="46"/>
        <v>2.3E-2</v>
      </c>
      <c r="W189" s="137">
        <f t="shared" si="46"/>
        <v>2.3E-2</v>
      </c>
      <c r="X189" s="137">
        <f t="shared" si="46"/>
        <v>2.3E-2</v>
      </c>
      <c r="Y189" s="137">
        <f t="shared" si="46"/>
        <v>2.3E-2</v>
      </c>
      <c r="Z189" s="137">
        <f t="shared" si="46"/>
        <v>2.3E-2</v>
      </c>
      <c r="AA189" s="137">
        <f t="shared" si="46"/>
        <v>2.3E-2</v>
      </c>
      <c r="AB189" s="137">
        <f t="shared" si="46"/>
        <v>2.3E-2</v>
      </c>
      <c r="AC189" s="137">
        <f t="shared" si="46"/>
        <v>2.3E-2</v>
      </c>
      <c r="AD189" s="137">
        <f t="shared" si="46"/>
        <v>2.3E-2</v>
      </c>
      <c r="AE189" s="137">
        <f t="shared" si="46"/>
        <v>2.3E-2</v>
      </c>
      <c r="AF189" s="137">
        <f t="shared" si="46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7">SUM(B100:B189)</f>
        <v>194.70600000000002</v>
      </c>
      <c r="C190" s="141">
        <f t="shared" si="47"/>
        <v>194.70600000000002</v>
      </c>
      <c r="D190" s="141">
        <f t="shared" si="47"/>
        <v>194.70600000000002</v>
      </c>
      <c r="E190" s="141">
        <f t="shared" si="47"/>
        <v>194.70600000000002</v>
      </c>
      <c r="F190" s="141">
        <f t="shared" si="47"/>
        <v>194.70600000000002</v>
      </c>
      <c r="G190" s="141">
        <f t="shared" si="47"/>
        <v>194.70600000000002</v>
      </c>
      <c r="H190" s="141">
        <f t="shared" si="47"/>
        <v>194.70600000000002</v>
      </c>
      <c r="I190" s="141">
        <f t="shared" si="47"/>
        <v>192.10600000000005</v>
      </c>
      <c r="J190" s="141">
        <f t="shared" si="47"/>
        <v>192.10600000000005</v>
      </c>
      <c r="K190" s="141">
        <f t="shared" si="47"/>
        <v>192.10600000000005</v>
      </c>
      <c r="L190" s="141">
        <f t="shared" si="47"/>
        <v>192.10600000000005</v>
      </c>
      <c r="M190" s="141">
        <f t="shared" si="47"/>
        <v>192.10600000000005</v>
      </c>
      <c r="N190" s="141">
        <f t="shared" si="47"/>
        <v>192.10600000000005</v>
      </c>
      <c r="O190" s="141">
        <f t="shared" si="47"/>
        <v>192.10600000000005</v>
      </c>
      <c r="P190" s="141">
        <f t="shared" si="47"/>
        <v>192.10600000000005</v>
      </c>
      <c r="Q190" s="141">
        <f t="shared" si="47"/>
        <v>192.10600000000005</v>
      </c>
      <c r="R190" s="141">
        <f t="shared" si="47"/>
        <v>192.10600000000005</v>
      </c>
      <c r="S190" s="141">
        <f t="shared" si="47"/>
        <v>192.10600000000005</v>
      </c>
      <c r="T190" s="141">
        <f t="shared" si="47"/>
        <v>192.10600000000005</v>
      </c>
      <c r="U190" s="141">
        <f t="shared" si="47"/>
        <v>192.10600000000005</v>
      </c>
      <c r="V190" s="141">
        <f t="shared" si="47"/>
        <v>192.10600000000005</v>
      </c>
      <c r="W190" s="141">
        <f t="shared" si="47"/>
        <v>192.10600000000005</v>
      </c>
      <c r="X190" s="141">
        <f t="shared" si="47"/>
        <v>192.10600000000005</v>
      </c>
      <c r="Y190" s="141">
        <f t="shared" si="47"/>
        <v>192.10600000000005</v>
      </c>
      <c r="Z190" s="141">
        <f t="shared" si="47"/>
        <v>192.10600000000005</v>
      </c>
      <c r="AA190" s="141">
        <f t="shared" si="47"/>
        <v>192.10600000000005</v>
      </c>
      <c r="AB190" s="141">
        <f t="shared" si="47"/>
        <v>192.10600000000005</v>
      </c>
      <c r="AC190" s="141">
        <f t="shared" si="47"/>
        <v>192.10600000000005</v>
      </c>
      <c r="AD190" s="141">
        <f t="shared" si="47"/>
        <v>192.10600000000005</v>
      </c>
      <c r="AE190" s="141">
        <f t="shared" si="47"/>
        <v>192.10600000000005</v>
      </c>
      <c r="AF190" s="141">
        <f t="shared" si="47"/>
        <v>192.10600000000005</v>
      </c>
      <c r="AG190" s="142">
        <f t="shared" si="47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8">B192</f>
        <v>0.3</v>
      </c>
      <c r="D192" s="143">
        <f t="shared" si="48"/>
        <v>0.3</v>
      </c>
      <c r="E192" s="143">
        <f t="shared" si="48"/>
        <v>0.3</v>
      </c>
      <c r="F192" s="143">
        <f t="shared" si="48"/>
        <v>0.3</v>
      </c>
      <c r="G192" s="143">
        <f t="shared" si="48"/>
        <v>0.3</v>
      </c>
      <c r="H192" s="143">
        <f t="shared" si="48"/>
        <v>0.3</v>
      </c>
      <c r="I192" s="143">
        <f t="shared" si="48"/>
        <v>0.3</v>
      </c>
      <c r="J192" s="143">
        <f t="shared" si="48"/>
        <v>0.3</v>
      </c>
      <c r="K192" s="143">
        <f t="shared" si="48"/>
        <v>0.3</v>
      </c>
      <c r="L192" s="143">
        <f t="shared" si="48"/>
        <v>0.3</v>
      </c>
      <c r="M192" s="143">
        <f t="shared" si="48"/>
        <v>0.3</v>
      </c>
      <c r="N192" s="143">
        <f t="shared" si="48"/>
        <v>0.3</v>
      </c>
      <c r="O192" s="143">
        <f t="shared" si="48"/>
        <v>0.3</v>
      </c>
      <c r="P192" s="143">
        <f t="shared" si="48"/>
        <v>0.3</v>
      </c>
      <c r="Q192" s="143">
        <f t="shared" si="48"/>
        <v>0.3</v>
      </c>
      <c r="R192" s="143">
        <f t="shared" si="48"/>
        <v>0.3</v>
      </c>
      <c r="S192" s="143">
        <f t="shared" ref="S192:AF197" si="49">R192</f>
        <v>0.3</v>
      </c>
      <c r="T192" s="143">
        <f t="shared" si="49"/>
        <v>0.3</v>
      </c>
      <c r="U192" s="143">
        <f t="shared" si="49"/>
        <v>0.3</v>
      </c>
      <c r="V192" s="143">
        <f t="shared" si="49"/>
        <v>0.3</v>
      </c>
      <c r="W192" s="143">
        <f t="shared" si="49"/>
        <v>0.3</v>
      </c>
      <c r="X192" s="143">
        <f t="shared" si="49"/>
        <v>0.3</v>
      </c>
      <c r="Y192" s="143">
        <f t="shared" si="49"/>
        <v>0.3</v>
      </c>
      <c r="Z192" s="143">
        <f t="shared" si="49"/>
        <v>0.3</v>
      </c>
      <c r="AA192" s="143">
        <f t="shared" si="49"/>
        <v>0.3</v>
      </c>
      <c r="AB192" s="143">
        <f t="shared" si="49"/>
        <v>0.3</v>
      </c>
      <c r="AC192" s="143">
        <f t="shared" si="49"/>
        <v>0.3</v>
      </c>
      <c r="AD192" s="143">
        <f t="shared" si="49"/>
        <v>0.3</v>
      </c>
      <c r="AE192" s="143">
        <f t="shared" si="49"/>
        <v>0.3</v>
      </c>
      <c r="AF192" s="143">
        <f t="shared" si="49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8"/>
        <v>0.4</v>
      </c>
      <c r="D193" s="137">
        <f t="shared" si="48"/>
        <v>0.4</v>
      </c>
      <c r="E193" s="137">
        <f t="shared" si="48"/>
        <v>0.4</v>
      </c>
      <c r="F193" s="137">
        <f t="shared" si="48"/>
        <v>0.4</v>
      </c>
      <c r="G193" s="137">
        <f t="shared" si="48"/>
        <v>0.4</v>
      </c>
      <c r="H193" s="137">
        <f t="shared" si="48"/>
        <v>0.4</v>
      </c>
      <c r="I193" s="137">
        <f t="shared" si="48"/>
        <v>0.4</v>
      </c>
      <c r="J193" s="137">
        <f t="shared" si="48"/>
        <v>0.4</v>
      </c>
      <c r="K193" s="137">
        <f t="shared" si="48"/>
        <v>0.4</v>
      </c>
      <c r="L193" s="137">
        <f t="shared" si="48"/>
        <v>0.4</v>
      </c>
      <c r="M193" s="137">
        <f t="shared" si="48"/>
        <v>0.4</v>
      </c>
      <c r="N193" s="137">
        <f t="shared" si="48"/>
        <v>0.4</v>
      </c>
      <c r="O193" s="137">
        <f t="shared" si="48"/>
        <v>0.4</v>
      </c>
      <c r="P193" s="137">
        <f t="shared" si="48"/>
        <v>0.4</v>
      </c>
      <c r="Q193" s="137">
        <f t="shared" si="48"/>
        <v>0.4</v>
      </c>
      <c r="R193" s="137">
        <f t="shared" si="48"/>
        <v>0.4</v>
      </c>
      <c r="S193" s="137">
        <f t="shared" si="49"/>
        <v>0.4</v>
      </c>
      <c r="T193" s="137">
        <f t="shared" si="49"/>
        <v>0.4</v>
      </c>
      <c r="U193" s="137">
        <f t="shared" si="49"/>
        <v>0.4</v>
      </c>
      <c r="V193" s="137">
        <f>U193</f>
        <v>0.4</v>
      </c>
      <c r="W193" s="137">
        <f>V193</f>
        <v>0.4</v>
      </c>
      <c r="X193" s="137">
        <f t="shared" si="49"/>
        <v>0.4</v>
      </c>
      <c r="Y193" s="137">
        <f t="shared" si="49"/>
        <v>0.4</v>
      </c>
      <c r="Z193" s="137">
        <f t="shared" si="49"/>
        <v>0.4</v>
      </c>
      <c r="AA193" s="137">
        <f t="shared" si="49"/>
        <v>0.4</v>
      </c>
      <c r="AB193" s="137">
        <f t="shared" si="49"/>
        <v>0.4</v>
      </c>
      <c r="AC193" s="137">
        <f t="shared" si="49"/>
        <v>0.4</v>
      </c>
      <c r="AD193" s="137">
        <f t="shared" si="49"/>
        <v>0.4</v>
      </c>
      <c r="AE193" s="137">
        <f t="shared" si="49"/>
        <v>0.4</v>
      </c>
      <c r="AF193" s="137">
        <f t="shared" si="49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8"/>
        <v>1.5</v>
      </c>
      <c r="D194" s="137">
        <f t="shared" si="48"/>
        <v>1.5</v>
      </c>
      <c r="E194" s="137">
        <f t="shared" si="48"/>
        <v>1.5</v>
      </c>
      <c r="F194" s="137">
        <f t="shared" si="48"/>
        <v>1.5</v>
      </c>
      <c r="G194" s="137">
        <f t="shared" si="48"/>
        <v>1.5</v>
      </c>
      <c r="H194" s="137">
        <f t="shared" si="48"/>
        <v>1.5</v>
      </c>
      <c r="I194" s="137">
        <f t="shared" si="48"/>
        <v>1.5</v>
      </c>
      <c r="J194" s="137">
        <f t="shared" si="48"/>
        <v>1.5</v>
      </c>
      <c r="K194" s="137">
        <f t="shared" si="48"/>
        <v>1.5</v>
      </c>
      <c r="L194" s="137">
        <f t="shared" si="48"/>
        <v>1.5</v>
      </c>
      <c r="M194" s="137">
        <f t="shared" si="48"/>
        <v>1.5</v>
      </c>
      <c r="N194" s="137">
        <f t="shared" si="48"/>
        <v>1.5</v>
      </c>
      <c r="O194" s="137">
        <f t="shared" si="48"/>
        <v>1.5</v>
      </c>
      <c r="P194" s="137">
        <f t="shared" si="48"/>
        <v>1.5</v>
      </c>
      <c r="Q194" s="137">
        <f t="shared" si="48"/>
        <v>1.5</v>
      </c>
      <c r="R194" s="137">
        <f t="shared" si="48"/>
        <v>1.5</v>
      </c>
      <c r="S194" s="137">
        <f t="shared" si="49"/>
        <v>1.5</v>
      </c>
      <c r="T194" s="137">
        <f t="shared" si="49"/>
        <v>1.5</v>
      </c>
      <c r="U194" s="137">
        <f t="shared" si="49"/>
        <v>1.5</v>
      </c>
      <c r="V194" s="137">
        <f t="shared" si="49"/>
        <v>1.5</v>
      </c>
      <c r="W194" s="137">
        <f t="shared" si="49"/>
        <v>1.5</v>
      </c>
      <c r="X194" s="137">
        <f t="shared" si="49"/>
        <v>1.5</v>
      </c>
      <c r="Y194" s="137">
        <f t="shared" si="49"/>
        <v>1.5</v>
      </c>
      <c r="Z194" s="137">
        <f t="shared" si="49"/>
        <v>1.5</v>
      </c>
      <c r="AA194" s="137">
        <f t="shared" si="49"/>
        <v>1.5</v>
      </c>
      <c r="AB194" s="137">
        <f t="shared" si="49"/>
        <v>1.5</v>
      </c>
      <c r="AC194" s="137">
        <f t="shared" si="49"/>
        <v>1.5</v>
      </c>
      <c r="AD194" s="137">
        <f t="shared" si="49"/>
        <v>1.5</v>
      </c>
      <c r="AE194" s="137">
        <f t="shared" si="49"/>
        <v>1.5</v>
      </c>
      <c r="AF194" s="137">
        <f t="shared" si="49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8"/>
        <v>0.3</v>
      </c>
      <c r="D195" s="137">
        <f t="shared" si="48"/>
        <v>0.3</v>
      </c>
      <c r="E195" s="137">
        <f t="shared" si="48"/>
        <v>0.3</v>
      </c>
      <c r="F195" s="137">
        <f t="shared" si="48"/>
        <v>0.3</v>
      </c>
      <c r="G195" s="137">
        <f t="shared" si="48"/>
        <v>0.3</v>
      </c>
      <c r="H195" s="137">
        <f t="shared" si="48"/>
        <v>0.3</v>
      </c>
      <c r="I195" s="137">
        <f t="shared" si="48"/>
        <v>0.3</v>
      </c>
      <c r="J195" s="137">
        <f t="shared" si="48"/>
        <v>0.3</v>
      </c>
      <c r="K195" s="137">
        <f t="shared" si="48"/>
        <v>0.3</v>
      </c>
      <c r="L195" s="137">
        <f t="shared" si="48"/>
        <v>0.3</v>
      </c>
      <c r="M195" s="137">
        <f t="shared" si="48"/>
        <v>0.3</v>
      </c>
      <c r="N195" s="137">
        <f t="shared" si="48"/>
        <v>0.3</v>
      </c>
      <c r="O195" s="137">
        <f t="shared" si="48"/>
        <v>0.3</v>
      </c>
      <c r="P195" s="137">
        <f t="shared" si="48"/>
        <v>0.3</v>
      </c>
      <c r="Q195" s="137">
        <f t="shared" si="48"/>
        <v>0.3</v>
      </c>
      <c r="R195" s="137">
        <f t="shared" si="48"/>
        <v>0.3</v>
      </c>
      <c r="S195" s="137">
        <f t="shared" si="49"/>
        <v>0.3</v>
      </c>
      <c r="T195" s="137">
        <f t="shared" si="49"/>
        <v>0.3</v>
      </c>
      <c r="U195" s="137">
        <f t="shared" si="49"/>
        <v>0.3</v>
      </c>
      <c r="V195" s="137">
        <f t="shared" si="49"/>
        <v>0.3</v>
      </c>
      <c r="W195" s="137">
        <f t="shared" si="49"/>
        <v>0.3</v>
      </c>
      <c r="X195" s="137">
        <f t="shared" si="49"/>
        <v>0.3</v>
      </c>
      <c r="Y195" s="137">
        <f t="shared" si="49"/>
        <v>0.3</v>
      </c>
      <c r="Z195" s="137">
        <f t="shared" si="49"/>
        <v>0.3</v>
      </c>
      <c r="AA195" s="137">
        <f t="shared" si="49"/>
        <v>0.3</v>
      </c>
      <c r="AB195" s="137">
        <f t="shared" si="49"/>
        <v>0.3</v>
      </c>
      <c r="AC195" s="137">
        <f t="shared" si="49"/>
        <v>0.3</v>
      </c>
      <c r="AD195" s="137">
        <f t="shared" si="49"/>
        <v>0.3</v>
      </c>
      <c r="AE195" s="137">
        <f t="shared" si="49"/>
        <v>0.3</v>
      </c>
      <c r="AF195" s="137">
        <f t="shared" si="49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8"/>
        <v>0.4</v>
      </c>
      <c r="D196" s="137">
        <f t="shared" si="48"/>
        <v>0.4</v>
      </c>
      <c r="E196" s="137">
        <f t="shared" si="48"/>
        <v>0.4</v>
      </c>
      <c r="F196" s="137">
        <f t="shared" si="48"/>
        <v>0.4</v>
      </c>
      <c r="G196" s="137">
        <f t="shared" si="48"/>
        <v>0.4</v>
      </c>
      <c r="H196" s="137">
        <f t="shared" si="48"/>
        <v>0.4</v>
      </c>
      <c r="I196" s="137">
        <f t="shared" si="48"/>
        <v>0.4</v>
      </c>
      <c r="J196" s="137">
        <f t="shared" si="48"/>
        <v>0.4</v>
      </c>
      <c r="K196" s="137">
        <f t="shared" si="48"/>
        <v>0.4</v>
      </c>
      <c r="L196" s="137">
        <f t="shared" si="48"/>
        <v>0.4</v>
      </c>
      <c r="M196" s="137">
        <f t="shared" si="48"/>
        <v>0.4</v>
      </c>
      <c r="N196" s="137">
        <f t="shared" si="48"/>
        <v>0.4</v>
      </c>
      <c r="O196" s="137">
        <f t="shared" si="48"/>
        <v>0.4</v>
      </c>
      <c r="P196" s="137">
        <f t="shared" si="48"/>
        <v>0.4</v>
      </c>
      <c r="Q196" s="137">
        <f t="shared" si="48"/>
        <v>0.4</v>
      </c>
      <c r="R196" s="137">
        <f t="shared" si="48"/>
        <v>0.4</v>
      </c>
      <c r="S196" s="137">
        <f t="shared" si="49"/>
        <v>0.4</v>
      </c>
      <c r="T196" s="137">
        <f t="shared" si="49"/>
        <v>0.4</v>
      </c>
      <c r="U196" s="137">
        <f t="shared" si="49"/>
        <v>0.4</v>
      </c>
      <c r="V196" s="137">
        <f t="shared" si="49"/>
        <v>0.4</v>
      </c>
      <c r="W196" s="137">
        <f t="shared" si="49"/>
        <v>0.4</v>
      </c>
      <c r="X196" s="137">
        <f t="shared" si="49"/>
        <v>0.4</v>
      </c>
      <c r="Y196" s="137">
        <f t="shared" si="49"/>
        <v>0.4</v>
      </c>
      <c r="Z196" s="137">
        <f t="shared" si="49"/>
        <v>0.4</v>
      </c>
      <c r="AA196" s="137">
        <f t="shared" si="49"/>
        <v>0.4</v>
      </c>
      <c r="AB196" s="137">
        <f t="shared" si="49"/>
        <v>0.4</v>
      </c>
      <c r="AC196" s="137">
        <f t="shared" si="49"/>
        <v>0.4</v>
      </c>
      <c r="AD196" s="137">
        <f t="shared" si="49"/>
        <v>0.4</v>
      </c>
      <c r="AE196" s="137">
        <f t="shared" si="49"/>
        <v>0.4</v>
      </c>
      <c r="AF196" s="137">
        <f t="shared" si="49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8"/>
        <v>0.64</v>
      </c>
      <c r="D197" s="146">
        <f t="shared" si="48"/>
        <v>0.64</v>
      </c>
      <c r="E197" s="146">
        <f t="shared" si="48"/>
        <v>0.64</v>
      </c>
      <c r="F197" s="146">
        <f t="shared" si="48"/>
        <v>0.64</v>
      </c>
      <c r="G197" s="146">
        <f t="shared" si="48"/>
        <v>0.64</v>
      </c>
      <c r="H197" s="146">
        <f t="shared" si="48"/>
        <v>0.64</v>
      </c>
      <c r="I197" s="146">
        <f t="shared" si="48"/>
        <v>0.64</v>
      </c>
      <c r="J197" s="146">
        <f t="shared" si="48"/>
        <v>0.64</v>
      </c>
      <c r="K197" s="146">
        <f t="shared" si="48"/>
        <v>0.64</v>
      </c>
      <c r="L197" s="146">
        <f t="shared" si="48"/>
        <v>0.64</v>
      </c>
      <c r="M197" s="146">
        <f t="shared" si="48"/>
        <v>0.64</v>
      </c>
      <c r="N197" s="146">
        <f t="shared" si="48"/>
        <v>0.64</v>
      </c>
      <c r="O197" s="146">
        <f t="shared" si="48"/>
        <v>0.64</v>
      </c>
      <c r="P197" s="146">
        <f t="shared" si="48"/>
        <v>0.64</v>
      </c>
      <c r="Q197" s="146">
        <f t="shared" si="48"/>
        <v>0.64</v>
      </c>
      <c r="R197" s="146">
        <f t="shared" si="48"/>
        <v>0.64</v>
      </c>
      <c r="S197" s="146">
        <f t="shared" si="49"/>
        <v>0.64</v>
      </c>
      <c r="T197" s="146">
        <f t="shared" si="49"/>
        <v>0.64</v>
      </c>
      <c r="U197" s="146">
        <f t="shared" si="49"/>
        <v>0.64</v>
      </c>
      <c r="V197" s="146">
        <f t="shared" si="49"/>
        <v>0.64</v>
      </c>
      <c r="W197" s="146">
        <f t="shared" si="49"/>
        <v>0.64</v>
      </c>
      <c r="X197" s="146">
        <f t="shared" si="49"/>
        <v>0.64</v>
      </c>
      <c r="Y197" s="146">
        <f t="shared" si="49"/>
        <v>0.64</v>
      </c>
      <c r="Z197" s="146">
        <f t="shared" si="49"/>
        <v>0.64</v>
      </c>
      <c r="AA197" s="146">
        <f t="shared" si="49"/>
        <v>0.64</v>
      </c>
      <c r="AB197" s="146">
        <f t="shared" si="49"/>
        <v>0.64</v>
      </c>
      <c r="AC197" s="146">
        <f t="shared" si="49"/>
        <v>0.64</v>
      </c>
      <c r="AD197" s="146">
        <f t="shared" si="49"/>
        <v>0.64</v>
      </c>
      <c r="AE197" s="146">
        <f t="shared" si="49"/>
        <v>0.64</v>
      </c>
      <c r="AF197" s="146">
        <f t="shared" si="49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50">SUM(C192:C197)</f>
        <v>3.54</v>
      </c>
      <c r="D198" s="149">
        <f t="shared" si="50"/>
        <v>3.54</v>
      </c>
      <c r="E198" s="149">
        <f t="shared" si="50"/>
        <v>3.54</v>
      </c>
      <c r="F198" s="149">
        <f t="shared" si="50"/>
        <v>3.54</v>
      </c>
      <c r="G198" s="149">
        <f t="shared" si="50"/>
        <v>3.54</v>
      </c>
      <c r="H198" s="149">
        <f t="shared" si="50"/>
        <v>3.54</v>
      </c>
      <c r="I198" s="149">
        <f t="shared" si="50"/>
        <v>3.54</v>
      </c>
      <c r="J198" s="149">
        <f t="shared" si="50"/>
        <v>3.54</v>
      </c>
      <c r="K198" s="149">
        <f t="shared" si="50"/>
        <v>3.54</v>
      </c>
      <c r="L198" s="149">
        <f>SUM(L192:L197)</f>
        <v>3.54</v>
      </c>
      <c r="M198" s="149">
        <f t="shared" ref="M198:R198" si="51">SUM(M192:M197)</f>
        <v>3.54</v>
      </c>
      <c r="N198" s="149">
        <f t="shared" si="51"/>
        <v>3.54</v>
      </c>
      <c r="O198" s="149">
        <f t="shared" si="51"/>
        <v>3.54</v>
      </c>
      <c r="P198" s="149">
        <f t="shared" si="51"/>
        <v>3.54</v>
      </c>
      <c r="Q198" s="149">
        <f t="shared" si="51"/>
        <v>3.54</v>
      </c>
      <c r="R198" s="149">
        <f t="shared" si="51"/>
        <v>3.54</v>
      </c>
      <c r="S198" s="149">
        <f>SUM(S192:S197)</f>
        <v>3.54</v>
      </c>
      <c r="T198" s="149">
        <f t="shared" ref="T198:AG198" si="52">SUM(T192:T197)</f>
        <v>3.54</v>
      </c>
      <c r="U198" s="149">
        <f t="shared" si="52"/>
        <v>3.54</v>
      </c>
      <c r="V198" s="149">
        <f t="shared" si="52"/>
        <v>3.54</v>
      </c>
      <c r="W198" s="149">
        <f t="shared" si="52"/>
        <v>3.54</v>
      </c>
      <c r="X198" s="149">
        <f t="shared" si="52"/>
        <v>3.54</v>
      </c>
      <c r="Y198" s="149">
        <f t="shared" si="52"/>
        <v>3.54</v>
      </c>
      <c r="Z198" s="149">
        <f t="shared" si="52"/>
        <v>3.54</v>
      </c>
      <c r="AA198" s="149">
        <f t="shared" si="52"/>
        <v>3.54</v>
      </c>
      <c r="AB198" s="149">
        <f t="shared" si="52"/>
        <v>3.54</v>
      </c>
      <c r="AC198" s="149">
        <f t="shared" si="52"/>
        <v>3.54</v>
      </c>
      <c r="AD198" s="149">
        <f t="shared" si="52"/>
        <v>3.54</v>
      </c>
      <c r="AE198" s="149">
        <f t="shared" si="52"/>
        <v>3.54</v>
      </c>
      <c r="AF198" s="149">
        <f t="shared" si="52"/>
        <v>3.54</v>
      </c>
      <c r="AG198" s="150">
        <f t="shared" si="52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1047.6400000000001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27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2078/07/27)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2078/07/27)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3">B74</f>
        <v>750.93999999999994</v>
      </c>
      <c r="U212" s="173">
        <f t="shared" si="53"/>
        <v>759.13999999999987</v>
      </c>
      <c r="V212" s="173">
        <f t="shared" si="53"/>
        <v>729.53999999999985</v>
      </c>
      <c r="W212" s="173">
        <f t="shared" si="53"/>
        <v>736.93999999999983</v>
      </c>
      <c r="X212" s="173">
        <f t="shared" si="53"/>
        <v>802.93999999999983</v>
      </c>
      <c r="Y212" s="173">
        <f t="shared" si="53"/>
        <v>849.13999999999987</v>
      </c>
      <c r="Z212" s="173">
        <f t="shared" si="53"/>
        <v>910.24</v>
      </c>
      <c r="AA212" s="173">
        <f t="shared" si="53"/>
        <v>943.83999999999992</v>
      </c>
      <c r="AB212" s="173">
        <f t="shared" si="53"/>
        <v>1000.84</v>
      </c>
      <c r="AC212" s="173">
        <f t="shared" si="53"/>
        <v>1039.3400000000001</v>
      </c>
      <c r="AD212" s="173">
        <f t="shared" si="53"/>
        <v>1047.6400000000001</v>
      </c>
      <c r="AE212" s="173">
        <f t="shared" si="53"/>
        <v>1043.8400000000001</v>
      </c>
      <c r="AF212" s="173">
        <f t="shared" si="53"/>
        <v>955.24000000000012</v>
      </c>
      <c r="AG212" s="173">
        <f t="shared" si="53"/>
        <v>949.33999999999992</v>
      </c>
      <c r="AH212" s="173">
        <f t="shared" si="53"/>
        <v>916.74</v>
      </c>
      <c r="AI212" s="173">
        <f t="shared" si="53"/>
        <v>902.04</v>
      </c>
      <c r="AJ212" s="173">
        <f t="shared" si="53"/>
        <v>835.14</v>
      </c>
      <c r="AK212" s="173">
        <f t="shared" si="53"/>
        <v>835.64</v>
      </c>
      <c r="AL212" s="173">
        <f t="shared" si="53"/>
        <v>868.84</v>
      </c>
      <c r="AM212" s="173">
        <f t="shared" si="53"/>
        <v>939.84</v>
      </c>
      <c r="AN212" s="173">
        <f t="shared" si="53"/>
        <v>1123.94</v>
      </c>
      <c r="AO212" s="173">
        <f t="shared" si="53"/>
        <v>1226.44</v>
      </c>
      <c r="AP212" s="173">
        <f t="shared" si="53"/>
        <v>1189.8400000000001</v>
      </c>
      <c r="AQ212" s="173">
        <f t="shared" si="53"/>
        <v>1145.24</v>
      </c>
      <c r="AR212" s="173">
        <f t="shared" si="53"/>
        <v>1057.8400000000001</v>
      </c>
      <c r="AS212" s="173">
        <f t="shared" si="53"/>
        <v>1048.74</v>
      </c>
      <c r="AT212" s="173">
        <f t="shared" si="53"/>
        <v>982.64</v>
      </c>
      <c r="AU212" s="173">
        <f t="shared" si="53"/>
        <v>888.44</v>
      </c>
      <c r="AV212" s="173">
        <f t="shared" si="53"/>
        <v>772.54</v>
      </c>
      <c r="AW212" s="173">
        <f t="shared" si="53"/>
        <v>769.84</v>
      </c>
      <c r="AX212" s="173">
        <f t="shared" si="53"/>
        <v>747.74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4">B197</f>
        <v>0.64</v>
      </c>
      <c r="C233" s="176">
        <f t="shared" si="54"/>
        <v>0.64</v>
      </c>
      <c r="D233" s="176">
        <f t="shared" si="54"/>
        <v>0.64</v>
      </c>
      <c r="E233" s="176">
        <f t="shared" si="54"/>
        <v>0.64</v>
      </c>
      <c r="F233" s="176">
        <f t="shared" si="54"/>
        <v>0.64</v>
      </c>
      <c r="G233" s="176">
        <f t="shared" si="54"/>
        <v>0.64</v>
      </c>
      <c r="H233" s="176">
        <f t="shared" si="54"/>
        <v>0.64</v>
      </c>
      <c r="I233" s="176">
        <f t="shared" si="54"/>
        <v>0.64</v>
      </c>
      <c r="J233" s="176">
        <f t="shared" si="54"/>
        <v>0.64</v>
      </c>
      <c r="K233" s="176">
        <f t="shared" si="54"/>
        <v>0.64</v>
      </c>
      <c r="L233" s="176">
        <f t="shared" si="54"/>
        <v>0.64</v>
      </c>
      <c r="M233" s="176">
        <f t="shared" si="54"/>
        <v>0.64</v>
      </c>
      <c r="N233" s="176">
        <f t="shared" si="54"/>
        <v>0.64</v>
      </c>
      <c r="O233" s="176">
        <f t="shared" si="54"/>
        <v>0.64</v>
      </c>
      <c r="P233" s="176">
        <f t="shared" si="54"/>
        <v>0.64</v>
      </c>
      <c r="Q233" s="176">
        <f t="shared" si="54"/>
        <v>0.64</v>
      </c>
      <c r="R233" s="176">
        <f t="shared" si="54"/>
        <v>0.64</v>
      </c>
      <c r="S233" s="176">
        <f t="shared" si="54"/>
        <v>0.64</v>
      </c>
      <c r="T233" s="176">
        <f t="shared" si="54"/>
        <v>0.64</v>
      </c>
      <c r="U233" s="176">
        <f t="shared" si="54"/>
        <v>0.64</v>
      </c>
      <c r="V233" s="176">
        <f t="shared" si="54"/>
        <v>0.64</v>
      </c>
      <c r="W233" s="176">
        <f t="shared" si="54"/>
        <v>0.64</v>
      </c>
      <c r="X233" s="176">
        <f t="shared" si="54"/>
        <v>0.64</v>
      </c>
      <c r="Y233" s="176">
        <f t="shared" si="54"/>
        <v>0.64</v>
      </c>
      <c r="Z233" s="176">
        <f t="shared" si="54"/>
        <v>0.64</v>
      </c>
      <c r="AA233" s="176">
        <f t="shared" si="54"/>
        <v>0.64</v>
      </c>
      <c r="AB233" s="176">
        <f t="shared" si="54"/>
        <v>0.64</v>
      </c>
      <c r="AC233" s="176">
        <f t="shared" si="54"/>
        <v>0.64</v>
      </c>
      <c r="AD233" s="176">
        <f t="shared" si="54"/>
        <v>0.64</v>
      </c>
      <c r="AE233" s="176">
        <f t="shared" si="54"/>
        <v>0.64</v>
      </c>
      <c r="AF233" s="176">
        <f t="shared" si="54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5">IF(C201&lt;100,"",C201-520)</f>
        <v/>
      </c>
      <c r="D234" s="120" t="str">
        <f t="shared" si="55"/>
        <v/>
      </c>
      <c r="E234" s="120" t="str">
        <f t="shared" si="55"/>
        <v/>
      </c>
      <c r="F234" s="120" t="str">
        <f t="shared" si="55"/>
        <v/>
      </c>
      <c r="G234" s="120" t="str">
        <f t="shared" si="55"/>
        <v/>
      </c>
      <c r="H234" s="120" t="str">
        <f t="shared" si="55"/>
        <v/>
      </c>
      <c r="I234" s="120" t="str">
        <f t="shared" si="55"/>
        <v/>
      </c>
      <c r="J234" s="120" t="str">
        <f t="shared" si="55"/>
        <v/>
      </c>
      <c r="K234" s="120" t="str">
        <f t="shared" si="55"/>
        <v/>
      </c>
      <c r="L234" s="120" t="str">
        <f t="shared" si="55"/>
        <v/>
      </c>
      <c r="M234" s="120" t="str">
        <f t="shared" si="55"/>
        <v/>
      </c>
      <c r="N234" s="120" t="str">
        <f t="shared" si="55"/>
        <v/>
      </c>
      <c r="O234" s="120" t="str">
        <f t="shared" si="55"/>
        <v/>
      </c>
      <c r="P234" s="120" t="str">
        <f t="shared" si="55"/>
        <v/>
      </c>
      <c r="Q234" s="120" t="str">
        <f t="shared" si="55"/>
        <v/>
      </c>
      <c r="R234" s="120" t="str">
        <f t="shared" si="55"/>
        <v/>
      </c>
      <c r="S234" s="120" t="str">
        <f t="shared" si="55"/>
        <v/>
      </c>
      <c r="T234" s="120" t="str">
        <f t="shared" si="55"/>
        <v/>
      </c>
      <c r="U234" s="120" t="str">
        <f t="shared" si="55"/>
        <v/>
      </c>
      <c r="V234" s="120" t="str">
        <f t="shared" si="55"/>
        <v/>
      </c>
      <c r="W234" s="120" t="str">
        <f t="shared" si="55"/>
        <v/>
      </c>
      <c r="X234" s="120" t="str">
        <f t="shared" si="55"/>
        <v/>
      </c>
      <c r="Y234" s="120" t="str">
        <f t="shared" si="55"/>
        <v/>
      </c>
      <c r="Z234" s="120" t="str">
        <f t="shared" si="55"/>
        <v/>
      </c>
      <c r="AA234" s="120" t="str">
        <f t="shared" si="55"/>
        <v/>
      </c>
      <c r="AB234" s="120" t="str">
        <f t="shared" si="55"/>
        <v/>
      </c>
      <c r="AC234" s="120" t="str">
        <f t="shared" si="55"/>
        <v/>
      </c>
      <c r="AD234" s="120" t="str">
        <f t="shared" si="55"/>
        <v/>
      </c>
      <c r="AE234" s="120" t="str">
        <f t="shared" si="55"/>
        <v/>
      </c>
      <c r="AF234" s="120" t="str">
        <f t="shared" si="55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6">IF(B202&lt;100,"",B202-620)</f>
        <v/>
      </c>
      <c r="C235" s="120" t="str">
        <f t="shared" si="56"/>
        <v/>
      </c>
      <c r="D235" s="120" t="str">
        <f t="shared" si="56"/>
        <v/>
      </c>
      <c r="E235" s="120" t="str">
        <f t="shared" si="56"/>
        <v/>
      </c>
      <c r="F235" s="120" t="str">
        <f t="shared" si="56"/>
        <v/>
      </c>
      <c r="G235" s="120" t="str">
        <f t="shared" si="56"/>
        <v/>
      </c>
      <c r="H235" s="120" t="str">
        <f t="shared" si="56"/>
        <v/>
      </c>
      <c r="I235" s="120" t="str">
        <f t="shared" si="56"/>
        <v/>
      </c>
      <c r="J235" s="120" t="str">
        <f t="shared" si="56"/>
        <v/>
      </c>
      <c r="K235" s="120" t="str">
        <f t="shared" si="56"/>
        <v/>
      </c>
      <c r="L235" s="120" t="str">
        <f t="shared" si="56"/>
        <v/>
      </c>
      <c r="M235" s="120" t="str">
        <f t="shared" si="56"/>
        <v/>
      </c>
      <c r="N235" s="120" t="str">
        <f t="shared" si="56"/>
        <v/>
      </c>
      <c r="O235" s="120" t="str">
        <f t="shared" si="56"/>
        <v/>
      </c>
      <c r="P235" s="120" t="str">
        <f t="shared" si="56"/>
        <v/>
      </c>
      <c r="Q235" s="120" t="str">
        <f t="shared" si="56"/>
        <v/>
      </c>
      <c r="R235" s="120" t="str">
        <f t="shared" si="56"/>
        <v/>
      </c>
      <c r="S235" s="120" t="str">
        <f t="shared" si="56"/>
        <v/>
      </c>
      <c r="T235" s="120" t="str">
        <f t="shared" si="56"/>
        <v/>
      </c>
      <c r="U235" s="120" t="str">
        <f t="shared" si="56"/>
        <v/>
      </c>
      <c r="V235" s="120" t="str">
        <f t="shared" si="56"/>
        <v/>
      </c>
      <c r="W235" s="120" t="str">
        <f t="shared" si="56"/>
        <v/>
      </c>
      <c r="X235" s="120" t="str">
        <f t="shared" si="56"/>
        <v/>
      </c>
      <c r="Y235" s="120" t="str">
        <f t="shared" si="56"/>
        <v/>
      </c>
      <c r="Z235" s="120" t="str">
        <f t="shared" si="56"/>
        <v/>
      </c>
      <c r="AA235" s="120" t="str">
        <f t="shared" si="56"/>
        <v/>
      </c>
      <c r="AB235" s="120" t="str">
        <f t="shared" si="56"/>
        <v/>
      </c>
      <c r="AC235" s="120" t="str">
        <f t="shared" si="56"/>
        <v/>
      </c>
      <c r="AD235" s="120" t="str">
        <f t="shared" si="56"/>
        <v/>
      </c>
      <c r="AE235" s="120" t="str">
        <f t="shared" si="56"/>
        <v/>
      </c>
      <c r="AF235" s="120" t="str">
        <f t="shared" si="56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7">IF(B203&lt;100,"",B203-330)</f>
        <v/>
      </c>
      <c r="C236" s="120" t="str">
        <f t="shared" si="57"/>
        <v/>
      </c>
      <c r="D236" s="120" t="str">
        <f t="shared" si="57"/>
        <v/>
      </c>
      <c r="E236" s="120" t="str">
        <f t="shared" si="57"/>
        <v/>
      </c>
      <c r="F236" s="120" t="str">
        <f t="shared" si="57"/>
        <v/>
      </c>
      <c r="G236" s="120" t="str">
        <f t="shared" si="57"/>
        <v/>
      </c>
      <c r="H236" s="120" t="str">
        <f t="shared" si="57"/>
        <v/>
      </c>
      <c r="I236" s="120" t="str">
        <f t="shared" si="57"/>
        <v/>
      </c>
      <c r="J236" s="120" t="str">
        <f t="shared" si="57"/>
        <v/>
      </c>
      <c r="K236" s="120" t="str">
        <f t="shared" si="57"/>
        <v/>
      </c>
      <c r="L236" s="120" t="str">
        <f t="shared" si="57"/>
        <v/>
      </c>
      <c r="M236" s="120" t="str">
        <f t="shared" si="57"/>
        <v/>
      </c>
      <c r="N236" s="120" t="str">
        <f t="shared" si="57"/>
        <v/>
      </c>
      <c r="O236" s="120" t="str">
        <f t="shared" si="57"/>
        <v/>
      </c>
      <c r="P236" s="120" t="str">
        <f t="shared" si="57"/>
        <v/>
      </c>
      <c r="Q236" s="120" t="str">
        <f t="shared" si="57"/>
        <v/>
      </c>
      <c r="R236" s="120" t="str">
        <f t="shared" si="57"/>
        <v/>
      </c>
      <c r="S236" s="120" t="str">
        <f t="shared" si="57"/>
        <v/>
      </c>
      <c r="T236" s="120" t="str">
        <f t="shared" si="57"/>
        <v/>
      </c>
      <c r="U236" s="120" t="str">
        <f t="shared" si="57"/>
        <v/>
      </c>
      <c r="V236" s="120" t="str">
        <f t="shared" si="57"/>
        <v/>
      </c>
      <c r="W236" s="120" t="str">
        <f t="shared" si="57"/>
        <v/>
      </c>
      <c r="X236" s="120" t="str">
        <f t="shared" si="57"/>
        <v/>
      </c>
      <c r="Y236" s="120" t="str">
        <f t="shared" si="57"/>
        <v/>
      </c>
      <c r="Z236" s="120" t="str">
        <f t="shared" si="57"/>
        <v/>
      </c>
      <c r="AA236" s="120" t="str">
        <f t="shared" si="57"/>
        <v/>
      </c>
      <c r="AB236" s="120" t="str">
        <f t="shared" si="57"/>
        <v/>
      </c>
      <c r="AC236" s="120" t="str">
        <f t="shared" si="57"/>
        <v/>
      </c>
      <c r="AD236" s="120" t="str">
        <f t="shared" si="57"/>
        <v/>
      </c>
      <c r="AE236" s="120" t="str">
        <f t="shared" si="57"/>
        <v/>
      </c>
      <c r="AF236" s="120" t="str">
        <f t="shared" si="57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8">IF(C204&lt;100,"",C204-1500)</f>
        <v/>
      </c>
      <c r="D237" s="120" t="str">
        <f t="shared" si="58"/>
        <v/>
      </c>
      <c r="E237" s="120" t="str">
        <f t="shared" si="58"/>
        <v/>
      </c>
      <c r="F237" s="120" t="str">
        <f t="shared" si="58"/>
        <v/>
      </c>
      <c r="G237" s="120" t="str">
        <f t="shared" si="58"/>
        <v/>
      </c>
      <c r="H237" s="120" t="str">
        <f t="shared" si="58"/>
        <v/>
      </c>
      <c r="I237" s="120" t="str">
        <f t="shared" si="58"/>
        <v/>
      </c>
      <c r="J237" s="120" t="str">
        <f t="shared" si="58"/>
        <v/>
      </c>
      <c r="K237" s="120" t="str">
        <f t="shared" si="58"/>
        <v/>
      </c>
      <c r="L237" s="120" t="str">
        <f t="shared" si="58"/>
        <v/>
      </c>
      <c r="M237" s="120" t="str">
        <f t="shared" si="58"/>
        <v/>
      </c>
      <c r="N237" s="120" t="str">
        <f t="shared" si="58"/>
        <v/>
      </c>
      <c r="O237" s="120" t="str">
        <f t="shared" si="58"/>
        <v/>
      </c>
      <c r="P237" s="120" t="str">
        <f t="shared" si="58"/>
        <v/>
      </c>
      <c r="Q237" s="120" t="str">
        <f t="shared" si="58"/>
        <v/>
      </c>
      <c r="R237" s="120" t="str">
        <f t="shared" si="58"/>
        <v/>
      </c>
      <c r="S237" s="120" t="str">
        <f t="shared" si="58"/>
        <v/>
      </c>
      <c r="T237" s="120" t="str">
        <f t="shared" si="58"/>
        <v/>
      </c>
      <c r="U237" s="120" t="str">
        <f t="shared" si="58"/>
        <v/>
      </c>
      <c r="V237" s="120" t="str">
        <f t="shared" si="58"/>
        <v/>
      </c>
      <c r="W237" s="120" t="str">
        <f t="shared" si="58"/>
        <v/>
      </c>
      <c r="X237" s="120" t="str">
        <f t="shared" si="58"/>
        <v/>
      </c>
      <c r="Y237" s="120" t="str">
        <f t="shared" si="58"/>
        <v/>
      </c>
      <c r="Z237" s="120" t="str">
        <f t="shared" si="58"/>
        <v/>
      </c>
      <c r="AA237" s="120" t="str">
        <f t="shared" si="58"/>
        <v/>
      </c>
      <c r="AB237" s="120" t="str">
        <f t="shared" si="58"/>
        <v/>
      </c>
      <c r="AC237" s="120" t="str">
        <f t="shared" si="58"/>
        <v/>
      </c>
      <c r="AD237" s="120" t="str">
        <f t="shared" si="58"/>
        <v/>
      </c>
      <c r="AE237" s="120" t="str">
        <f t="shared" si="58"/>
        <v/>
      </c>
      <c r="AF237" s="120" t="str">
        <f t="shared" si="58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7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676" priority="372">
      <formula>S$9&gt;=20/24</formula>
    </cfRule>
    <cfRule type="expression" dxfId="1675" priority="373">
      <formula>AND(S$9&gt;=14/24,S$9&lt;20/24)</formula>
    </cfRule>
    <cfRule type="expression" dxfId="1674" priority="374">
      <formula>AND(S$9&gt;=8/24,S$9&lt;14/24)</formula>
    </cfRule>
    <cfRule type="expression" dxfId="1673" priority="375">
      <formula>S$9&lt;8/24</formula>
    </cfRule>
  </conditionalFormatting>
  <conditionalFormatting sqref="B8:AF10 AA80:AF80 B80:Q80 B55:V55 B81:AF81 C192:AF198 B67:V71 T211:AX211 O38:Q38 O39:P41 Q41 U39:V41 B73:AF77 B79:AF79 B56:K60 B62:K66 L57:M60 L38:N41 P11:S11 N11:O14 N36:Q36 P12:R14 S12 N16:T32 Q39:T40 T11:V12 S14:V14 U17:V32 N44:V46 L52:V54 N57:V66 X67:AF71 X55:AF55 W84:AB90 X11:AF11 AD52:AF54 AC83:AF90 N47:AF47">
    <cfRule type="expression" dxfId="1672" priority="368">
      <formula>B$9&gt;=20/24</formula>
    </cfRule>
    <cfRule type="expression" dxfId="1671" priority="369">
      <formula>AND(B$9&gt;=14/24,B$9&lt;20/24)</formula>
    </cfRule>
    <cfRule type="expression" dxfId="1670" priority="370">
      <formula>AND(B$9&gt;=8/24,B$9&lt;14/24)</formula>
    </cfRule>
    <cfRule type="expression" dxfId="1669" priority="371">
      <formula>B$9&lt;8/24</formula>
    </cfRule>
  </conditionalFormatting>
  <conditionalFormatting sqref="B190:AF190">
    <cfRule type="expression" dxfId="1668" priority="364">
      <formula>B$9&gt;=20/24</formula>
    </cfRule>
    <cfRule type="expression" dxfId="1667" priority="365">
      <formula>AND(B$9&gt;=14/24,B$9&lt;20/24)</formula>
    </cfRule>
    <cfRule type="expression" dxfId="1666" priority="366">
      <formula>AND(B$9&gt;=8/24,B$9&lt;14/24)</formula>
    </cfRule>
    <cfRule type="expression" dxfId="1665" priority="367">
      <formula>B$9&lt;8/24</formula>
    </cfRule>
  </conditionalFormatting>
  <conditionalFormatting sqref="L56:V56">
    <cfRule type="expression" dxfId="1664" priority="359">
      <formula>L$9&gt;=20/24</formula>
    </cfRule>
    <cfRule type="expression" dxfId="1663" priority="360">
      <formula>AND(L$9&gt;=14/24,L$9&lt;20/24)</formula>
    </cfRule>
    <cfRule type="expression" dxfId="1662" priority="361">
      <formula>AND(L$9&gt;=8/24,L$9&lt;14/24)</formula>
    </cfRule>
    <cfRule type="expression" dxfId="1661" priority="362">
      <formula>L$9&lt;8/24</formula>
    </cfRule>
  </conditionalFormatting>
  <conditionalFormatting sqref="L42:U42">
    <cfRule type="expression" dxfId="1660" priority="355">
      <formula>L$9&gt;=20/24</formula>
    </cfRule>
    <cfRule type="expression" dxfId="1659" priority="356">
      <formula>AND(L$9&gt;=14/24,L$9&lt;20/24)</formula>
    </cfRule>
    <cfRule type="expression" dxfId="1658" priority="357">
      <formula>AND(L$9&gt;=8/24,L$9&lt;14/24)</formula>
    </cfRule>
    <cfRule type="expression" dxfId="1657" priority="358">
      <formula>L$9&lt;8/24</formula>
    </cfRule>
  </conditionalFormatting>
  <conditionalFormatting sqref="R38:V38">
    <cfRule type="expression" dxfId="1656" priority="347">
      <formula>R$9&gt;=20/24</formula>
    </cfRule>
    <cfRule type="expression" dxfId="1655" priority="348">
      <formula>AND(R$9&gt;=14/24,R$9&lt;20/24)</formula>
    </cfRule>
    <cfRule type="expression" dxfId="1654" priority="349">
      <formula>AND(R$9&gt;=8/24,R$9&lt;14/24)</formula>
    </cfRule>
    <cfRule type="expression" dxfId="1653" priority="350">
      <formula>R$9&lt;8/24</formula>
    </cfRule>
  </conditionalFormatting>
  <conditionalFormatting sqref="R80:Z80">
    <cfRule type="expression" dxfId="1652" priority="339">
      <formula>R$9&gt;=20/24</formula>
    </cfRule>
    <cfRule type="expression" dxfId="1651" priority="340">
      <formula>AND(R$9&gt;=14/24,R$9&lt;20/24)</formula>
    </cfRule>
    <cfRule type="expression" dxfId="1650" priority="341">
      <formula>AND(R$9&gt;=8/24,R$9&lt;14/24)</formula>
    </cfRule>
    <cfRule type="expression" dxfId="1649" priority="342">
      <formula>R$9&lt;8/24</formula>
    </cfRule>
  </conditionalFormatting>
  <conditionalFormatting sqref="U83:AB83">
    <cfRule type="expression" dxfId="1648" priority="335">
      <formula>U$9&gt;=20/24</formula>
    </cfRule>
    <cfRule type="expression" dxfId="1647" priority="336">
      <formula>AND(U$9&gt;=14/24,U$9&lt;20/24)</formula>
    </cfRule>
    <cfRule type="expression" dxfId="1646" priority="337">
      <formula>AND(U$9&gt;=8/24,U$9&lt;14/24)</formula>
    </cfRule>
    <cfRule type="expression" dxfId="1645" priority="338">
      <formula>U$9&lt;8/24</formula>
    </cfRule>
  </conditionalFormatting>
  <conditionalFormatting sqref="N34:V34 Q58:V58">
    <cfRule type="expression" dxfId="1644" priority="331">
      <formula>N$9&gt;=20/24</formula>
    </cfRule>
    <cfRule type="expression" dxfId="1643" priority="332">
      <formula>AND(N$9&gt;=14/24,N$9&lt;20/24)</formula>
    </cfRule>
    <cfRule type="expression" dxfId="1642" priority="333">
      <formula>AND(N$9&gt;=8/24,N$9&lt;14/24)</formula>
    </cfRule>
    <cfRule type="expression" dxfId="1641" priority="334">
      <formula>N$9&lt;8/24</formula>
    </cfRule>
  </conditionalFormatting>
  <conditionalFormatting sqref="L48:AF48">
    <cfRule type="expression" dxfId="1640" priority="327">
      <formula>L$9&gt;=20/24</formula>
    </cfRule>
    <cfRule type="expression" dxfId="1639" priority="328">
      <formula>AND(L$9&gt;=14/24,L$9&lt;20/24)</formula>
    </cfRule>
    <cfRule type="expression" dxfId="1638" priority="329">
      <formula>AND(L$9&gt;=8/24,L$9&lt;14/24)</formula>
    </cfRule>
    <cfRule type="expression" dxfId="1637" priority="330">
      <formula>L$9&lt;8/24</formula>
    </cfRule>
  </conditionalFormatting>
  <conditionalFormatting sqref="L49:V49">
    <cfRule type="expression" dxfId="1636" priority="323">
      <formula>L$9&gt;=20/24</formula>
    </cfRule>
    <cfRule type="expression" dxfId="1635" priority="324">
      <formula>AND(L$9&gt;=14/24,L$9&lt;20/24)</formula>
    </cfRule>
    <cfRule type="expression" dxfId="1634" priority="325">
      <formula>AND(L$9&gt;=8/24,L$9&lt;14/24)</formula>
    </cfRule>
    <cfRule type="expression" dxfId="1633" priority="326">
      <formula>L$9&lt;8/24</formula>
    </cfRule>
  </conditionalFormatting>
  <conditionalFormatting sqref="L44:V46 B47:AF47">
    <cfRule type="expression" dxfId="1632" priority="319">
      <formula>B$9&gt;=20/24</formula>
    </cfRule>
    <cfRule type="expression" dxfId="1631" priority="320">
      <formula>AND(B$9&gt;=14/24,B$9&lt;20/24)</formula>
    </cfRule>
    <cfRule type="expression" dxfId="1630" priority="321">
      <formula>AND(B$9&gt;=8/24,B$9&lt;14/24)</formula>
    </cfRule>
    <cfRule type="expression" dxfId="1629" priority="322">
      <formula>B$9&lt;8/24</formula>
    </cfRule>
  </conditionalFormatting>
  <conditionalFormatting sqref="R36:V36">
    <cfRule type="expression" dxfId="1628" priority="315">
      <formula>R$9&gt;=20/24</formula>
    </cfRule>
    <cfRule type="expression" dxfId="1627" priority="316">
      <formula>AND(R$9&gt;=14/24,R$9&lt;20/24)</formula>
    </cfRule>
    <cfRule type="expression" dxfId="1626" priority="317">
      <formula>AND(R$9&gt;=8/24,R$9&lt;14/24)</formula>
    </cfRule>
    <cfRule type="expression" dxfId="1625" priority="318">
      <formula>R$9&lt;8/24</formula>
    </cfRule>
  </conditionalFormatting>
  <conditionalFormatting sqref="V42 R41:T41">
    <cfRule type="expression" dxfId="1624" priority="307">
      <formula>R$9&gt;=20/24</formula>
    </cfRule>
    <cfRule type="expression" dxfId="1623" priority="308">
      <formula>AND(R$9&gt;=14/24,R$9&lt;20/24)</formula>
    </cfRule>
    <cfRule type="expression" dxfId="1622" priority="309">
      <formula>AND(R$9&gt;=8/24,R$9&lt;14/24)</formula>
    </cfRule>
    <cfRule type="expression" dxfId="1621" priority="310">
      <formula>R$9&lt;8/24</formula>
    </cfRule>
  </conditionalFormatting>
  <conditionalFormatting sqref="B61:K61">
    <cfRule type="expression" dxfId="1620" priority="287">
      <formula>B$9&gt;=20/24</formula>
    </cfRule>
    <cfRule type="expression" dxfId="1619" priority="288">
      <formula>AND(B$9&gt;=14/24,B$9&lt;20/24)</formula>
    </cfRule>
    <cfRule type="expression" dxfId="1618" priority="289">
      <formula>AND(B$9&gt;=8/24,B$9&lt;14/24)</formula>
    </cfRule>
    <cfRule type="expression" dxfId="1617" priority="290">
      <formula>B$9&lt;8/24</formula>
    </cfRule>
  </conditionalFormatting>
  <conditionalFormatting sqref="U93:AF96">
    <cfRule type="expression" dxfId="1616" priority="283">
      <formula>U$9&gt;=20/24</formula>
    </cfRule>
    <cfRule type="expression" dxfId="1615" priority="284">
      <formula>AND(U$9&gt;=14/24,U$9&lt;20/24)</formula>
    </cfRule>
    <cfRule type="expression" dxfId="1614" priority="285">
      <formula>AND(U$9&gt;=8/24,U$9&lt;14/24)</formula>
    </cfRule>
    <cfRule type="expression" dxfId="1613" priority="286">
      <formula>U$9&lt;8/24</formula>
    </cfRule>
  </conditionalFormatting>
  <conditionalFormatting sqref="AG50 B16:K32 B11:K14 B34:K36 P11:S11 N11:O14 P12:R14 S12 N16:T32 B37:V42 T11:V12 S14:V14 U17:V32 N34:V36 X37:AF37 B44:V46 X55:AF55 X11:AF11 X50:AF51 AD52:AF54 B49:V55 B47:AF48">
    <cfRule type="expression" dxfId="1612" priority="282">
      <formula>B11&gt;$AG11</formula>
    </cfRule>
  </conditionalFormatting>
  <conditionalFormatting sqref="A99:A155 A83:A96 A11:A14 A16:A32 A44:A71 A79:A81 A73:A77 A34:A42 A168:A199">
    <cfRule type="expression" dxfId="1611" priority="281">
      <formula>$AH11=0</formula>
    </cfRule>
  </conditionalFormatting>
  <conditionalFormatting sqref="U97:AF97">
    <cfRule type="expression" dxfId="1610" priority="273">
      <formula>U$9&gt;=20/24</formula>
    </cfRule>
    <cfRule type="expression" dxfId="1609" priority="274">
      <formula>AND(U$9&gt;=14/24,U$9&lt;20/24)</formula>
    </cfRule>
    <cfRule type="expression" dxfId="1608" priority="275">
      <formula>AND(U$9&gt;=8/24,U$9&lt;14/24)</formula>
    </cfRule>
    <cfRule type="expression" dxfId="1607" priority="276">
      <formula>U$9&lt;8/24</formula>
    </cfRule>
  </conditionalFormatting>
  <conditionalFormatting sqref="A97">
    <cfRule type="expression" dxfId="1606" priority="272">
      <formula>$AH97=0</formula>
    </cfRule>
  </conditionalFormatting>
  <conditionalFormatting sqref="G35:K35 N35:V35">
    <cfRule type="expression" dxfId="1605" priority="268">
      <formula>G$9&gt;=20/24</formula>
    </cfRule>
    <cfRule type="expression" dxfId="1604" priority="269">
      <formula>AND(G$9&gt;=14/24,G$9&lt;20/24)</formula>
    </cfRule>
    <cfRule type="expression" dxfId="1603" priority="270">
      <formula>AND(G$9&gt;=8/24,G$9&lt;14/24)</formula>
    </cfRule>
    <cfRule type="expression" dxfId="1602" priority="271">
      <formula>G$9&lt;8/24</formula>
    </cfRule>
  </conditionalFormatting>
  <conditionalFormatting sqref="B35:K35">
    <cfRule type="expression" dxfId="1601" priority="260">
      <formula>B$9&gt;=20/24</formula>
    </cfRule>
    <cfRule type="expression" dxfId="1600" priority="261">
      <formula>AND(B$9&gt;=14/24,B$9&lt;20/24)</formula>
    </cfRule>
    <cfRule type="expression" dxfId="1599" priority="262">
      <formula>AND(B$9&gt;=8/24,B$9&lt;14/24)</formula>
    </cfRule>
    <cfRule type="expression" dxfId="1598" priority="263">
      <formula>B$9&lt;8/24</formula>
    </cfRule>
  </conditionalFormatting>
  <conditionalFormatting sqref="L61:M66">
    <cfRule type="expression" dxfId="1597" priority="252">
      <formula>L$9&gt;=20/24</formula>
    </cfRule>
    <cfRule type="expression" dxfId="1596" priority="253">
      <formula>AND(L$9&gt;=14/24,L$9&lt;20/24)</formula>
    </cfRule>
    <cfRule type="expression" dxfId="1595" priority="254">
      <formula>AND(L$9&gt;=8/24,L$9&lt;14/24)</formula>
    </cfRule>
    <cfRule type="expression" dxfId="1594" priority="255">
      <formula>L$9&lt;8/24</formula>
    </cfRule>
  </conditionalFormatting>
  <conditionalFormatting sqref="AL32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N33:V33 Q57:V57">
    <cfRule type="expression" dxfId="1593" priority="243">
      <formula>N$9&gt;=20/24</formula>
    </cfRule>
    <cfRule type="expression" dxfId="1592" priority="244">
      <formula>AND(N$9&gt;=14/24,N$9&lt;20/24)</formula>
    </cfRule>
    <cfRule type="expression" dxfId="1591" priority="245">
      <formula>AND(N$9&gt;=8/24,N$9&lt;14/24)</formula>
    </cfRule>
    <cfRule type="expression" dxfId="1590" priority="246">
      <formula>N$9&lt;8/24</formula>
    </cfRule>
  </conditionalFormatting>
  <conditionalFormatting sqref="B33:K33 N33:V33">
    <cfRule type="expression" dxfId="1589" priority="238">
      <formula>B33&gt;$AG33</formula>
    </cfRule>
  </conditionalFormatting>
  <conditionalFormatting sqref="A33">
    <cfRule type="expression" dxfId="1588" priority="237">
      <formula>$AH33=0</formula>
    </cfRule>
  </conditionalFormatting>
  <conditionalFormatting sqref="B82:AF82">
    <cfRule type="expression" dxfId="1587" priority="233">
      <formula>B$9&gt;=20/24</formula>
    </cfRule>
    <cfRule type="expression" dxfId="1586" priority="234">
      <formula>AND(B$9&gt;=14/24,B$9&lt;20/24)</formula>
    </cfRule>
    <cfRule type="expression" dxfId="1585" priority="235">
      <formula>AND(B$9&gt;=8/24,B$9&lt;14/24)</formula>
    </cfRule>
    <cfRule type="expression" dxfId="1584" priority="236">
      <formula>B$9&lt;8/24</formula>
    </cfRule>
  </conditionalFormatting>
  <conditionalFormatting sqref="A82">
    <cfRule type="expression" dxfId="1583" priority="232">
      <formula>$AH82=0</formula>
    </cfRule>
  </conditionalFormatting>
  <conditionalFormatting sqref="N15:V15">
    <cfRule type="expression" dxfId="1582" priority="224">
      <formula>N$9&gt;=20/24</formula>
    </cfRule>
    <cfRule type="expression" dxfId="1581" priority="225">
      <formula>AND(N$9&gt;=14/24,N$9&lt;20/24)</formula>
    </cfRule>
    <cfRule type="expression" dxfId="1580" priority="226">
      <formula>AND(N$9&gt;=8/24,N$9&lt;14/24)</formula>
    </cfRule>
    <cfRule type="expression" dxfId="1579" priority="227">
      <formula>N$9&lt;8/24</formula>
    </cfRule>
  </conditionalFormatting>
  <conditionalFormatting sqref="B15:K15 N15:V15">
    <cfRule type="expression" dxfId="1578" priority="223">
      <formula>B15&gt;$AG15</formula>
    </cfRule>
  </conditionalFormatting>
  <conditionalFormatting sqref="A15">
    <cfRule type="expression" dxfId="1577" priority="222">
      <formula>$AH15=0</formula>
    </cfRule>
  </conditionalFormatting>
  <conditionalFormatting sqref="A162:A167">
    <cfRule type="expression" dxfId="1576" priority="221">
      <formula>$AH162=0</formula>
    </cfRule>
  </conditionalFormatting>
  <conditionalFormatting sqref="A156:A161">
    <cfRule type="expression" dxfId="1575" priority="220">
      <formula>$AH156=0</formula>
    </cfRule>
  </conditionalFormatting>
  <conditionalFormatting sqref="L43:V43">
    <cfRule type="expression" dxfId="1574" priority="212">
      <formula>L$9&gt;=20/24</formula>
    </cfRule>
    <cfRule type="expression" dxfId="1573" priority="213">
      <formula>AND(L$9&gt;=14/24,L$9&lt;20/24)</formula>
    </cfRule>
    <cfRule type="expression" dxfId="1572" priority="214">
      <formula>AND(L$9&gt;=8/24,L$9&lt;14/24)</formula>
    </cfRule>
    <cfRule type="expression" dxfId="1571" priority="215">
      <formula>L$9&lt;8/24</formula>
    </cfRule>
  </conditionalFormatting>
  <conditionalFormatting sqref="B43:V43">
    <cfRule type="expression" dxfId="1570" priority="207">
      <formula>B43&gt;$AG43</formula>
    </cfRule>
  </conditionalFormatting>
  <conditionalFormatting sqref="A43">
    <cfRule type="expression" dxfId="1569" priority="206">
      <formula>$AH43=0</formula>
    </cfRule>
  </conditionalFormatting>
  <conditionalFormatting sqref="B78:AF78">
    <cfRule type="expression" dxfId="1568" priority="202">
      <formula>B$9&gt;=20/24</formula>
    </cfRule>
    <cfRule type="expression" dxfId="1567" priority="203">
      <formula>AND(B$9&gt;=14/24,B$9&lt;20/24)</formula>
    </cfRule>
    <cfRule type="expression" dxfId="1566" priority="204">
      <formula>AND(B$9&gt;=8/24,B$9&lt;14/24)</formula>
    </cfRule>
    <cfRule type="expression" dxfId="1565" priority="205">
      <formula>B$9&lt;8/24</formula>
    </cfRule>
  </conditionalFormatting>
  <conditionalFormatting sqref="A78">
    <cfRule type="expression" dxfId="1564" priority="201">
      <formula>$AH78=0</formula>
    </cfRule>
  </conditionalFormatting>
  <conditionalFormatting sqref="B72:V72 X72:AG72">
    <cfRule type="expression" dxfId="1563" priority="197">
      <formula>B$9&gt;=20/24</formula>
    </cfRule>
    <cfRule type="expression" dxfId="1562" priority="198">
      <formula>AND(B$9&gt;=14/24,B$9&lt;20/24)</formula>
    </cfRule>
    <cfRule type="expression" dxfId="1561" priority="199">
      <formula>AND(B$9&gt;=8/24,B$9&lt;14/24)</formula>
    </cfRule>
    <cfRule type="expression" dxfId="1560" priority="200">
      <formula>B$9&lt;8/24</formula>
    </cfRule>
  </conditionalFormatting>
  <conditionalFormatting sqref="A72">
    <cfRule type="expression" dxfId="1559" priority="196">
      <formula>$AH72=0</formula>
    </cfRule>
  </conditionalFormatting>
  <conditionalFormatting sqref="AL33:AL34 AL10:AL31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U84:V90">
    <cfRule type="expression" dxfId="1558" priority="188">
      <formula>U$9&gt;=20/24</formula>
    </cfRule>
    <cfRule type="expression" dxfId="1557" priority="189">
      <formula>AND(U$9&gt;=14/24,U$9&lt;20/24)</formula>
    </cfRule>
    <cfRule type="expression" dxfId="1556" priority="190">
      <formula>AND(U$9&gt;=8/24,U$9&lt;14/24)</formula>
    </cfRule>
    <cfRule type="expression" dxfId="1555" priority="191">
      <formula>U$9&lt;8/24</formula>
    </cfRule>
  </conditionalFormatting>
  <conditionalFormatting sqref="B83:Q90 R84:T90">
    <cfRule type="expression" dxfId="1554" priority="184">
      <formula>B$9&gt;=20/24</formula>
    </cfRule>
    <cfRule type="expression" dxfId="1553" priority="185">
      <formula>AND(B$9&gt;=14/24,B$9&lt;20/24)</formula>
    </cfRule>
    <cfRule type="expression" dxfId="1552" priority="186">
      <formula>AND(B$9&gt;=8/24,B$9&lt;14/24)</formula>
    </cfRule>
    <cfRule type="expression" dxfId="1551" priority="187">
      <formula>B$9&lt;8/24</formula>
    </cfRule>
  </conditionalFormatting>
  <conditionalFormatting sqref="R83:T83">
    <cfRule type="expression" dxfId="1550" priority="180">
      <formula>R$9&gt;=20/24</formula>
    </cfRule>
    <cfRule type="expression" dxfId="1549" priority="181">
      <formula>AND(R$9&gt;=14/24,R$9&lt;20/24)</formula>
    </cfRule>
    <cfRule type="expression" dxfId="1548" priority="182">
      <formula>AND(R$9&gt;=8/24,R$9&lt;14/24)</formula>
    </cfRule>
    <cfRule type="expression" dxfId="1547" priority="183">
      <formula>R$9&lt;8/24</formula>
    </cfRule>
  </conditionalFormatting>
  <conditionalFormatting sqref="B94:L96 B93:E93">
    <cfRule type="expression" dxfId="1546" priority="176">
      <formula>B$9&gt;=20/24</formula>
    </cfRule>
    <cfRule type="expression" dxfId="1545" priority="177">
      <formula>AND(B$9&gt;=14/24,B$9&lt;20/24)</formula>
    </cfRule>
    <cfRule type="expression" dxfId="1544" priority="178">
      <formula>AND(B$9&gt;=8/24,B$9&lt;14/24)</formula>
    </cfRule>
    <cfRule type="expression" dxfId="1543" priority="179">
      <formula>B$9&lt;8/24</formula>
    </cfRule>
  </conditionalFormatting>
  <conditionalFormatting sqref="M94:Q96 N93:Q93">
    <cfRule type="expression" dxfId="1542" priority="172">
      <formula>M$9&gt;=20/24</formula>
    </cfRule>
    <cfRule type="expression" dxfId="1541" priority="173">
      <formula>AND(M$9&gt;=14/24,M$9&lt;20/24)</formula>
    </cfRule>
    <cfRule type="expression" dxfId="1540" priority="174">
      <formula>AND(M$9&gt;=8/24,M$9&lt;14/24)</formula>
    </cfRule>
    <cfRule type="expression" dxfId="1539" priority="175">
      <formula>M$9&lt;8/24</formula>
    </cfRule>
  </conditionalFormatting>
  <conditionalFormatting sqref="R93:T96">
    <cfRule type="expression" dxfId="1538" priority="168">
      <formula>R$9&gt;=20/24</formula>
    </cfRule>
    <cfRule type="expression" dxfId="1537" priority="169">
      <formula>AND(R$9&gt;=14/24,R$9&lt;20/24)</formula>
    </cfRule>
    <cfRule type="expression" dxfId="1536" priority="170">
      <formula>AND(R$9&gt;=8/24,R$9&lt;14/24)</formula>
    </cfRule>
    <cfRule type="expression" dxfId="1535" priority="171">
      <formula>R$9&lt;8/24</formula>
    </cfRule>
  </conditionalFormatting>
  <conditionalFormatting sqref="B97:L97">
    <cfRule type="expression" dxfId="1534" priority="164">
      <formula>B$9&gt;=20/24</formula>
    </cfRule>
    <cfRule type="expression" dxfId="1533" priority="165">
      <formula>AND(B$9&gt;=14/24,B$9&lt;20/24)</formula>
    </cfRule>
    <cfRule type="expression" dxfId="1532" priority="166">
      <formula>AND(B$9&gt;=8/24,B$9&lt;14/24)</formula>
    </cfRule>
    <cfRule type="expression" dxfId="1531" priority="167">
      <formula>B$9&lt;8/24</formula>
    </cfRule>
  </conditionalFormatting>
  <conditionalFormatting sqref="M97:Q97">
    <cfRule type="expression" dxfId="1530" priority="160">
      <formula>M$9&gt;=20/24</formula>
    </cfRule>
    <cfRule type="expression" dxfId="1529" priority="161">
      <formula>AND(M$9&gt;=14/24,M$9&lt;20/24)</formula>
    </cfRule>
    <cfRule type="expression" dxfId="1528" priority="162">
      <formula>AND(M$9&gt;=8/24,M$9&lt;14/24)</formula>
    </cfRule>
    <cfRule type="expression" dxfId="1527" priority="163">
      <formula>M$9&lt;8/24</formula>
    </cfRule>
  </conditionalFormatting>
  <conditionalFormatting sqref="R97:T97">
    <cfRule type="expression" dxfId="1526" priority="156">
      <formula>R$9&gt;=20/24</formula>
    </cfRule>
    <cfRule type="expression" dxfId="1525" priority="157">
      <formula>AND(R$9&gt;=14/24,R$9&lt;20/24)</formula>
    </cfRule>
    <cfRule type="expression" dxfId="1524" priority="158">
      <formula>AND(R$9&gt;=8/24,R$9&lt;14/24)</formula>
    </cfRule>
    <cfRule type="expression" dxfId="1523" priority="159">
      <formula>R$9&lt;8/24</formula>
    </cfRule>
  </conditionalFormatting>
  <conditionalFormatting sqref="L93:M93">
    <cfRule type="expression" dxfId="1522" priority="152">
      <formula>L$9&gt;=20/24</formula>
    </cfRule>
    <cfRule type="expression" dxfId="1521" priority="153">
      <formula>AND(L$9&gt;=14/24,L$9&lt;20/24)</formula>
    </cfRule>
    <cfRule type="expression" dxfId="1520" priority="154">
      <formula>AND(L$9&gt;=8/24,L$9&lt;14/24)</formula>
    </cfRule>
    <cfRule type="expression" dxfId="1519" priority="155">
      <formula>L$9&lt;8/24</formula>
    </cfRule>
  </conditionalFormatting>
  <conditionalFormatting sqref="F93:K93">
    <cfRule type="expression" dxfId="1518" priority="148">
      <formula>F$9&gt;=20/24</formula>
    </cfRule>
    <cfRule type="expression" dxfId="1517" priority="149">
      <formula>AND(F$9&gt;=14/24,F$9&lt;20/24)</formula>
    </cfRule>
    <cfRule type="expression" dxfId="1516" priority="150">
      <formula>AND(F$9&gt;=8/24,F$9&lt;14/24)</formula>
    </cfRule>
    <cfRule type="expression" dxfId="1515" priority="151">
      <formula>F$9&lt;8/24</formula>
    </cfRule>
  </conditionalFormatting>
  <conditionalFormatting sqref="U93:V93">
    <cfRule type="expression" dxfId="1514" priority="144">
      <formula>U$9&gt;=20/24</formula>
    </cfRule>
    <cfRule type="expression" dxfId="1513" priority="145">
      <formula>AND(U$9&gt;=14/24,U$9&lt;20/24)</formula>
    </cfRule>
    <cfRule type="expression" dxfId="1512" priority="146">
      <formula>AND(U$9&gt;=8/24,U$9&lt;14/24)</formula>
    </cfRule>
    <cfRule type="expression" dxfId="1511" priority="147">
      <formula>U$9&lt;8/24</formula>
    </cfRule>
  </conditionalFormatting>
  <conditionalFormatting sqref="M93:T93">
    <cfRule type="expression" dxfId="1510" priority="140">
      <formula>M$9&gt;=20/24</formula>
    </cfRule>
    <cfRule type="expression" dxfId="1509" priority="141">
      <formula>AND(M$9&gt;=14/24,M$9&lt;20/24)</formula>
    </cfRule>
    <cfRule type="expression" dxfId="1508" priority="142">
      <formula>AND(M$9&gt;=8/24,M$9&lt;14/24)</formula>
    </cfRule>
    <cfRule type="expression" dxfId="1507" priority="143">
      <formula>M$9&lt;8/24</formula>
    </cfRule>
  </conditionalFormatting>
  <conditionalFormatting sqref="U98:AF98">
    <cfRule type="expression" dxfId="1506" priority="132">
      <formula>U$9&gt;=20/24</formula>
    </cfRule>
    <cfRule type="expression" dxfId="1505" priority="133">
      <formula>AND(U$9&gt;=14/24,U$9&lt;20/24)</formula>
    </cfRule>
    <cfRule type="expression" dxfId="1504" priority="134">
      <formula>AND(U$9&gt;=8/24,U$9&lt;14/24)</formula>
    </cfRule>
    <cfRule type="expression" dxfId="1503" priority="135">
      <formula>U$9&lt;8/24</formula>
    </cfRule>
  </conditionalFormatting>
  <conditionalFormatting sqref="A98">
    <cfRule type="expression" dxfId="1502" priority="131">
      <formula>$AH98=0</formula>
    </cfRule>
  </conditionalFormatting>
  <conditionalFormatting sqref="B98:L98">
    <cfRule type="expression" dxfId="1501" priority="127">
      <formula>B$9&gt;=20/24</formula>
    </cfRule>
    <cfRule type="expression" dxfId="1500" priority="128">
      <formula>AND(B$9&gt;=14/24,B$9&lt;20/24)</formula>
    </cfRule>
    <cfRule type="expression" dxfId="1499" priority="129">
      <formula>AND(B$9&gt;=8/24,B$9&lt;14/24)</formula>
    </cfRule>
    <cfRule type="expression" dxfId="1498" priority="130">
      <formula>B$9&lt;8/24</formula>
    </cfRule>
  </conditionalFormatting>
  <conditionalFormatting sqref="M98:Q98">
    <cfRule type="expression" dxfId="1497" priority="123">
      <formula>M$9&gt;=20/24</formula>
    </cfRule>
    <cfRule type="expression" dxfId="1496" priority="124">
      <formula>AND(M$9&gt;=14/24,M$9&lt;20/24)</formula>
    </cfRule>
    <cfRule type="expression" dxfId="1495" priority="125">
      <formula>AND(M$9&gt;=8/24,M$9&lt;14/24)</formula>
    </cfRule>
    <cfRule type="expression" dxfId="1494" priority="126">
      <formula>M$9&lt;8/24</formula>
    </cfRule>
  </conditionalFormatting>
  <conditionalFormatting sqref="R98:T98">
    <cfRule type="expression" dxfId="1493" priority="119">
      <formula>R$9&gt;=20/24</formula>
    </cfRule>
    <cfRule type="expression" dxfId="1492" priority="120">
      <formula>AND(R$9&gt;=14/24,R$9&lt;20/24)</formula>
    </cfRule>
    <cfRule type="expression" dxfId="1491" priority="121">
      <formula>AND(R$9&gt;=8/24,R$9&lt;14/24)</formula>
    </cfRule>
    <cfRule type="expression" dxfId="1490" priority="122">
      <formula>R$9&lt;8/24</formula>
    </cfRule>
  </conditionalFormatting>
  <conditionalFormatting sqref="U16:V16 S13:V13">
    <cfRule type="expression" dxfId="1489" priority="115">
      <formula>S$9&gt;=20/24</formula>
    </cfRule>
    <cfRule type="expression" dxfId="1488" priority="116">
      <formula>AND(S$9&gt;=14/24,S$9&lt;20/24)</formula>
    </cfRule>
    <cfRule type="expression" dxfId="1487" priority="117">
      <formula>AND(S$9&gt;=8/24,S$9&lt;14/24)</formula>
    </cfRule>
    <cfRule type="expression" dxfId="1486" priority="118">
      <formula>S$9&lt;8/24</formula>
    </cfRule>
  </conditionalFormatting>
  <conditionalFormatting sqref="S13:V13">
    <cfRule type="expression" dxfId="1485" priority="107">
      <formula>S$9&gt;=20/24</formula>
    </cfRule>
    <cfRule type="expression" dxfId="1484" priority="108">
      <formula>AND(S$9&gt;=14/24,S$9&lt;20/24)</formula>
    </cfRule>
    <cfRule type="expression" dxfId="1483" priority="109">
      <formula>AND(S$9&gt;=8/24,S$9&lt;14/24)</formula>
    </cfRule>
    <cfRule type="expression" dxfId="1482" priority="110">
      <formula>S$9&lt;8/24</formula>
    </cfRule>
  </conditionalFormatting>
  <conditionalFormatting sqref="L36:M36 L11:M14 L16:M32">
    <cfRule type="expression" dxfId="1481" priority="99">
      <formula>L$9&gt;=20/24</formula>
    </cfRule>
    <cfRule type="expression" dxfId="1480" priority="100">
      <formula>AND(L$9&gt;=14/24,L$9&lt;20/24)</formula>
    </cfRule>
    <cfRule type="expression" dxfId="1479" priority="101">
      <formula>AND(L$9&gt;=8/24,L$9&lt;14/24)</formula>
    </cfRule>
    <cfRule type="expression" dxfId="1478" priority="102">
      <formula>L$9&lt;8/24</formula>
    </cfRule>
  </conditionalFormatting>
  <conditionalFormatting sqref="L34:M34">
    <cfRule type="expression" dxfId="1477" priority="95">
      <formula>L$9&gt;=20/24</formula>
    </cfRule>
    <cfRule type="expression" dxfId="1476" priority="96">
      <formula>AND(L$9&gt;=14/24,L$9&lt;20/24)</formula>
    </cfRule>
    <cfRule type="expression" dxfId="1475" priority="97">
      <formula>AND(L$9&gt;=8/24,L$9&lt;14/24)</formula>
    </cfRule>
    <cfRule type="expression" dxfId="1474" priority="98">
      <formula>L$9&lt;8/24</formula>
    </cfRule>
  </conditionalFormatting>
  <conditionalFormatting sqref="L16:M32 L11:M14 L34:M36">
    <cfRule type="expression" dxfId="1473" priority="94">
      <formula>L11&gt;$AG11</formula>
    </cfRule>
  </conditionalFormatting>
  <conditionalFormatting sqref="L35:M35">
    <cfRule type="expression" dxfId="1472" priority="90">
      <formula>L$9&gt;=20/24</formula>
    </cfRule>
    <cfRule type="expression" dxfId="1471" priority="91">
      <formula>AND(L$9&gt;=14/24,L$9&lt;20/24)</formula>
    </cfRule>
    <cfRule type="expression" dxfId="1470" priority="92">
      <formula>AND(L$9&gt;=8/24,L$9&lt;14/24)</formula>
    </cfRule>
    <cfRule type="expression" dxfId="1469" priority="93">
      <formula>L$9&lt;8/24</formula>
    </cfRule>
  </conditionalFormatting>
  <conditionalFormatting sqref="L33:M33">
    <cfRule type="expression" dxfId="1468" priority="86">
      <formula>L$9&gt;=20/24</formula>
    </cfRule>
    <cfRule type="expression" dxfId="1467" priority="87">
      <formula>AND(L$9&gt;=14/24,L$9&lt;20/24)</formula>
    </cfRule>
    <cfRule type="expression" dxfId="1466" priority="88">
      <formula>AND(L$9&gt;=8/24,L$9&lt;14/24)</formula>
    </cfRule>
    <cfRule type="expression" dxfId="1465" priority="89">
      <formula>L$9&lt;8/24</formula>
    </cfRule>
  </conditionalFormatting>
  <conditionalFormatting sqref="L33:M33">
    <cfRule type="expression" dxfId="1464" priority="85">
      <formula>L33&gt;$AG33</formula>
    </cfRule>
  </conditionalFormatting>
  <conditionalFormatting sqref="L15:M15">
    <cfRule type="expression" dxfId="1463" priority="81">
      <formula>L$9&gt;=20/24</formula>
    </cfRule>
    <cfRule type="expression" dxfId="1462" priority="82">
      <formula>AND(L$9&gt;=14/24,L$9&lt;20/24)</formula>
    </cfRule>
    <cfRule type="expression" dxfId="1461" priority="83">
      <formula>AND(L$9&gt;=8/24,L$9&lt;14/24)</formula>
    </cfRule>
    <cfRule type="expression" dxfId="1460" priority="84">
      <formula>L$9&lt;8/24</formula>
    </cfRule>
  </conditionalFormatting>
  <conditionalFormatting sqref="L15:M15">
    <cfRule type="expression" dxfId="1459" priority="80">
      <formula>L15&gt;$AG15</formula>
    </cfRule>
  </conditionalFormatting>
  <conditionalFormatting sqref="W11:W12 W52:W55 W57:W71 X52:AC54 X12:AF12 W14:AF14 W17:AF32 W39:AF41 W44:AF46 X57:AF66">
    <cfRule type="expression" dxfId="1458" priority="65">
      <formula>W$9&gt;=20/24</formula>
    </cfRule>
    <cfRule type="expression" dxfId="1457" priority="66">
      <formula>AND(W$9&gt;=14/24,W$9&lt;20/24)</formula>
    </cfRule>
    <cfRule type="expression" dxfId="1456" priority="67">
      <formula>AND(W$9&gt;=8/24,W$9&lt;14/24)</formula>
    </cfRule>
    <cfRule type="expression" dxfId="1455" priority="68">
      <formula>W$9&lt;8/24</formula>
    </cfRule>
  </conditionalFormatting>
  <conditionalFormatting sqref="W56:AF56">
    <cfRule type="expression" dxfId="1454" priority="61">
      <formula>W$9&gt;=20/24</formula>
    </cfRule>
    <cfRule type="expression" dxfId="1453" priority="62">
      <formula>AND(W$9&gt;=14/24,W$9&lt;20/24)</formula>
    </cfRule>
    <cfRule type="expression" dxfId="1452" priority="63">
      <formula>AND(W$9&gt;=8/24,W$9&lt;14/24)</formula>
    </cfRule>
    <cfRule type="expression" dxfId="1451" priority="64">
      <formula>W$9&lt;8/24</formula>
    </cfRule>
  </conditionalFormatting>
  <conditionalFormatting sqref="W38:AF38">
    <cfRule type="expression" dxfId="1450" priority="57">
      <formula>W$9&gt;=20/24</formula>
    </cfRule>
    <cfRule type="expression" dxfId="1449" priority="58">
      <formula>AND(W$9&gt;=14/24,W$9&lt;20/24)</formula>
    </cfRule>
    <cfRule type="expression" dxfId="1448" priority="59">
      <formula>AND(W$9&gt;=8/24,W$9&lt;14/24)</formula>
    </cfRule>
    <cfRule type="expression" dxfId="1447" priority="60">
      <formula>W$9&lt;8/24</formula>
    </cfRule>
  </conditionalFormatting>
  <conditionalFormatting sqref="W34:AF34 W58:AF58">
    <cfRule type="expression" dxfId="1446" priority="53">
      <formula>W$9&gt;=20/24</formula>
    </cfRule>
    <cfRule type="expression" dxfId="1445" priority="54">
      <formula>AND(W$9&gt;=14/24,W$9&lt;20/24)</formula>
    </cfRule>
    <cfRule type="expression" dxfId="1444" priority="55">
      <formula>AND(W$9&gt;=8/24,W$9&lt;14/24)</formula>
    </cfRule>
    <cfRule type="expression" dxfId="1443" priority="56">
      <formula>W$9&lt;8/24</formula>
    </cfRule>
  </conditionalFormatting>
  <conditionalFormatting sqref="W49:AF49">
    <cfRule type="expression" dxfId="1442" priority="45">
      <formula>W$9&gt;=20/24</formula>
    </cfRule>
    <cfRule type="expression" dxfId="1441" priority="46">
      <formula>AND(W$9&gt;=14/24,W$9&lt;20/24)</formula>
    </cfRule>
    <cfRule type="expression" dxfId="1440" priority="47">
      <formula>AND(W$9&gt;=8/24,W$9&lt;14/24)</formula>
    </cfRule>
    <cfRule type="expression" dxfId="1439" priority="48">
      <formula>W$9&lt;8/24</formula>
    </cfRule>
  </conditionalFormatting>
  <conditionalFormatting sqref="W44:AF46">
    <cfRule type="expression" dxfId="1438" priority="41">
      <formula>W$9&gt;=20/24</formula>
    </cfRule>
    <cfRule type="expression" dxfId="1437" priority="42">
      <formula>AND(W$9&gt;=14/24,W$9&lt;20/24)</formula>
    </cfRule>
    <cfRule type="expression" dxfId="1436" priority="43">
      <formula>AND(W$9&gt;=8/24,W$9&lt;14/24)</formula>
    </cfRule>
    <cfRule type="expression" dxfId="1435" priority="44">
      <formula>W$9&lt;8/24</formula>
    </cfRule>
  </conditionalFormatting>
  <conditionalFormatting sqref="W36:AF36">
    <cfRule type="expression" dxfId="1434" priority="37">
      <formula>W$9&gt;=20/24</formula>
    </cfRule>
    <cfRule type="expression" dxfId="1433" priority="38">
      <formula>AND(W$9&gt;=14/24,W$9&lt;20/24)</formula>
    </cfRule>
    <cfRule type="expression" dxfId="1432" priority="39">
      <formula>AND(W$9&gt;=8/24,W$9&lt;14/24)</formula>
    </cfRule>
    <cfRule type="expression" dxfId="1431" priority="40">
      <formula>W$9&lt;8/24</formula>
    </cfRule>
  </conditionalFormatting>
  <conditionalFormatting sqref="W42:AF42">
    <cfRule type="expression" dxfId="1430" priority="33">
      <formula>W$9&gt;=20/24</formula>
    </cfRule>
    <cfRule type="expression" dxfId="1429" priority="34">
      <formula>AND(W$9&gt;=14/24,W$9&lt;20/24)</formula>
    </cfRule>
    <cfRule type="expression" dxfId="1428" priority="35">
      <formula>AND(W$9&gt;=8/24,W$9&lt;14/24)</formula>
    </cfRule>
    <cfRule type="expression" dxfId="1427" priority="36">
      <formula>W$9&lt;8/24</formula>
    </cfRule>
  </conditionalFormatting>
  <conditionalFormatting sqref="W11:W12 W34:W42 X52:AC54 X12:AF12 W14:AF14 W17:AF32 X34:AF36 X38:AF42 W44:AF46 X49:AF49 W49:W55">
    <cfRule type="expression" dxfId="1426" priority="32">
      <formula>W11&gt;$AG11</formula>
    </cfRule>
  </conditionalFormatting>
  <conditionalFormatting sqref="W35:AF35">
    <cfRule type="expression" dxfId="1425" priority="28">
      <formula>W$9&gt;=20/24</formula>
    </cfRule>
    <cfRule type="expression" dxfId="1424" priority="29">
      <formula>AND(W$9&gt;=14/24,W$9&lt;20/24)</formula>
    </cfRule>
    <cfRule type="expression" dxfId="1423" priority="30">
      <formula>AND(W$9&gt;=8/24,W$9&lt;14/24)</formula>
    </cfRule>
    <cfRule type="expression" dxfId="1422" priority="31">
      <formula>W$9&lt;8/24</formula>
    </cfRule>
  </conditionalFormatting>
  <conditionalFormatting sqref="W33:AF33 W57:AF57">
    <cfRule type="expression" dxfId="1421" priority="24">
      <formula>W$9&gt;=20/24</formula>
    </cfRule>
    <cfRule type="expression" dxfId="1420" priority="25">
      <formula>AND(W$9&gt;=14/24,W$9&lt;20/24)</formula>
    </cfRule>
    <cfRule type="expression" dxfId="1419" priority="26">
      <formula>AND(W$9&gt;=8/24,W$9&lt;14/24)</formula>
    </cfRule>
    <cfRule type="expression" dxfId="1418" priority="27">
      <formula>W$9&lt;8/24</formula>
    </cfRule>
  </conditionalFormatting>
  <conditionalFormatting sqref="W33:AF33">
    <cfRule type="expression" dxfId="1417" priority="23">
      <formula>W33&gt;$AG33</formula>
    </cfRule>
  </conditionalFormatting>
  <conditionalFormatting sqref="W15:AF15">
    <cfRule type="expression" dxfId="1416" priority="19">
      <formula>W$9&gt;=20/24</formula>
    </cfRule>
    <cfRule type="expression" dxfId="1415" priority="20">
      <formula>AND(W$9&gt;=14/24,W$9&lt;20/24)</formula>
    </cfRule>
    <cfRule type="expression" dxfId="1414" priority="21">
      <formula>AND(W$9&gt;=8/24,W$9&lt;14/24)</formula>
    </cfRule>
    <cfRule type="expression" dxfId="1413" priority="22">
      <formula>W$9&lt;8/24</formula>
    </cfRule>
  </conditionalFormatting>
  <conditionalFormatting sqref="W15:AF15">
    <cfRule type="expression" dxfId="1412" priority="18">
      <formula>W15&gt;$AG15</formula>
    </cfRule>
  </conditionalFormatting>
  <conditionalFormatting sqref="W43:AF43">
    <cfRule type="expression" dxfId="1411" priority="14">
      <formula>W$9&gt;=20/24</formula>
    </cfRule>
    <cfRule type="expression" dxfId="1410" priority="15">
      <formula>AND(W$9&gt;=14/24,W$9&lt;20/24)</formula>
    </cfRule>
    <cfRule type="expression" dxfId="1409" priority="16">
      <formula>AND(W$9&gt;=8/24,W$9&lt;14/24)</formula>
    </cfRule>
    <cfRule type="expression" dxfId="1408" priority="17">
      <formula>W$9&lt;8/24</formula>
    </cfRule>
  </conditionalFormatting>
  <conditionalFormatting sqref="W43:AF43">
    <cfRule type="expression" dxfId="1407" priority="13">
      <formula>W43&gt;$AG43</formula>
    </cfRule>
  </conditionalFormatting>
  <conditionalFormatting sqref="W72">
    <cfRule type="expression" dxfId="1406" priority="9">
      <formula>W$9&gt;=20/24</formula>
    </cfRule>
    <cfRule type="expression" dxfId="1405" priority="10">
      <formula>AND(W$9&gt;=14/24,W$9&lt;20/24)</formula>
    </cfRule>
    <cfRule type="expression" dxfId="1404" priority="11">
      <formula>AND(W$9&gt;=8/24,W$9&lt;14/24)</formula>
    </cfRule>
    <cfRule type="expression" dxfId="1403" priority="12">
      <formula>W$9&lt;8/24</formula>
    </cfRule>
  </conditionalFormatting>
  <conditionalFormatting sqref="W16:AF16 W13:AF13">
    <cfRule type="expression" dxfId="1402" priority="5">
      <formula>W$9&gt;=20/24</formula>
    </cfRule>
    <cfRule type="expression" dxfId="1401" priority="6">
      <formula>AND(W$9&gt;=14/24,W$9&lt;20/24)</formula>
    </cfRule>
    <cfRule type="expression" dxfId="1400" priority="7">
      <formula>AND(W$9&gt;=8/24,W$9&lt;14/24)</formula>
    </cfRule>
    <cfRule type="expression" dxfId="1399" priority="8">
      <formula>W$9&lt;8/24</formula>
    </cfRule>
  </conditionalFormatting>
  <conditionalFormatting sqref="W13:AF13">
    <cfRule type="expression" dxfId="1398" priority="1">
      <formula>W$9&gt;=20/24</formula>
    </cfRule>
    <cfRule type="expression" dxfId="1397" priority="2">
      <formula>AND(W$9&gt;=14/24,W$9&lt;20/24)</formula>
    </cfRule>
    <cfRule type="expression" dxfId="1396" priority="3">
      <formula>AND(W$9&gt;=8/24,W$9&lt;14/24)</formula>
    </cfRule>
    <cfRule type="expression" dxfId="1395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58" sqref="B58:AF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2078/07/28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-55.8</v>
      </c>
      <c r="C5" s="32">
        <f t="shared" ref="C5:AF5" si="0">C67</f>
        <v>-77.3</v>
      </c>
      <c r="D5" s="32">
        <f t="shared" si="0"/>
        <v>-75</v>
      </c>
      <c r="E5" s="32">
        <f t="shared" si="0"/>
        <v>-60</v>
      </c>
      <c r="F5" s="32">
        <f t="shared" si="0"/>
        <v>-52</v>
      </c>
      <c r="G5" s="32">
        <f t="shared" si="0"/>
        <v>-49</v>
      </c>
      <c r="H5" s="32">
        <f t="shared" si="0"/>
        <v>-55</v>
      </c>
      <c r="I5" s="32">
        <f t="shared" si="0"/>
        <v>-50</v>
      </c>
      <c r="J5" s="32">
        <f t="shared" si="0"/>
        <v>-52</v>
      </c>
      <c r="K5" s="32">
        <f t="shared" si="0"/>
        <v>-48.4</v>
      </c>
      <c r="L5" s="32">
        <f t="shared" si="0"/>
        <v>-58.4</v>
      </c>
      <c r="M5" s="32">
        <f t="shared" si="0"/>
        <v>-53.1</v>
      </c>
      <c r="N5" s="32">
        <f t="shared" si="0"/>
        <v>-40</v>
      </c>
      <c r="O5" s="32">
        <f t="shared" si="0"/>
        <v>-50.7</v>
      </c>
      <c r="P5" s="32">
        <f t="shared" si="0"/>
        <v>-66</v>
      </c>
      <c r="Q5" s="32">
        <f t="shared" si="0"/>
        <v>-50</v>
      </c>
      <c r="R5" s="32">
        <f t="shared" si="0"/>
        <v>-50.5</v>
      </c>
      <c r="S5" s="32">
        <f t="shared" si="0"/>
        <v>-54.8</v>
      </c>
      <c r="T5" s="32">
        <f t="shared" si="0"/>
        <v>-66.3</v>
      </c>
      <c r="U5" s="32">
        <f t="shared" si="0"/>
        <v>-59.3</v>
      </c>
      <c r="V5" s="32">
        <f t="shared" si="0"/>
        <v>-65.599999999999994</v>
      </c>
      <c r="W5" s="32">
        <f t="shared" si="0"/>
        <v>-80</v>
      </c>
      <c r="X5" s="32">
        <f t="shared" si="0"/>
        <v>-75</v>
      </c>
      <c r="Y5" s="32">
        <f t="shared" si="0"/>
        <v>-89</v>
      </c>
      <c r="Z5" s="32">
        <f t="shared" si="0"/>
        <v>-94</v>
      </c>
      <c r="AA5" s="32">
        <f t="shared" si="0"/>
        <v>-74.2</v>
      </c>
      <c r="AB5" s="32">
        <f t="shared" si="0"/>
        <v>-71.8</v>
      </c>
      <c r="AC5" s="32">
        <f t="shared" si="0"/>
        <v>-80</v>
      </c>
      <c r="AD5" s="32">
        <f t="shared" si="0"/>
        <v>-74.2</v>
      </c>
      <c r="AE5" s="32">
        <f t="shared" si="0"/>
        <v>-55.9</v>
      </c>
      <c r="AF5" s="32">
        <f t="shared" si="0"/>
        <v>-51.5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1120MW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Load=717</v>
      </c>
      <c r="B7" s="37">
        <f t="shared" ref="B7:AF7" si="1">B74</f>
        <v>741.54</v>
      </c>
      <c r="C7" s="37">
        <f t="shared" si="1"/>
        <v>716.94</v>
      </c>
      <c r="D7" s="37">
        <f t="shared" si="1"/>
        <v>720.24</v>
      </c>
      <c r="E7" s="37">
        <f t="shared" si="1"/>
        <v>736.24</v>
      </c>
      <c r="F7" s="37">
        <f t="shared" si="1"/>
        <v>744.44</v>
      </c>
      <c r="G7" s="37">
        <f t="shared" si="1"/>
        <v>839.84</v>
      </c>
      <c r="H7" s="37">
        <f t="shared" si="1"/>
        <v>881.04</v>
      </c>
      <c r="I7" s="37">
        <f t="shared" si="1"/>
        <v>960.44</v>
      </c>
      <c r="J7" s="37">
        <f t="shared" si="1"/>
        <v>1055.74</v>
      </c>
      <c r="K7" s="37">
        <f t="shared" si="1"/>
        <v>1089.74</v>
      </c>
      <c r="L7" s="37">
        <f>L74</f>
        <v>1120.4399999999998</v>
      </c>
      <c r="M7" s="37">
        <f t="shared" si="1"/>
        <v>1102.2399999999998</v>
      </c>
      <c r="N7" s="37">
        <f t="shared" si="1"/>
        <v>1063.7399999999998</v>
      </c>
      <c r="O7" s="37">
        <f t="shared" si="1"/>
        <v>1018.4399999999998</v>
      </c>
      <c r="P7" s="37">
        <f t="shared" si="1"/>
        <v>1006.0400000000001</v>
      </c>
      <c r="Q7" s="37">
        <f t="shared" si="1"/>
        <v>967.14</v>
      </c>
      <c r="R7" s="37">
        <f t="shared" si="1"/>
        <v>1007.74</v>
      </c>
      <c r="S7" s="37">
        <f t="shared" si="1"/>
        <v>1013.84</v>
      </c>
      <c r="T7" s="37">
        <f t="shared" si="1"/>
        <v>1047.54</v>
      </c>
      <c r="U7" s="37">
        <f t="shared" si="1"/>
        <v>1110.24</v>
      </c>
      <c r="V7" s="37">
        <f t="shared" si="1"/>
        <v>1348.64</v>
      </c>
      <c r="W7" s="37">
        <f t="shared" si="1"/>
        <v>1362.94</v>
      </c>
      <c r="X7" s="37">
        <f t="shared" si="1"/>
        <v>1290.3400000000001</v>
      </c>
      <c r="Y7" s="37">
        <f t="shared" si="1"/>
        <v>1182.6799999999998</v>
      </c>
      <c r="Z7" s="37">
        <f t="shared" si="1"/>
        <v>1165.54</v>
      </c>
      <c r="AA7" s="37">
        <f t="shared" si="1"/>
        <v>1115.94</v>
      </c>
      <c r="AB7" s="37">
        <f t="shared" si="1"/>
        <v>1058.3399999999999</v>
      </c>
      <c r="AC7" s="37">
        <f t="shared" si="1"/>
        <v>989.04</v>
      </c>
      <c r="AD7" s="37">
        <f t="shared" si="1"/>
        <v>856.43999999999983</v>
      </c>
      <c r="AE7" s="37">
        <f t="shared" si="1"/>
        <v>808.2399999999999</v>
      </c>
      <c r="AF7" s="37">
        <f t="shared" si="1"/>
        <v>818.83999999999992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54">
        <v>60</v>
      </c>
      <c r="C11" s="54">
        <v>60</v>
      </c>
      <c r="D11" s="54">
        <v>60</v>
      </c>
      <c r="E11" s="54">
        <v>60</v>
      </c>
      <c r="F11" s="54">
        <v>60</v>
      </c>
      <c r="G11" s="54">
        <v>70</v>
      </c>
      <c r="H11" s="49">
        <v>70</v>
      </c>
      <c r="I11" s="49">
        <v>80</v>
      </c>
      <c r="J11" s="49">
        <v>140</v>
      </c>
      <c r="K11" s="49">
        <v>170</v>
      </c>
      <c r="L11" s="50">
        <v>215</v>
      </c>
      <c r="M11" s="50">
        <v>215</v>
      </c>
      <c r="N11" s="50">
        <v>200</v>
      </c>
      <c r="O11" s="50">
        <v>190</v>
      </c>
      <c r="P11" s="50">
        <v>190</v>
      </c>
      <c r="Q11" s="50">
        <v>170</v>
      </c>
      <c r="R11" s="52">
        <v>170</v>
      </c>
      <c r="S11" s="52">
        <v>170</v>
      </c>
      <c r="T11" s="52">
        <v>170</v>
      </c>
      <c r="U11" s="52">
        <v>170</v>
      </c>
      <c r="V11" s="52">
        <v>310</v>
      </c>
      <c r="W11" s="52">
        <v>340</v>
      </c>
      <c r="X11" s="52">
        <v>300</v>
      </c>
      <c r="Y11" s="53">
        <v>240</v>
      </c>
      <c r="Z11" s="54">
        <v>240</v>
      </c>
      <c r="AA11" s="54">
        <v>200</v>
      </c>
      <c r="AB11" s="54">
        <v>140</v>
      </c>
      <c r="AC11" s="54">
        <v>110</v>
      </c>
      <c r="AD11" s="54">
        <v>100</v>
      </c>
      <c r="AE11" s="49">
        <v>70</v>
      </c>
      <c r="AF11" s="49">
        <v>70</v>
      </c>
      <c r="AG11" s="55">
        <v>456</v>
      </c>
      <c r="AH11" s="56">
        <f>MAX(B11:AF11)</f>
        <v>340</v>
      </c>
      <c r="AI11" s="57">
        <f>MIN(B11:AF11)</f>
        <v>60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60">
        <v>60</v>
      </c>
      <c r="S12" s="60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60</v>
      </c>
      <c r="AF12" s="60">
        <v>60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60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60">
        <v>36</v>
      </c>
      <c r="C13" s="60">
        <v>36</v>
      </c>
      <c r="D13" s="60">
        <v>36</v>
      </c>
      <c r="E13" s="60">
        <v>36</v>
      </c>
      <c r="F13" s="60">
        <v>36</v>
      </c>
      <c r="G13" s="60">
        <v>36</v>
      </c>
      <c r="H13" s="60">
        <v>36</v>
      </c>
      <c r="I13" s="49">
        <v>36</v>
      </c>
      <c r="J13" s="49">
        <v>36</v>
      </c>
      <c r="K13" s="49">
        <v>36</v>
      </c>
      <c r="L13" s="49">
        <v>36</v>
      </c>
      <c r="M13" s="49">
        <v>36</v>
      </c>
      <c r="N13" s="49">
        <v>36</v>
      </c>
      <c r="O13" s="49">
        <v>36</v>
      </c>
      <c r="P13" s="49">
        <v>36</v>
      </c>
      <c r="Q13" s="49">
        <v>36</v>
      </c>
      <c r="R13" s="60">
        <v>36</v>
      </c>
      <c r="S13" s="60">
        <v>36</v>
      </c>
      <c r="T13" s="60">
        <v>36</v>
      </c>
      <c r="U13" s="60">
        <v>32</v>
      </c>
      <c r="V13" s="60">
        <v>36</v>
      </c>
      <c r="W13" s="60">
        <v>36</v>
      </c>
      <c r="X13" s="60">
        <v>36</v>
      </c>
      <c r="Y13" s="60">
        <v>36</v>
      </c>
      <c r="Z13" s="60">
        <v>36</v>
      </c>
      <c r="AA13" s="60">
        <v>36</v>
      </c>
      <c r="AB13" s="60">
        <v>36</v>
      </c>
      <c r="AC13" s="60">
        <v>36</v>
      </c>
      <c r="AD13" s="60">
        <v>36</v>
      </c>
      <c r="AE13" s="60">
        <v>36</v>
      </c>
      <c r="AF13" s="60">
        <v>36</v>
      </c>
      <c r="AG13" s="61">
        <v>52.4</v>
      </c>
      <c r="AH13" s="56">
        <f t="shared" si="2"/>
        <v>36</v>
      </c>
      <c r="AI13" s="57">
        <f t="shared" si="3"/>
        <v>32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50">
        <v>25</v>
      </c>
      <c r="C14" s="50">
        <v>25</v>
      </c>
      <c r="D14" s="50">
        <v>25</v>
      </c>
      <c r="E14" s="50">
        <v>25</v>
      </c>
      <c r="F14" s="50">
        <v>25</v>
      </c>
      <c r="G14" s="50">
        <v>25</v>
      </c>
      <c r="H14" s="50">
        <v>25</v>
      </c>
      <c r="I14" s="50">
        <v>25</v>
      </c>
      <c r="J14" s="49">
        <v>25</v>
      </c>
      <c r="K14" s="49">
        <v>25</v>
      </c>
      <c r="L14" s="50">
        <v>25</v>
      </c>
      <c r="M14" s="50">
        <v>25</v>
      </c>
      <c r="N14" s="50">
        <v>25</v>
      </c>
      <c r="O14" s="50">
        <v>25</v>
      </c>
      <c r="P14" s="50">
        <v>25</v>
      </c>
      <c r="Q14" s="50">
        <v>25.4</v>
      </c>
      <c r="R14" s="62">
        <v>25.4</v>
      </c>
      <c r="S14" s="62">
        <v>25.4</v>
      </c>
      <c r="T14" s="62">
        <v>25.3</v>
      </c>
      <c r="U14" s="62">
        <v>25.4</v>
      </c>
      <c r="V14" s="62">
        <v>25.4</v>
      </c>
      <c r="W14" s="62">
        <v>25.4</v>
      </c>
      <c r="X14" s="62">
        <v>25.4</v>
      </c>
      <c r="Y14" s="62">
        <v>25.4</v>
      </c>
      <c r="Z14" s="62">
        <v>25.4</v>
      </c>
      <c r="AA14" s="62">
        <v>25.4</v>
      </c>
      <c r="AB14" s="62">
        <v>25.4</v>
      </c>
      <c r="AC14" s="62">
        <v>25.4</v>
      </c>
      <c r="AD14" s="62">
        <v>25.4</v>
      </c>
      <c r="AE14" s="62">
        <v>25.4</v>
      </c>
      <c r="AF14" s="62">
        <v>25.4</v>
      </c>
      <c r="AG14" s="61">
        <v>50</v>
      </c>
      <c r="AH14" s="56">
        <f t="shared" si="2"/>
        <v>25.4</v>
      </c>
      <c r="AI14" s="57">
        <f t="shared" si="3"/>
        <v>25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50">
        <v>40</v>
      </c>
      <c r="C15" s="50">
        <v>40</v>
      </c>
      <c r="D15" s="50">
        <v>40</v>
      </c>
      <c r="E15" s="50">
        <v>40</v>
      </c>
      <c r="F15" s="50">
        <v>40</v>
      </c>
      <c r="G15" s="50">
        <v>40</v>
      </c>
      <c r="H15" s="50">
        <v>40</v>
      </c>
      <c r="I15" s="50">
        <v>40</v>
      </c>
      <c r="J15" s="50">
        <v>40</v>
      </c>
      <c r="K15" s="50">
        <v>40</v>
      </c>
      <c r="L15" s="50">
        <v>38.9</v>
      </c>
      <c r="M15" s="50">
        <v>38.9</v>
      </c>
      <c r="N15" s="50">
        <v>38.9</v>
      </c>
      <c r="O15" s="50">
        <v>38.9</v>
      </c>
      <c r="P15" s="50">
        <v>40</v>
      </c>
      <c r="Q15" s="50">
        <v>38.799999999999997</v>
      </c>
      <c r="R15" s="62">
        <v>41.4</v>
      </c>
      <c r="S15" s="62">
        <v>41.4</v>
      </c>
      <c r="T15" s="62">
        <v>41.4</v>
      </c>
      <c r="U15" s="62">
        <v>41.8</v>
      </c>
      <c r="V15" s="62">
        <v>41.8</v>
      </c>
      <c r="W15" s="62">
        <v>41.8</v>
      </c>
      <c r="X15" s="62">
        <v>41.8</v>
      </c>
      <c r="Y15" s="62">
        <v>41.8</v>
      </c>
      <c r="Z15" s="62">
        <v>41.8</v>
      </c>
      <c r="AA15" s="62">
        <v>41.8</v>
      </c>
      <c r="AB15" s="62">
        <v>41.8</v>
      </c>
      <c r="AC15" s="62">
        <v>41.8</v>
      </c>
      <c r="AD15" s="62">
        <v>41.8</v>
      </c>
      <c r="AE15" s="62">
        <v>41.8</v>
      </c>
      <c r="AF15" s="62">
        <v>41.8</v>
      </c>
      <c r="AG15" s="64">
        <v>45</v>
      </c>
      <c r="AH15" s="56">
        <f t="shared" si="2"/>
        <v>41.8</v>
      </c>
      <c r="AI15" s="57">
        <f t="shared" si="3"/>
        <v>38.799999999999997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23</v>
      </c>
      <c r="C16" s="65">
        <v>23</v>
      </c>
      <c r="D16" s="65">
        <v>23</v>
      </c>
      <c r="E16" s="65">
        <v>23</v>
      </c>
      <c r="F16" s="65">
        <v>23</v>
      </c>
      <c r="G16" s="65">
        <v>23</v>
      </c>
      <c r="H16" s="65">
        <v>23</v>
      </c>
      <c r="I16" s="65">
        <v>23</v>
      </c>
      <c r="J16" s="65">
        <v>23</v>
      </c>
      <c r="K16" s="65">
        <v>23</v>
      </c>
      <c r="L16" s="65">
        <v>23</v>
      </c>
      <c r="M16" s="65">
        <v>23</v>
      </c>
      <c r="N16" s="65">
        <v>23</v>
      </c>
      <c r="O16" s="65">
        <v>23</v>
      </c>
      <c r="P16" s="65">
        <v>23</v>
      </c>
      <c r="Q16" s="65">
        <v>23</v>
      </c>
      <c r="R16" s="65">
        <v>23</v>
      </c>
      <c r="S16" s="65">
        <v>23</v>
      </c>
      <c r="T16" s="65">
        <v>23</v>
      </c>
      <c r="U16" s="65">
        <v>23</v>
      </c>
      <c r="V16" s="65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2"/>
        <v>23</v>
      </c>
      <c r="AI16" s="57">
        <f t="shared" si="3"/>
        <v>23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52">
        <v>23</v>
      </c>
      <c r="C17" s="52">
        <v>23</v>
      </c>
      <c r="D17" s="52">
        <v>23</v>
      </c>
      <c r="E17" s="52">
        <v>23</v>
      </c>
      <c r="F17" s="52">
        <v>23</v>
      </c>
      <c r="G17" s="52">
        <v>23</v>
      </c>
      <c r="H17" s="52">
        <v>23</v>
      </c>
      <c r="I17" s="52">
        <v>23</v>
      </c>
      <c r="J17" s="52">
        <v>23</v>
      </c>
      <c r="K17" s="52">
        <v>23</v>
      </c>
      <c r="L17" s="52">
        <v>23</v>
      </c>
      <c r="M17" s="52">
        <v>23</v>
      </c>
      <c r="N17" s="52">
        <v>23</v>
      </c>
      <c r="O17" s="52">
        <v>23</v>
      </c>
      <c r="P17" s="52">
        <v>23</v>
      </c>
      <c r="Q17" s="52">
        <v>23</v>
      </c>
      <c r="R17" s="52">
        <v>23</v>
      </c>
      <c r="S17" s="52">
        <v>23</v>
      </c>
      <c r="T17" s="52">
        <v>23</v>
      </c>
      <c r="U17" s="52">
        <v>23</v>
      </c>
      <c r="V17" s="52">
        <v>23</v>
      </c>
      <c r="W17" s="52">
        <v>23</v>
      </c>
      <c r="X17" s="52">
        <v>23</v>
      </c>
      <c r="Y17" s="52">
        <v>23</v>
      </c>
      <c r="Z17" s="52">
        <v>23</v>
      </c>
      <c r="AA17" s="52">
        <v>23</v>
      </c>
      <c r="AB17" s="52">
        <v>23</v>
      </c>
      <c r="AC17" s="52">
        <v>23</v>
      </c>
      <c r="AD17" s="52">
        <v>23</v>
      </c>
      <c r="AE17" s="52">
        <v>23</v>
      </c>
      <c r="AF17" s="52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22</v>
      </c>
      <c r="C19" s="50">
        <v>22</v>
      </c>
      <c r="D19" s="50">
        <v>22</v>
      </c>
      <c r="E19" s="50">
        <v>22</v>
      </c>
      <c r="F19" s="50">
        <v>22</v>
      </c>
      <c r="G19" s="50">
        <v>22</v>
      </c>
      <c r="H19" s="50">
        <v>22</v>
      </c>
      <c r="I19" s="50">
        <v>22</v>
      </c>
      <c r="J19" s="50">
        <v>22</v>
      </c>
      <c r="K19" s="50">
        <v>22</v>
      </c>
      <c r="L19" s="50">
        <v>22</v>
      </c>
      <c r="M19" s="50">
        <v>22</v>
      </c>
      <c r="N19" s="50">
        <v>22</v>
      </c>
      <c r="O19" s="50">
        <v>22</v>
      </c>
      <c r="P19" s="50">
        <v>22</v>
      </c>
      <c r="Q19" s="50">
        <v>22.5</v>
      </c>
      <c r="R19" s="50">
        <v>22.5</v>
      </c>
      <c r="S19" s="50">
        <v>22.5</v>
      </c>
      <c r="T19" s="50">
        <v>23.2</v>
      </c>
      <c r="U19" s="50">
        <v>23.9</v>
      </c>
      <c r="V19" s="50">
        <v>23.7</v>
      </c>
      <c r="W19" s="50">
        <v>23.7</v>
      </c>
      <c r="X19" s="50">
        <v>23.7</v>
      </c>
      <c r="Y19" s="50">
        <v>23.7</v>
      </c>
      <c r="Z19" s="50">
        <v>23.7</v>
      </c>
      <c r="AA19" s="50">
        <v>23.7</v>
      </c>
      <c r="AB19" s="50">
        <v>23.7</v>
      </c>
      <c r="AC19" s="50">
        <v>23.7</v>
      </c>
      <c r="AD19" s="50">
        <v>23.7</v>
      </c>
      <c r="AE19" s="50">
        <v>23.7</v>
      </c>
      <c r="AF19" s="50">
        <v>23.7</v>
      </c>
      <c r="AG19" s="61">
        <v>30</v>
      </c>
      <c r="AH19" s="56">
        <f t="shared" si="2"/>
        <v>23.9</v>
      </c>
      <c r="AI19" s="57">
        <f t="shared" si="3"/>
        <v>22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10</v>
      </c>
      <c r="N23" s="50">
        <v>10</v>
      </c>
      <c r="O23" s="50">
        <v>10</v>
      </c>
      <c r="P23" s="50">
        <v>10</v>
      </c>
      <c r="Q23" s="50">
        <v>10</v>
      </c>
      <c r="R23" s="50">
        <v>10</v>
      </c>
      <c r="S23" s="50">
        <v>10</v>
      </c>
      <c r="T23" s="50">
        <v>10</v>
      </c>
      <c r="U23" s="50">
        <v>10</v>
      </c>
      <c r="V23" s="50">
        <v>10</v>
      </c>
      <c r="W23" s="50">
        <v>10</v>
      </c>
      <c r="X23" s="50">
        <v>10</v>
      </c>
      <c r="Y23" s="50">
        <v>10</v>
      </c>
      <c r="Z23" s="50">
        <v>10</v>
      </c>
      <c r="AA23" s="50">
        <v>10</v>
      </c>
      <c r="AB23" s="50">
        <v>10</v>
      </c>
      <c r="AC23" s="50">
        <v>10</v>
      </c>
      <c r="AD23" s="50">
        <v>10</v>
      </c>
      <c r="AE23" s="50">
        <v>10</v>
      </c>
      <c r="AF23" s="50">
        <v>10</v>
      </c>
      <c r="AG23" s="61">
        <v>25</v>
      </c>
      <c r="AH23" s="56">
        <f t="shared" si="2"/>
        <v>10</v>
      </c>
      <c r="AI23" s="57">
        <f t="shared" si="3"/>
        <v>10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16</v>
      </c>
      <c r="C24" s="50">
        <v>16</v>
      </c>
      <c r="D24" s="50">
        <v>16</v>
      </c>
      <c r="E24" s="50">
        <v>16</v>
      </c>
      <c r="F24" s="50">
        <v>16</v>
      </c>
      <c r="G24" s="50">
        <v>16</v>
      </c>
      <c r="H24" s="50">
        <v>16</v>
      </c>
      <c r="I24" s="50">
        <v>16</v>
      </c>
      <c r="J24" s="50">
        <v>16</v>
      </c>
      <c r="K24" s="50">
        <v>16</v>
      </c>
      <c r="L24" s="50">
        <v>16</v>
      </c>
      <c r="M24" s="50">
        <v>16</v>
      </c>
      <c r="N24" s="50">
        <v>16</v>
      </c>
      <c r="O24" s="50">
        <v>16</v>
      </c>
      <c r="P24" s="50">
        <v>16</v>
      </c>
      <c r="Q24" s="50">
        <v>16</v>
      </c>
      <c r="R24" s="50">
        <v>16</v>
      </c>
      <c r="S24" s="50">
        <v>16</v>
      </c>
      <c r="T24" s="50">
        <v>16</v>
      </c>
      <c r="U24" s="50">
        <v>16</v>
      </c>
      <c r="V24" s="50">
        <v>16</v>
      </c>
      <c r="W24" s="50">
        <v>16</v>
      </c>
      <c r="X24" s="50">
        <v>16</v>
      </c>
      <c r="Y24" s="50">
        <v>16</v>
      </c>
      <c r="Z24" s="50">
        <v>16</v>
      </c>
      <c r="AA24" s="50">
        <v>16</v>
      </c>
      <c r="AB24" s="50">
        <v>16</v>
      </c>
      <c r="AC24" s="50">
        <v>16</v>
      </c>
      <c r="AD24" s="50">
        <v>16</v>
      </c>
      <c r="AE24" s="50">
        <v>16</v>
      </c>
      <c r="AF24" s="50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21.5</v>
      </c>
      <c r="C25" s="50">
        <v>21.5</v>
      </c>
      <c r="D25" s="50">
        <v>21.5</v>
      </c>
      <c r="E25" s="50">
        <v>21.5</v>
      </c>
      <c r="F25" s="50">
        <v>21.5</v>
      </c>
      <c r="G25" s="50">
        <v>21.5</v>
      </c>
      <c r="H25" s="50">
        <v>21.5</v>
      </c>
      <c r="I25" s="50">
        <v>21.5</v>
      </c>
      <c r="J25" s="50">
        <v>21.5</v>
      </c>
      <c r="K25" s="50">
        <v>21.5</v>
      </c>
      <c r="L25" s="50">
        <v>21.5</v>
      </c>
      <c r="M25" s="50">
        <v>21.5</v>
      </c>
      <c r="N25" s="50">
        <v>21.5</v>
      </c>
      <c r="O25" s="50">
        <v>21.5</v>
      </c>
      <c r="P25" s="50">
        <v>21.5</v>
      </c>
      <c r="Q25" s="50">
        <v>21.5</v>
      </c>
      <c r="R25" s="50">
        <v>21.5</v>
      </c>
      <c r="S25" s="50">
        <v>21.5</v>
      </c>
      <c r="T25" s="50">
        <v>21.5</v>
      </c>
      <c r="U25" s="50">
        <v>21.5</v>
      </c>
      <c r="V25" s="50">
        <v>21.5</v>
      </c>
      <c r="W25" s="50">
        <v>21.5</v>
      </c>
      <c r="X25" s="50">
        <v>21.5</v>
      </c>
      <c r="Y25" s="50">
        <v>21.5</v>
      </c>
      <c r="Z25" s="50">
        <v>21.5</v>
      </c>
      <c r="AA25" s="50">
        <v>21.5</v>
      </c>
      <c r="AB25" s="50">
        <v>21.5</v>
      </c>
      <c r="AC25" s="50">
        <v>21.5</v>
      </c>
      <c r="AD25" s="50">
        <v>21.5</v>
      </c>
      <c r="AE25" s="50">
        <v>21.5</v>
      </c>
      <c r="AF25" s="50">
        <v>21.5</v>
      </c>
      <c r="AG25" s="61">
        <v>24.2</v>
      </c>
      <c r="AH25" s="56">
        <f t="shared" si="2"/>
        <v>21.5</v>
      </c>
      <c r="AI25" s="57">
        <f t="shared" si="3"/>
        <v>21.5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4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10</v>
      </c>
      <c r="N27" s="50">
        <v>10</v>
      </c>
      <c r="O27" s="50">
        <v>10</v>
      </c>
      <c r="P27" s="50">
        <v>10</v>
      </c>
      <c r="Q27" s="50">
        <v>10</v>
      </c>
      <c r="R27" s="50">
        <v>10</v>
      </c>
      <c r="S27" s="50">
        <v>10</v>
      </c>
      <c r="T27" s="50">
        <v>10</v>
      </c>
      <c r="U27" s="50">
        <v>10</v>
      </c>
      <c r="V27" s="50">
        <v>10</v>
      </c>
      <c r="W27" s="50">
        <v>10</v>
      </c>
      <c r="X27" s="50">
        <v>10</v>
      </c>
      <c r="Y27" s="50">
        <v>10</v>
      </c>
      <c r="Z27" s="50">
        <v>10</v>
      </c>
      <c r="AA27" s="50">
        <v>10</v>
      </c>
      <c r="AB27" s="50">
        <v>10</v>
      </c>
      <c r="AC27" s="50">
        <v>10</v>
      </c>
      <c r="AD27" s="50">
        <v>10</v>
      </c>
      <c r="AE27" s="50">
        <v>10</v>
      </c>
      <c r="AF27" s="50">
        <v>10</v>
      </c>
      <c r="AG27" s="61">
        <v>23.5</v>
      </c>
      <c r="AH27" s="56">
        <f t="shared" si="2"/>
        <v>10</v>
      </c>
      <c r="AI27" s="57">
        <f t="shared" si="3"/>
        <v>10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61">
        <v>22.2</v>
      </c>
      <c r="AH28" s="56">
        <f t="shared" si="2"/>
        <v>5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72">
        <f>50.4+63.2</f>
        <v>113.6</v>
      </c>
      <c r="C36" s="72">
        <f>63.2+50.7</f>
        <v>113.9</v>
      </c>
      <c r="D36" s="63">
        <v>106</v>
      </c>
      <c r="E36" s="63">
        <v>115</v>
      </c>
      <c r="F36" s="63">
        <v>113.6</v>
      </c>
      <c r="G36" s="63">
        <v>113.6</v>
      </c>
      <c r="H36" s="63">
        <v>113.6</v>
      </c>
      <c r="I36" s="63">
        <v>113.6</v>
      </c>
      <c r="J36" s="63">
        <v>110</v>
      </c>
      <c r="K36" s="63">
        <f>60.5+49</f>
        <v>109.5</v>
      </c>
      <c r="L36" s="72">
        <v>111.3</v>
      </c>
      <c r="M36" s="72">
        <v>111.3</v>
      </c>
      <c r="N36" s="72">
        <v>103</v>
      </c>
      <c r="O36" s="72">
        <v>103.6</v>
      </c>
      <c r="P36" s="72">
        <v>112.8</v>
      </c>
      <c r="Q36" s="72">
        <f>49.3+61.6</f>
        <v>110.9</v>
      </c>
      <c r="R36" s="72">
        <v>111.8</v>
      </c>
      <c r="S36" s="72">
        <f>48.8+62.3</f>
        <v>111.1</v>
      </c>
      <c r="T36" s="72">
        <v>110.2</v>
      </c>
      <c r="U36" s="72">
        <v>108.7</v>
      </c>
      <c r="V36" s="72">
        <v>104.6</v>
      </c>
      <c r="W36" s="72">
        <v>104.4</v>
      </c>
      <c r="X36" s="72">
        <v>105</v>
      </c>
      <c r="Y36" s="72">
        <v>105</v>
      </c>
      <c r="Z36" s="72">
        <v>105</v>
      </c>
      <c r="AA36" s="72">
        <v>105.9</v>
      </c>
      <c r="AB36" s="72">
        <v>107.5</v>
      </c>
      <c r="AC36" s="72">
        <v>108</v>
      </c>
      <c r="AD36" s="72">
        <v>108</v>
      </c>
      <c r="AE36" s="72">
        <v>108</v>
      </c>
      <c r="AF36" s="63">
        <v>109.6</v>
      </c>
      <c r="AG36" s="69">
        <v>240</v>
      </c>
      <c r="AH36" s="56">
        <f t="shared" si="2"/>
        <v>115</v>
      </c>
      <c r="AI36" s="57">
        <f t="shared" si="3"/>
        <v>103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641.70000000000005</v>
      </c>
      <c r="C37" s="74">
        <f t="shared" si="4"/>
        <v>637.70000000000005</v>
      </c>
      <c r="D37" s="74">
        <f t="shared" si="4"/>
        <v>637.70000000000005</v>
      </c>
      <c r="E37" s="74">
        <f t="shared" si="4"/>
        <v>637.70000000000005</v>
      </c>
      <c r="F37" s="74">
        <f t="shared" si="4"/>
        <v>637.70000000000005</v>
      </c>
      <c r="G37" s="74">
        <f t="shared" si="4"/>
        <v>647.70000000000005</v>
      </c>
      <c r="H37" s="74">
        <f t="shared" si="4"/>
        <v>647.70000000000005</v>
      </c>
      <c r="I37" s="74">
        <f t="shared" si="4"/>
        <v>657.7</v>
      </c>
      <c r="J37" s="74">
        <f t="shared" si="4"/>
        <v>717.7</v>
      </c>
      <c r="K37" s="74">
        <f t="shared" si="4"/>
        <v>747.7</v>
      </c>
      <c r="L37" s="74">
        <f t="shared" si="4"/>
        <v>809.59999999999991</v>
      </c>
      <c r="M37" s="74">
        <f t="shared" si="4"/>
        <v>809.59999999999991</v>
      </c>
      <c r="N37" s="74">
        <f t="shared" si="4"/>
        <v>794.59999999999991</v>
      </c>
      <c r="O37" s="74">
        <f t="shared" si="4"/>
        <v>784.59999999999991</v>
      </c>
      <c r="P37" s="74">
        <f t="shared" si="4"/>
        <v>785.7</v>
      </c>
      <c r="Q37" s="74">
        <f t="shared" si="4"/>
        <v>765.4</v>
      </c>
      <c r="R37" s="74">
        <f t="shared" si="4"/>
        <v>768</v>
      </c>
      <c r="S37" s="74">
        <f t="shared" si="4"/>
        <v>768</v>
      </c>
      <c r="T37" s="74">
        <f t="shared" si="4"/>
        <v>768.59999999999991</v>
      </c>
      <c r="U37" s="74">
        <f t="shared" si="4"/>
        <v>765.8</v>
      </c>
      <c r="V37" s="74">
        <f t="shared" si="4"/>
        <v>909.60000000000014</v>
      </c>
      <c r="W37" s="74">
        <f t="shared" si="4"/>
        <v>939.60000000000014</v>
      </c>
      <c r="X37" s="74">
        <f t="shared" si="4"/>
        <v>899.60000000000014</v>
      </c>
      <c r="Y37" s="74">
        <f t="shared" si="4"/>
        <v>839.59999999999991</v>
      </c>
      <c r="Z37" s="74">
        <f t="shared" si="4"/>
        <v>839.59999999999991</v>
      </c>
      <c r="AA37" s="74">
        <f t="shared" si="4"/>
        <v>799.59999999999991</v>
      </c>
      <c r="AB37" s="74">
        <f t="shared" si="4"/>
        <v>739.59999999999991</v>
      </c>
      <c r="AC37" s="74">
        <f t="shared" si="4"/>
        <v>709.59999999999991</v>
      </c>
      <c r="AD37" s="74">
        <f t="shared" si="4"/>
        <v>699.59999999999991</v>
      </c>
      <c r="AE37" s="74">
        <f t="shared" si="4"/>
        <v>669.59999999999991</v>
      </c>
      <c r="AF37" s="74">
        <f t="shared" si="4"/>
        <v>669.59999999999991</v>
      </c>
      <c r="AG37" s="69">
        <f>SUM(AG11:AG36)</f>
        <v>1481.8299999999997</v>
      </c>
      <c r="AH37" s="56">
        <f t="shared" si="2"/>
        <v>939.60000000000014</v>
      </c>
      <c r="AI37" s="57">
        <f t="shared" si="3"/>
        <v>637.70000000000005</v>
      </c>
      <c r="AK37" s="58"/>
    </row>
    <row r="38" spans="1:88" x14ac:dyDescent="0.25">
      <c r="A38" s="59" t="s">
        <v>45</v>
      </c>
      <c r="B38" s="50">
        <v>30.6</v>
      </c>
      <c r="C38" s="50">
        <v>30.5</v>
      </c>
      <c r="D38" s="63">
        <v>30.9</v>
      </c>
      <c r="E38" s="63">
        <v>30.9</v>
      </c>
      <c r="F38" s="63">
        <v>31</v>
      </c>
      <c r="G38" s="63">
        <v>70</v>
      </c>
      <c r="H38" s="63">
        <v>97</v>
      </c>
      <c r="I38" s="63">
        <v>112</v>
      </c>
      <c r="J38" s="63">
        <v>145</v>
      </c>
      <c r="K38" s="63">
        <v>145.80000000000001</v>
      </c>
      <c r="L38" s="50">
        <v>131.4</v>
      </c>
      <c r="M38" s="50">
        <v>126.8</v>
      </c>
      <c r="N38" s="50">
        <v>101.6</v>
      </c>
      <c r="O38" s="50">
        <v>91.2</v>
      </c>
      <c r="P38" s="50">
        <v>101.9</v>
      </c>
      <c r="Q38" s="50">
        <v>80.5</v>
      </c>
      <c r="R38" s="50">
        <v>101.7</v>
      </c>
      <c r="S38" s="50">
        <v>111.7</v>
      </c>
      <c r="T38" s="50">
        <v>130.9</v>
      </c>
      <c r="U38" s="50">
        <v>145.6</v>
      </c>
      <c r="V38" s="50">
        <v>145.9</v>
      </c>
      <c r="W38" s="50">
        <v>145.80000000000001</v>
      </c>
      <c r="X38" s="50">
        <v>145.69999999999999</v>
      </c>
      <c r="Y38" s="50">
        <v>145.69999999999999</v>
      </c>
      <c r="Z38" s="50">
        <v>145.69999999999999</v>
      </c>
      <c r="AA38" s="50">
        <v>131.6</v>
      </c>
      <c r="AB38" s="50">
        <v>131.6</v>
      </c>
      <c r="AC38" s="50">
        <v>131.6</v>
      </c>
      <c r="AD38" s="50">
        <v>70.900000000000006</v>
      </c>
      <c r="AE38" s="49">
        <v>70.400000000000006</v>
      </c>
      <c r="AF38" s="49">
        <v>70.7</v>
      </c>
      <c r="AG38" s="64">
        <v>144</v>
      </c>
      <c r="AH38" s="56">
        <f t="shared" si="2"/>
        <v>145.9</v>
      </c>
      <c r="AI38" s="57">
        <f t="shared" si="3"/>
        <v>30.5</v>
      </c>
      <c r="AJ38" s="1">
        <v>144</v>
      </c>
      <c r="AK38" s="58"/>
    </row>
    <row r="39" spans="1:88" x14ac:dyDescent="0.25">
      <c r="A39" s="68" t="s">
        <v>46</v>
      </c>
      <c r="B39" s="52">
        <v>29.5</v>
      </c>
      <c r="C39" s="52">
        <v>30.5</v>
      </c>
      <c r="D39" s="63">
        <v>31.1</v>
      </c>
      <c r="E39" s="63">
        <v>32</v>
      </c>
      <c r="F39" s="63">
        <v>32</v>
      </c>
      <c r="G39" s="63">
        <v>35</v>
      </c>
      <c r="H39" s="63">
        <v>35.1</v>
      </c>
      <c r="I39" s="63">
        <v>69</v>
      </c>
      <c r="J39" s="63">
        <v>70</v>
      </c>
      <c r="K39" s="63">
        <v>69.7</v>
      </c>
      <c r="L39" s="52">
        <v>51.5</v>
      </c>
      <c r="M39" s="52">
        <v>50.1</v>
      </c>
      <c r="N39" s="52">
        <v>46.7</v>
      </c>
      <c r="O39" s="52">
        <v>23</v>
      </c>
      <c r="P39" s="52">
        <v>23.5</v>
      </c>
      <c r="Q39" s="52">
        <v>24.9</v>
      </c>
      <c r="R39" s="52">
        <v>34.299999999999997</v>
      </c>
      <c r="S39" s="52">
        <v>34.4</v>
      </c>
      <c r="T39" s="52">
        <v>40.299999999999997</v>
      </c>
      <c r="U39" s="52">
        <v>69.7</v>
      </c>
      <c r="V39" s="52">
        <v>69.3</v>
      </c>
      <c r="W39" s="52">
        <v>69.8</v>
      </c>
      <c r="X39" s="52">
        <v>69.599999999999994</v>
      </c>
      <c r="Y39" s="52">
        <v>69.599999999999994</v>
      </c>
      <c r="Z39" s="52">
        <v>69.599999999999994</v>
      </c>
      <c r="AA39" s="52">
        <v>71.599999999999994</v>
      </c>
      <c r="AB39" s="52">
        <v>71.599999999999994</v>
      </c>
      <c r="AC39" s="52">
        <v>60</v>
      </c>
      <c r="AD39" s="52">
        <v>24.9</v>
      </c>
      <c r="AE39" s="63">
        <v>24.3</v>
      </c>
      <c r="AF39" s="63">
        <v>30.3</v>
      </c>
      <c r="AG39" s="69">
        <v>70</v>
      </c>
      <c r="AH39" s="56">
        <f t="shared" si="2"/>
        <v>71.599999999999994</v>
      </c>
      <c r="AI39" s="57">
        <f t="shared" si="3"/>
        <v>23</v>
      </c>
      <c r="AJ39" s="1">
        <v>70</v>
      </c>
      <c r="AK39" s="58"/>
    </row>
    <row r="40" spans="1:88" x14ac:dyDescent="0.25">
      <c r="A40" s="68" t="s">
        <v>47</v>
      </c>
      <c r="B40" s="52">
        <v>23.2</v>
      </c>
      <c r="C40" s="52">
        <v>23.2</v>
      </c>
      <c r="D40" s="63">
        <v>23.2</v>
      </c>
      <c r="E40" s="63">
        <v>23.2</v>
      </c>
      <c r="F40" s="63">
        <v>23.3</v>
      </c>
      <c r="G40" s="63">
        <v>46</v>
      </c>
      <c r="H40" s="63">
        <v>46</v>
      </c>
      <c r="I40" s="63">
        <v>46.6</v>
      </c>
      <c r="J40" s="63">
        <v>46.9</v>
      </c>
      <c r="K40" s="63">
        <v>46.8</v>
      </c>
      <c r="L40" s="52">
        <v>48.3</v>
      </c>
      <c r="M40" s="52">
        <v>37.1</v>
      </c>
      <c r="N40" s="52">
        <v>38.200000000000003</v>
      </c>
      <c r="O40" s="52">
        <v>47.9</v>
      </c>
      <c r="P40" s="52">
        <v>38.700000000000003</v>
      </c>
      <c r="Q40" s="52">
        <v>39.4</v>
      </c>
      <c r="R40" s="52">
        <v>47.1</v>
      </c>
      <c r="S40" s="52">
        <v>47.4</v>
      </c>
      <c r="T40" s="52">
        <v>47.6</v>
      </c>
      <c r="U40" s="52">
        <v>47.1</v>
      </c>
      <c r="V40" s="52">
        <v>47</v>
      </c>
      <c r="W40" s="52">
        <v>47</v>
      </c>
      <c r="X40" s="52">
        <v>46.8</v>
      </c>
      <c r="Y40" s="52">
        <v>46.8</v>
      </c>
      <c r="Z40" s="52">
        <v>46.8</v>
      </c>
      <c r="AA40" s="52">
        <v>46.4</v>
      </c>
      <c r="AB40" s="52">
        <v>46.4</v>
      </c>
      <c r="AC40" s="52">
        <v>46.4</v>
      </c>
      <c r="AD40" s="52">
        <v>46.5</v>
      </c>
      <c r="AE40" s="63">
        <v>22.4</v>
      </c>
      <c r="AF40" s="63">
        <v>22.5</v>
      </c>
      <c r="AG40" s="69">
        <v>69</v>
      </c>
      <c r="AH40" s="56">
        <f t="shared" si="2"/>
        <v>48.3</v>
      </c>
      <c r="AI40" s="57">
        <f t="shared" si="3"/>
        <v>22.4</v>
      </c>
      <c r="AJ40" s="1">
        <v>46</v>
      </c>
      <c r="AK40" s="58"/>
    </row>
    <row r="41" spans="1:88" x14ac:dyDescent="0.25">
      <c r="A41" s="68" t="s">
        <v>48</v>
      </c>
      <c r="B41" s="52">
        <v>12.4</v>
      </c>
      <c r="C41" s="52">
        <v>12.4</v>
      </c>
      <c r="D41" s="52">
        <v>12.4</v>
      </c>
      <c r="E41" s="63">
        <v>12.5</v>
      </c>
      <c r="F41" s="63">
        <v>12.5</v>
      </c>
      <c r="G41" s="63">
        <v>30</v>
      </c>
      <c r="H41" s="63">
        <v>50.1</v>
      </c>
      <c r="I41" s="63">
        <v>60</v>
      </c>
      <c r="J41" s="63">
        <v>60</v>
      </c>
      <c r="K41" s="63">
        <v>60</v>
      </c>
      <c r="L41" s="52">
        <v>55.7</v>
      </c>
      <c r="M41" s="52">
        <v>49.4</v>
      </c>
      <c r="N41" s="52">
        <v>40.299999999999997</v>
      </c>
      <c r="O41" s="52">
        <v>40.299999999999997</v>
      </c>
      <c r="P41" s="52">
        <v>40.299999999999997</v>
      </c>
      <c r="Q41" s="52">
        <v>40.299999999999997</v>
      </c>
      <c r="R41" s="52">
        <v>40.299999999999997</v>
      </c>
      <c r="S41" s="52">
        <v>40.299999999999997</v>
      </c>
      <c r="T41" s="52">
        <v>59.5</v>
      </c>
      <c r="U41" s="52">
        <v>59.5</v>
      </c>
      <c r="V41" s="52">
        <v>59.5</v>
      </c>
      <c r="W41" s="52">
        <v>59.5</v>
      </c>
      <c r="X41" s="52">
        <v>59.5</v>
      </c>
      <c r="Y41" s="52">
        <v>59.5</v>
      </c>
      <c r="Z41" s="52">
        <v>59.5</v>
      </c>
      <c r="AA41" s="52">
        <v>59.5</v>
      </c>
      <c r="AB41" s="52">
        <v>59.5</v>
      </c>
      <c r="AC41" s="52">
        <v>40</v>
      </c>
      <c r="AD41" s="52">
        <v>21.9</v>
      </c>
      <c r="AE41" s="63">
        <v>10.6</v>
      </c>
      <c r="AF41" s="63">
        <v>10.6</v>
      </c>
      <c r="AG41" s="69">
        <v>60</v>
      </c>
      <c r="AH41" s="56">
        <f t="shared" si="2"/>
        <v>60</v>
      </c>
      <c r="AI41" s="57">
        <f t="shared" si="3"/>
        <v>10.6</v>
      </c>
      <c r="AJ41" s="1">
        <v>60</v>
      </c>
      <c r="AK41" s="58"/>
    </row>
    <row r="42" spans="1:88" x14ac:dyDescent="0.25">
      <c r="A42" s="68" t="s">
        <v>49</v>
      </c>
      <c r="B42" s="50">
        <v>14.8</v>
      </c>
      <c r="C42" s="50">
        <v>14.8</v>
      </c>
      <c r="D42" s="50">
        <v>14.8</v>
      </c>
      <c r="E42" s="50">
        <v>14.8</v>
      </c>
      <c r="F42" s="50">
        <v>14.8</v>
      </c>
      <c r="G42" s="63">
        <v>15</v>
      </c>
      <c r="H42" s="63">
        <v>15</v>
      </c>
      <c r="I42" s="63">
        <v>15</v>
      </c>
      <c r="J42" s="63">
        <v>15</v>
      </c>
      <c r="K42" s="63">
        <v>15</v>
      </c>
      <c r="L42" s="52">
        <v>29.2</v>
      </c>
      <c r="M42" s="52">
        <v>29.2</v>
      </c>
      <c r="N42" s="52">
        <v>29.2</v>
      </c>
      <c r="O42" s="52">
        <v>29</v>
      </c>
      <c r="P42" s="50">
        <v>28.8</v>
      </c>
      <c r="Q42" s="50">
        <v>14.7</v>
      </c>
      <c r="R42" s="50">
        <v>14.9</v>
      </c>
      <c r="S42" s="50">
        <v>14.9</v>
      </c>
      <c r="T42" s="50">
        <v>15</v>
      </c>
      <c r="U42" s="50">
        <v>29.9</v>
      </c>
      <c r="V42" s="50">
        <v>29.9</v>
      </c>
      <c r="W42" s="50">
        <v>29.9</v>
      </c>
      <c r="X42" s="50">
        <v>29.7</v>
      </c>
      <c r="Y42" s="50">
        <v>29.7</v>
      </c>
      <c r="Z42" s="50">
        <v>29.7</v>
      </c>
      <c r="AA42" s="52">
        <v>29.5</v>
      </c>
      <c r="AB42" s="52">
        <v>29.5</v>
      </c>
      <c r="AC42" s="52">
        <v>29.5</v>
      </c>
      <c r="AD42" s="52">
        <v>14.9</v>
      </c>
      <c r="AE42" s="52">
        <v>14.9</v>
      </c>
      <c r="AF42" s="63">
        <v>14.7</v>
      </c>
      <c r="AG42" s="69">
        <v>30</v>
      </c>
      <c r="AH42" s="56">
        <f t="shared" si="2"/>
        <v>29.9</v>
      </c>
      <c r="AI42" s="57">
        <f t="shared" si="3"/>
        <v>14.7</v>
      </c>
      <c r="AJ42" s="1">
        <v>30</v>
      </c>
      <c r="AK42" s="58"/>
    </row>
    <row r="43" spans="1:88" x14ac:dyDescent="0.25">
      <c r="A43" s="68" t="s">
        <v>50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2">
        <v>0</v>
      </c>
      <c r="M43" s="52">
        <v>0</v>
      </c>
      <c r="N43" s="52">
        <v>0</v>
      </c>
      <c r="O43" s="52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9">
        <v>25</v>
      </c>
      <c r="AH43" s="56">
        <f t="shared" si="2"/>
        <v>0</v>
      </c>
      <c r="AI43" s="57">
        <f t="shared" si="3"/>
        <v>0</v>
      </c>
      <c r="AJ43" s="1">
        <v>5</v>
      </c>
      <c r="AK43" s="58"/>
    </row>
    <row r="44" spans="1:88" x14ac:dyDescent="0.25">
      <c r="A44" s="68" t="s">
        <v>51</v>
      </c>
      <c r="B44" s="50">
        <v>10</v>
      </c>
      <c r="C44" s="50">
        <v>10</v>
      </c>
      <c r="D44" s="50">
        <v>10</v>
      </c>
      <c r="E44" s="50">
        <v>10</v>
      </c>
      <c r="F44" s="50">
        <v>10</v>
      </c>
      <c r="G44" s="75">
        <v>10</v>
      </c>
      <c r="H44" s="75">
        <v>10</v>
      </c>
      <c r="I44" s="75">
        <v>15</v>
      </c>
      <c r="J44" s="75">
        <v>15</v>
      </c>
      <c r="K44" s="75">
        <v>15</v>
      </c>
      <c r="L44" s="50">
        <v>15</v>
      </c>
      <c r="M44" s="50">
        <v>15</v>
      </c>
      <c r="N44" s="50">
        <v>15</v>
      </c>
      <c r="O44" s="50">
        <v>15</v>
      </c>
      <c r="P44" s="50">
        <v>15</v>
      </c>
      <c r="Q44" s="50">
        <v>15</v>
      </c>
      <c r="R44" s="50">
        <v>15</v>
      </c>
      <c r="S44" s="50">
        <v>15</v>
      </c>
      <c r="T44" s="50">
        <v>15</v>
      </c>
      <c r="U44" s="50">
        <v>15</v>
      </c>
      <c r="V44" s="50">
        <v>15</v>
      </c>
      <c r="W44" s="50">
        <v>15</v>
      </c>
      <c r="X44" s="50">
        <v>15</v>
      </c>
      <c r="Y44" s="50">
        <v>15</v>
      </c>
      <c r="Z44" s="50">
        <v>15</v>
      </c>
      <c r="AA44" s="50">
        <v>15</v>
      </c>
      <c r="AB44" s="50">
        <v>15</v>
      </c>
      <c r="AC44" s="50">
        <v>15</v>
      </c>
      <c r="AD44" s="50">
        <v>15</v>
      </c>
      <c r="AE44" s="50">
        <v>15</v>
      </c>
      <c r="AF44" s="50">
        <v>15</v>
      </c>
      <c r="AG44" s="69">
        <v>24</v>
      </c>
      <c r="AH44" s="56">
        <f t="shared" si="2"/>
        <v>15</v>
      </c>
      <c r="AI44" s="57">
        <f t="shared" si="3"/>
        <v>10</v>
      </c>
      <c r="AJ44" s="1">
        <v>15</v>
      </c>
      <c r="AK44" s="58"/>
    </row>
    <row r="45" spans="1:88" x14ac:dyDescent="0.25">
      <c r="A45" s="68" t="s">
        <v>52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2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9">
        <v>15</v>
      </c>
      <c r="AH45" s="56">
        <f t="shared" si="2"/>
        <v>0</v>
      </c>
      <c r="AI45" s="57">
        <f t="shared" si="3"/>
        <v>0</v>
      </c>
      <c r="AJ45" s="1">
        <v>0</v>
      </c>
      <c r="AK45" s="58"/>
      <c r="AL45" s="76"/>
      <c r="AO45" s="76"/>
    </row>
    <row r="46" spans="1:88" s="76" customFormat="1" x14ac:dyDescent="0.25">
      <c r="A46" s="68" t="s">
        <v>53</v>
      </c>
      <c r="B46" s="50">
        <v>8</v>
      </c>
      <c r="C46" s="50">
        <v>8</v>
      </c>
      <c r="D46" s="50">
        <v>8</v>
      </c>
      <c r="E46" s="50">
        <v>8</v>
      </c>
      <c r="F46" s="50">
        <v>8</v>
      </c>
      <c r="G46" s="50">
        <v>8</v>
      </c>
      <c r="H46" s="63">
        <v>8</v>
      </c>
      <c r="I46" s="63">
        <v>8</v>
      </c>
      <c r="J46" s="63">
        <v>11</v>
      </c>
      <c r="K46" s="63">
        <v>11</v>
      </c>
      <c r="L46" s="50">
        <v>11</v>
      </c>
      <c r="M46" s="50">
        <v>11</v>
      </c>
      <c r="N46" s="50">
        <v>11</v>
      </c>
      <c r="O46" s="50">
        <v>11</v>
      </c>
      <c r="P46" s="50">
        <v>11</v>
      </c>
      <c r="Q46" s="50">
        <v>11</v>
      </c>
      <c r="R46" s="50">
        <v>11</v>
      </c>
      <c r="S46" s="50">
        <v>11</v>
      </c>
      <c r="T46" s="50">
        <v>11</v>
      </c>
      <c r="U46" s="50">
        <v>11</v>
      </c>
      <c r="V46" s="50">
        <v>11</v>
      </c>
      <c r="W46" s="50">
        <v>11</v>
      </c>
      <c r="X46" s="50">
        <v>11</v>
      </c>
      <c r="Y46" s="50">
        <v>11</v>
      </c>
      <c r="Z46" s="50">
        <v>11</v>
      </c>
      <c r="AA46" s="50">
        <v>11</v>
      </c>
      <c r="AB46" s="50">
        <v>11</v>
      </c>
      <c r="AC46" s="50">
        <v>11</v>
      </c>
      <c r="AD46" s="50">
        <v>11</v>
      </c>
      <c r="AE46" s="50">
        <v>11</v>
      </c>
      <c r="AF46" s="50">
        <v>11</v>
      </c>
      <c r="AG46" s="69">
        <v>14.1</v>
      </c>
      <c r="AH46" s="56">
        <f t="shared" si="2"/>
        <v>11</v>
      </c>
      <c r="AI46" s="57">
        <f t="shared" si="3"/>
        <v>8</v>
      </c>
      <c r="AJ46" s="1">
        <v>12</v>
      </c>
      <c r="AK46" s="58"/>
      <c r="AL46"/>
      <c r="AM46"/>
      <c r="AN46"/>
      <c r="AO46"/>
    </row>
    <row r="47" spans="1:88" x14ac:dyDescent="0.25">
      <c r="A47" s="77" t="s">
        <v>54</v>
      </c>
      <c r="B47" s="50">
        <v>7.2</v>
      </c>
      <c r="C47" s="50">
        <v>7.2</v>
      </c>
      <c r="D47" s="50">
        <v>7.2</v>
      </c>
      <c r="E47" s="50">
        <v>7.2</v>
      </c>
      <c r="F47" s="50">
        <v>7.2</v>
      </c>
      <c r="G47" s="50">
        <v>7.2</v>
      </c>
      <c r="H47" s="50">
        <v>7.2</v>
      </c>
      <c r="I47" s="50">
        <v>7.2</v>
      </c>
      <c r="J47" s="50">
        <v>7.2</v>
      </c>
      <c r="K47" s="50">
        <v>7.2</v>
      </c>
      <c r="L47" s="50">
        <v>7.2</v>
      </c>
      <c r="M47" s="50">
        <v>7.2</v>
      </c>
      <c r="N47" s="50">
        <v>7.2</v>
      </c>
      <c r="O47" s="50">
        <v>7.2</v>
      </c>
      <c r="P47" s="50">
        <v>7.2</v>
      </c>
      <c r="Q47" s="50">
        <v>7.2</v>
      </c>
      <c r="R47" s="50">
        <v>7.2</v>
      </c>
      <c r="S47" s="50">
        <v>7.2</v>
      </c>
      <c r="T47" s="50">
        <v>7.2</v>
      </c>
      <c r="U47" s="50">
        <v>7.2</v>
      </c>
      <c r="V47" s="50">
        <v>7.2</v>
      </c>
      <c r="W47" s="50">
        <v>7.2</v>
      </c>
      <c r="X47" s="50">
        <v>7.2</v>
      </c>
      <c r="Y47" s="50">
        <v>7.2</v>
      </c>
      <c r="Z47" s="50">
        <v>7.2</v>
      </c>
      <c r="AA47" s="50">
        <v>7.2</v>
      </c>
      <c r="AB47" s="50">
        <v>7.2</v>
      </c>
      <c r="AC47" s="50">
        <v>7.2</v>
      </c>
      <c r="AD47" s="50">
        <v>7.2</v>
      </c>
      <c r="AE47" s="50">
        <v>7.2</v>
      </c>
      <c r="AF47" s="50">
        <v>7.2</v>
      </c>
      <c r="AG47" s="69">
        <v>14</v>
      </c>
      <c r="AH47" s="56">
        <f t="shared" si="2"/>
        <v>7.2</v>
      </c>
      <c r="AI47" s="57">
        <f t="shared" si="3"/>
        <v>7.2</v>
      </c>
      <c r="AJ47" s="1">
        <v>7.2</v>
      </c>
      <c r="AK47" s="58"/>
    </row>
    <row r="48" spans="1:88" x14ac:dyDescent="0.25">
      <c r="A48" s="68" t="s">
        <v>55</v>
      </c>
      <c r="B48" s="50">
        <v>10.199999999999999</v>
      </c>
      <c r="C48" s="50">
        <v>10.199999999999999</v>
      </c>
      <c r="D48" s="50">
        <v>10.199999999999999</v>
      </c>
      <c r="E48" s="50">
        <v>10.199999999999999</v>
      </c>
      <c r="F48" s="50">
        <v>10.199999999999999</v>
      </c>
      <c r="G48" s="50">
        <v>10.199999999999999</v>
      </c>
      <c r="H48" s="50">
        <v>10.199999999999999</v>
      </c>
      <c r="I48" s="50">
        <v>10.199999999999999</v>
      </c>
      <c r="J48" s="50">
        <v>10.199999999999999</v>
      </c>
      <c r="K48" s="50">
        <v>10.199999999999999</v>
      </c>
      <c r="L48" s="50">
        <v>10.199999999999999</v>
      </c>
      <c r="M48" s="50">
        <v>10.199999999999999</v>
      </c>
      <c r="N48" s="50">
        <v>10.199999999999999</v>
      </c>
      <c r="O48" s="50">
        <v>10.199999999999999</v>
      </c>
      <c r="P48" s="50">
        <v>10.199999999999999</v>
      </c>
      <c r="Q48" s="50">
        <v>9</v>
      </c>
      <c r="R48" s="50">
        <v>9</v>
      </c>
      <c r="S48" s="50">
        <v>9</v>
      </c>
      <c r="T48" s="50">
        <v>9</v>
      </c>
      <c r="U48" s="50">
        <v>9</v>
      </c>
      <c r="V48" s="50">
        <v>9</v>
      </c>
      <c r="W48" s="50">
        <v>9</v>
      </c>
      <c r="X48" s="50">
        <v>9</v>
      </c>
      <c r="Y48" s="50">
        <v>9</v>
      </c>
      <c r="Z48" s="50">
        <v>9</v>
      </c>
      <c r="AA48" s="50">
        <v>9</v>
      </c>
      <c r="AB48" s="50">
        <v>9</v>
      </c>
      <c r="AC48" s="50">
        <v>9</v>
      </c>
      <c r="AD48" s="50">
        <v>9</v>
      </c>
      <c r="AE48" s="50">
        <v>9</v>
      </c>
      <c r="AF48" s="50">
        <v>9</v>
      </c>
      <c r="AG48" s="69">
        <v>10.050000000000001</v>
      </c>
      <c r="AH48" s="56">
        <f t="shared" si="2"/>
        <v>10.199999999999999</v>
      </c>
      <c r="AI48" s="57">
        <f t="shared" si="3"/>
        <v>9</v>
      </c>
      <c r="AJ48" s="1">
        <v>9</v>
      </c>
      <c r="AK48" s="58"/>
    </row>
    <row r="49" spans="1:37" x14ac:dyDescent="0.25">
      <c r="A49" s="68" t="s">
        <v>56</v>
      </c>
      <c r="B49" s="50">
        <v>6.2</v>
      </c>
      <c r="C49" s="50">
        <v>6.2</v>
      </c>
      <c r="D49" s="50">
        <v>6.2</v>
      </c>
      <c r="E49" s="50">
        <v>6.2</v>
      </c>
      <c r="F49" s="50">
        <v>6.2</v>
      </c>
      <c r="G49" s="50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9">
        <v>6.2</v>
      </c>
      <c r="AH49" s="56">
        <f t="shared" si="2"/>
        <v>6.2</v>
      </c>
      <c r="AI49" s="57">
        <f t="shared" si="3"/>
        <v>6.2</v>
      </c>
      <c r="AJ49" s="1"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f t="shared" si="5"/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J50" s="1">
        <v>3.5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155.63999999999996</v>
      </c>
      <c r="C51" s="74">
        <f t="shared" si="6"/>
        <v>156.53999999999996</v>
      </c>
      <c r="D51" s="74">
        <f t="shared" si="6"/>
        <v>157.53999999999996</v>
      </c>
      <c r="E51" s="74">
        <f t="shared" si="6"/>
        <v>158.53999999999994</v>
      </c>
      <c r="F51" s="74">
        <f t="shared" si="6"/>
        <v>158.73999999999995</v>
      </c>
      <c r="G51" s="74">
        <f t="shared" si="6"/>
        <v>241.13999999999996</v>
      </c>
      <c r="H51" s="74">
        <f t="shared" si="6"/>
        <v>288.33999999999997</v>
      </c>
      <c r="I51" s="74">
        <f t="shared" si="6"/>
        <v>352.74</v>
      </c>
      <c r="J51" s="74">
        <f t="shared" si="6"/>
        <v>390.03999999999996</v>
      </c>
      <c r="K51" s="74">
        <f t="shared" si="6"/>
        <v>390.44</v>
      </c>
      <c r="L51" s="74">
        <f t="shared" si="6"/>
        <v>369.23999999999995</v>
      </c>
      <c r="M51" s="74">
        <f t="shared" si="6"/>
        <v>345.73999999999995</v>
      </c>
      <c r="N51" s="74">
        <f t="shared" si="6"/>
        <v>309.14</v>
      </c>
      <c r="O51" s="74">
        <f t="shared" si="6"/>
        <v>284.53999999999996</v>
      </c>
      <c r="P51" s="74">
        <f>SUM(P38:P50)</f>
        <v>286.34000000000003</v>
      </c>
      <c r="Q51" s="74">
        <f t="shared" si="6"/>
        <v>251.73999999999998</v>
      </c>
      <c r="R51" s="74">
        <f t="shared" si="6"/>
        <v>290.23999999999995</v>
      </c>
      <c r="S51" s="74">
        <f t="shared" si="6"/>
        <v>300.64000000000004</v>
      </c>
      <c r="T51" s="74">
        <f t="shared" si="6"/>
        <v>345.23999999999995</v>
      </c>
      <c r="U51" s="74">
        <f t="shared" si="6"/>
        <v>403.74</v>
      </c>
      <c r="V51" s="74">
        <f t="shared" si="6"/>
        <v>403.53999999999996</v>
      </c>
      <c r="W51" s="74">
        <f t="shared" si="6"/>
        <v>403.94</v>
      </c>
      <c r="X51" s="74">
        <f t="shared" si="6"/>
        <v>403.23999999999995</v>
      </c>
      <c r="Y51" s="74">
        <f t="shared" si="6"/>
        <v>403.23999999999995</v>
      </c>
      <c r="Z51" s="74">
        <f t="shared" si="6"/>
        <v>403.23999999999995</v>
      </c>
      <c r="AA51" s="74">
        <f t="shared" si="6"/>
        <v>390.54</v>
      </c>
      <c r="AB51" s="74">
        <f t="shared" si="6"/>
        <v>390.54</v>
      </c>
      <c r="AC51" s="74">
        <f t="shared" si="6"/>
        <v>359.44</v>
      </c>
      <c r="AD51" s="74">
        <f t="shared" si="6"/>
        <v>231.04</v>
      </c>
      <c r="AE51" s="74">
        <f t="shared" si="6"/>
        <v>194.53999999999996</v>
      </c>
      <c r="AF51" s="74">
        <f t="shared" si="6"/>
        <v>200.73999999999995</v>
      </c>
      <c r="AG51" s="79">
        <f>SUM(AG38:AG50)</f>
        <v>489.91</v>
      </c>
      <c r="AH51" s="56">
        <f t="shared" si="2"/>
        <v>403.94</v>
      </c>
      <c r="AI51" s="57">
        <f t="shared" si="3"/>
        <v>155.63999999999996</v>
      </c>
      <c r="AJ51" s="1">
        <f>SUM(AJ38:AJ50)</f>
        <v>407.9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60</v>
      </c>
      <c r="W52" s="50">
        <v>60.5</v>
      </c>
      <c r="X52" s="50">
        <v>39.700000000000003</v>
      </c>
      <c r="Y52" s="50">
        <v>14.14</v>
      </c>
      <c r="Z52" s="50">
        <v>10.199999999999999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60.5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52">
        <v>0</v>
      </c>
      <c r="Q53" s="52">
        <v>0</v>
      </c>
      <c r="R53" s="52">
        <v>0</v>
      </c>
      <c r="S53" s="50">
        <v>0</v>
      </c>
      <c r="T53" s="50">
        <v>0</v>
      </c>
      <c r="U53" s="50">
        <v>0</v>
      </c>
      <c r="V53" s="52">
        <v>30.2</v>
      </c>
      <c r="W53" s="52">
        <v>28.5</v>
      </c>
      <c r="X53" s="52">
        <v>16.7</v>
      </c>
      <c r="Y53" s="52">
        <v>10.6</v>
      </c>
      <c r="Z53" s="52">
        <v>4.8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30.2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2">
        <v>0</v>
      </c>
      <c r="Q54" s="82">
        <v>0</v>
      </c>
      <c r="R54" s="82">
        <v>0</v>
      </c>
      <c r="S54" s="50">
        <v>0</v>
      </c>
      <c r="T54" s="50">
        <v>0</v>
      </c>
      <c r="U54" s="50">
        <v>0</v>
      </c>
      <c r="V54" s="82">
        <v>10.9</v>
      </c>
      <c r="W54" s="82">
        <v>10.4</v>
      </c>
      <c r="X54" s="82">
        <v>6.1</v>
      </c>
      <c r="Y54" s="82">
        <v>4.0999999999999996</v>
      </c>
      <c r="Z54" s="82">
        <v>1.7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10.9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101.10000000000001</v>
      </c>
      <c r="W55" s="74">
        <f t="shared" si="7"/>
        <v>99.4</v>
      </c>
      <c r="X55" s="74">
        <f t="shared" si="7"/>
        <v>62.500000000000007</v>
      </c>
      <c r="Y55" s="74">
        <f t="shared" si="7"/>
        <v>28.840000000000003</v>
      </c>
      <c r="Z55" s="74">
        <f t="shared" si="7"/>
        <v>16.7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101.10000000000001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0">
        <v>0</v>
      </c>
      <c r="C57" s="50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-55.8</v>
      </c>
      <c r="C58" s="52">
        <v>-77.3</v>
      </c>
      <c r="D58" s="52">
        <v>-75</v>
      </c>
      <c r="E58" s="52">
        <v>-60</v>
      </c>
      <c r="F58" s="52">
        <v>-52</v>
      </c>
      <c r="G58" s="50">
        <v>-49</v>
      </c>
      <c r="H58" s="50">
        <v>-55</v>
      </c>
      <c r="I58" s="50">
        <v>-50</v>
      </c>
      <c r="J58" s="50">
        <v>-52</v>
      </c>
      <c r="K58" s="50">
        <v>-48.4</v>
      </c>
      <c r="L58" s="50">
        <v>-58.4</v>
      </c>
      <c r="M58" s="50">
        <v>-53.1</v>
      </c>
      <c r="N58" s="50">
        <v>-40</v>
      </c>
      <c r="O58" s="50">
        <v>-50.7</v>
      </c>
      <c r="P58" s="52">
        <v>-66</v>
      </c>
      <c r="Q58" s="52">
        <v>-50</v>
      </c>
      <c r="R58" s="52">
        <v>-50.5</v>
      </c>
      <c r="S58" s="52">
        <v>-54.8</v>
      </c>
      <c r="T58" s="52">
        <v>-66.3</v>
      </c>
      <c r="U58" s="52">
        <v>-59.3</v>
      </c>
      <c r="V58" s="52">
        <v>-65.599999999999994</v>
      </c>
      <c r="W58" s="52">
        <v>-80</v>
      </c>
      <c r="X58" s="85">
        <v>-75</v>
      </c>
      <c r="Y58" s="85">
        <v>-89</v>
      </c>
      <c r="Z58" s="85">
        <v>-94</v>
      </c>
      <c r="AA58" s="85">
        <v>-74.2</v>
      </c>
      <c r="AB58" s="85">
        <v>-71.8</v>
      </c>
      <c r="AC58" s="85">
        <v>-80</v>
      </c>
      <c r="AD58" s="85">
        <v>-74.2</v>
      </c>
      <c r="AE58" s="85">
        <v>-55.9</v>
      </c>
      <c r="AF58" s="52">
        <v>-51.5</v>
      </c>
      <c r="AG58" s="86"/>
      <c r="AH58" s="56">
        <f t="shared" si="2"/>
        <v>-40</v>
      </c>
      <c r="AI58" s="57">
        <f t="shared" si="3"/>
        <v>-94</v>
      </c>
      <c r="AK58" s="58"/>
    </row>
    <row r="59" spans="1:37" x14ac:dyDescent="0.25">
      <c r="A59" s="68" t="s">
        <v>66</v>
      </c>
      <c r="B59" s="52">
        <v>0</v>
      </c>
      <c r="C59" s="52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52">
        <v>0</v>
      </c>
      <c r="Q60" s="50">
        <v>0</v>
      </c>
      <c r="R60" s="50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62">
        <v>0</v>
      </c>
      <c r="R61" s="6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2">
        <v>0</v>
      </c>
      <c r="Q62" s="62">
        <v>0</v>
      </c>
      <c r="R62" s="6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52">
        <v>0</v>
      </c>
      <c r="Q63" s="60">
        <v>0</v>
      </c>
      <c r="R63" s="60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52">
        <v>0</v>
      </c>
      <c r="Q64" s="60">
        <v>0</v>
      </c>
      <c r="R64" s="60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65">
        <v>0</v>
      </c>
      <c r="R65" s="65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50">
        <v>0</v>
      </c>
      <c r="P66" s="52">
        <v>0</v>
      </c>
      <c r="Q66" s="65">
        <v>0</v>
      </c>
      <c r="R66" s="65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-55.8</v>
      </c>
      <c r="C67" s="74">
        <f t="shared" ref="C67:AF67" si="8">SUM(C56:C66)</f>
        <v>-77.3</v>
      </c>
      <c r="D67" s="74">
        <f t="shared" si="8"/>
        <v>-75</v>
      </c>
      <c r="E67" s="74">
        <f t="shared" si="8"/>
        <v>-60</v>
      </c>
      <c r="F67" s="74">
        <f t="shared" si="8"/>
        <v>-52</v>
      </c>
      <c r="G67" s="74">
        <f t="shared" si="8"/>
        <v>-49</v>
      </c>
      <c r="H67" s="74">
        <f t="shared" si="8"/>
        <v>-55</v>
      </c>
      <c r="I67" s="74">
        <f t="shared" si="8"/>
        <v>-50</v>
      </c>
      <c r="J67" s="74">
        <f t="shared" si="8"/>
        <v>-52</v>
      </c>
      <c r="K67" s="74">
        <f t="shared" si="8"/>
        <v>-48.4</v>
      </c>
      <c r="L67" s="74">
        <f t="shared" si="8"/>
        <v>-58.4</v>
      </c>
      <c r="M67" s="74">
        <f t="shared" si="8"/>
        <v>-53.1</v>
      </c>
      <c r="N67" s="74">
        <f t="shared" si="8"/>
        <v>-40</v>
      </c>
      <c r="O67" s="74">
        <f t="shared" si="8"/>
        <v>-50.7</v>
      </c>
      <c r="P67" s="74">
        <f t="shared" si="8"/>
        <v>-66</v>
      </c>
      <c r="Q67" s="74">
        <f t="shared" si="8"/>
        <v>-50</v>
      </c>
      <c r="R67" s="74">
        <f t="shared" si="8"/>
        <v>-50.5</v>
      </c>
      <c r="S67" s="74">
        <f t="shared" si="8"/>
        <v>-54.8</v>
      </c>
      <c r="T67" s="74">
        <f t="shared" si="8"/>
        <v>-66.3</v>
      </c>
      <c r="U67" s="74">
        <f t="shared" si="8"/>
        <v>-59.3</v>
      </c>
      <c r="V67" s="74">
        <f t="shared" si="8"/>
        <v>-65.599999999999994</v>
      </c>
      <c r="W67" s="74">
        <f t="shared" si="8"/>
        <v>-80</v>
      </c>
      <c r="X67" s="74">
        <f t="shared" si="8"/>
        <v>-75</v>
      </c>
      <c r="Y67" s="74">
        <f t="shared" si="8"/>
        <v>-89</v>
      </c>
      <c r="Z67" s="74">
        <f t="shared" si="8"/>
        <v>-94</v>
      </c>
      <c r="AA67" s="74">
        <f t="shared" si="8"/>
        <v>-74.2</v>
      </c>
      <c r="AB67" s="74">
        <f t="shared" si="8"/>
        <v>-71.8</v>
      </c>
      <c r="AC67" s="74">
        <f t="shared" si="8"/>
        <v>-80</v>
      </c>
      <c r="AD67" s="74">
        <f t="shared" si="8"/>
        <v>-74.2</v>
      </c>
      <c r="AE67" s="74">
        <f t="shared" si="8"/>
        <v>-55.9</v>
      </c>
      <c r="AF67" s="74">
        <f t="shared" si="8"/>
        <v>-51.5</v>
      </c>
      <c r="AG67" s="79">
        <f>SUM(AG56:AG66)</f>
        <v>0</v>
      </c>
      <c r="AH67" s="56">
        <f t="shared" si="2"/>
        <v>-40</v>
      </c>
      <c r="AI67" s="57">
        <f t="shared" si="3"/>
        <v>-94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741.54</v>
      </c>
      <c r="C72" s="90">
        <f t="shared" ref="C72:AG72" si="10">C67+C55+C51+C37+C71</f>
        <v>716.94</v>
      </c>
      <c r="D72" s="90">
        <f t="shared" si="10"/>
        <v>720.24</v>
      </c>
      <c r="E72" s="90">
        <f t="shared" si="10"/>
        <v>736.24</v>
      </c>
      <c r="F72" s="90">
        <f t="shared" si="10"/>
        <v>744.44</v>
      </c>
      <c r="G72" s="90">
        <f t="shared" si="10"/>
        <v>839.84</v>
      </c>
      <c r="H72" s="90">
        <f t="shared" si="10"/>
        <v>881.04</v>
      </c>
      <c r="I72" s="90">
        <f t="shared" si="10"/>
        <v>960.44</v>
      </c>
      <c r="J72" s="90">
        <f t="shared" si="10"/>
        <v>1055.74</v>
      </c>
      <c r="K72" s="90">
        <f t="shared" si="10"/>
        <v>1089.74</v>
      </c>
      <c r="L72" s="90">
        <f t="shared" si="10"/>
        <v>1120.4399999999998</v>
      </c>
      <c r="M72" s="90">
        <f t="shared" si="10"/>
        <v>1102.2399999999998</v>
      </c>
      <c r="N72" s="90">
        <f t="shared" si="10"/>
        <v>1063.7399999999998</v>
      </c>
      <c r="O72" s="90">
        <f t="shared" si="10"/>
        <v>1018.4399999999998</v>
      </c>
      <c r="P72" s="90">
        <f t="shared" si="10"/>
        <v>1006.0400000000001</v>
      </c>
      <c r="Q72" s="90">
        <f t="shared" si="10"/>
        <v>967.14</v>
      </c>
      <c r="R72" s="90">
        <f t="shared" si="10"/>
        <v>1007.74</v>
      </c>
      <c r="S72" s="90">
        <f t="shared" si="10"/>
        <v>1013.84</v>
      </c>
      <c r="T72" s="90">
        <f t="shared" si="10"/>
        <v>1047.54</v>
      </c>
      <c r="U72" s="90">
        <f t="shared" si="10"/>
        <v>1110.24</v>
      </c>
      <c r="V72" s="90">
        <f t="shared" si="10"/>
        <v>1348.64</v>
      </c>
      <c r="W72" s="90">
        <f t="shared" si="10"/>
        <v>1362.94</v>
      </c>
      <c r="X72" s="90">
        <f t="shared" si="10"/>
        <v>1290.3400000000001</v>
      </c>
      <c r="Y72" s="90">
        <f t="shared" si="10"/>
        <v>1182.6799999999998</v>
      </c>
      <c r="Z72" s="90">
        <f t="shared" si="10"/>
        <v>1165.54</v>
      </c>
      <c r="AA72" s="90">
        <f t="shared" si="10"/>
        <v>1115.94</v>
      </c>
      <c r="AB72" s="90">
        <f t="shared" si="10"/>
        <v>1058.3399999999999</v>
      </c>
      <c r="AC72" s="90">
        <f t="shared" si="10"/>
        <v>989.04</v>
      </c>
      <c r="AD72" s="90">
        <f t="shared" si="10"/>
        <v>856.43999999999983</v>
      </c>
      <c r="AE72" s="90">
        <f t="shared" si="10"/>
        <v>808.2399999999999</v>
      </c>
      <c r="AF72" s="90">
        <f t="shared" si="10"/>
        <v>818.83999999999992</v>
      </c>
      <c r="AG72" s="90">
        <f t="shared" si="10"/>
        <v>2133.14</v>
      </c>
      <c r="AH72" s="56">
        <f t="shared" si="2"/>
        <v>1362.94</v>
      </c>
      <c r="AI72" s="57">
        <f t="shared" si="3"/>
        <v>716.94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741.54</v>
      </c>
      <c r="C74" s="90">
        <f t="shared" ref="C74:AF74" si="11">C71+C67+C55+C51+C37+C73</f>
        <v>716.94</v>
      </c>
      <c r="D74" s="90">
        <f t="shared" si="11"/>
        <v>720.24</v>
      </c>
      <c r="E74" s="90">
        <f t="shared" si="11"/>
        <v>736.24</v>
      </c>
      <c r="F74" s="90">
        <f t="shared" si="11"/>
        <v>744.44</v>
      </c>
      <c r="G74" s="90">
        <f t="shared" si="11"/>
        <v>839.84</v>
      </c>
      <c r="H74" s="90">
        <f t="shared" si="11"/>
        <v>881.04</v>
      </c>
      <c r="I74" s="90">
        <f t="shared" si="11"/>
        <v>960.44</v>
      </c>
      <c r="J74" s="90">
        <f t="shared" si="11"/>
        <v>1055.74</v>
      </c>
      <c r="K74" s="90">
        <f t="shared" si="11"/>
        <v>1089.74</v>
      </c>
      <c r="L74" s="90">
        <f t="shared" si="11"/>
        <v>1120.4399999999998</v>
      </c>
      <c r="M74" s="90">
        <f t="shared" si="11"/>
        <v>1102.2399999999998</v>
      </c>
      <c r="N74" s="90">
        <f t="shared" si="11"/>
        <v>1063.7399999999998</v>
      </c>
      <c r="O74" s="90">
        <f t="shared" si="11"/>
        <v>1018.4399999999998</v>
      </c>
      <c r="P74" s="90">
        <f t="shared" si="11"/>
        <v>1006.0400000000001</v>
      </c>
      <c r="Q74" s="90">
        <f t="shared" si="11"/>
        <v>967.14</v>
      </c>
      <c r="R74" s="90">
        <f t="shared" si="11"/>
        <v>1007.74</v>
      </c>
      <c r="S74" s="90">
        <f t="shared" si="11"/>
        <v>1013.84</v>
      </c>
      <c r="T74" s="90">
        <f t="shared" si="11"/>
        <v>1047.54</v>
      </c>
      <c r="U74" s="90">
        <f t="shared" si="11"/>
        <v>1110.24</v>
      </c>
      <c r="V74" s="90">
        <f t="shared" si="11"/>
        <v>1348.64</v>
      </c>
      <c r="W74" s="90">
        <f t="shared" si="11"/>
        <v>1362.94</v>
      </c>
      <c r="X74" s="90">
        <f t="shared" si="11"/>
        <v>1290.3400000000001</v>
      </c>
      <c r="Y74" s="90">
        <f t="shared" si="11"/>
        <v>1182.6799999999998</v>
      </c>
      <c r="Z74" s="90">
        <f t="shared" si="11"/>
        <v>1165.54</v>
      </c>
      <c r="AA74" s="90">
        <f t="shared" si="11"/>
        <v>1115.94</v>
      </c>
      <c r="AB74" s="90">
        <f t="shared" si="11"/>
        <v>1058.3399999999999</v>
      </c>
      <c r="AC74" s="90">
        <f t="shared" si="11"/>
        <v>989.04</v>
      </c>
      <c r="AD74" s="90">
        <f t="shared" si="11"/>
        <v>856.43999999999983</v>
      </c>
      <c r="AE74" s="90">
        <f t="shared" si="11"/>
        <v>808.2399999999999</v>
      </c>
      <c r="AF74" s="90">
        <f t="shared" si="11"/>
        <v>818.83999999999992</v>
      </c>
      <c r="AG74" s="79">
        <f>AG71+AG67+AG55+AG51+AG37+AG73</f>
        <v>2133.14</v>
      </c>
      <c r="AH74" s="56">
        <f t="shared" si="2"/>
        <v>1362.94</v>
      </c>
      <c r="AI74" s="57">
        <f t="shared" si="3"/>
        <v>716.94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55.8</v>
      </c>
      <c r="C78" s="60">
        <f t="shared" ref="C78:AF78" si="15">IF(C58&lt;0,C58*-1,0)</f>
        <v>77.3</v>
      </c>
      <c r="D78" s="60">
        <f t="shared" si="15"/>
        <v>75</v>
      </c>
      <c r="E78" s="60">
        <f t="shared" si="15"/>
        <v>60</v>
      </c>
      <c r="F78" s="60">
        <f t="shared" si="15"/>
        <v>52</v>
      </c>
      <c r="G78" s="60">
        <f t="shared" si="15"/>
        <v>49</v>
      </c>
      <c r="H78" s="60">
        <f t="shared" si="15"/>
        <v>55</v>
      </c>
      <c r="I78" s="60">
        <f t="shared" si="15"/>
        <v>50</v>
      </c>
      <c r="J78" s="60">
        <f t="shared" si="15"/>
        <v>52</v>
      </c>
      <c r="K78" s="60">
        <f t="shared" si="15"/>
        <v>48.4</v>
      </c>
      <c r="L78" s="60">
        <f t="shared" si="15"/>
        <v>58.4</v>
      </c>
      <c r="M78" s="60">
        <f t="shared" si="15"/>
        <v>53.1</v>
      </c>
      <c r="N78" s="60">
        <f t="shared" si="15"/>
        <v>40</v>
      </c>
      <c r="O78" s="60">
        <f t="shared" si="15"/>
        <v>50.7</v>
      </c>
      <c r="P78" s="60">
        <f t="shared" si="15"/>
        <v>66</v>
      </c>
      <c r="Q78" s="60">
        <f t="shared" si="15"/>
        <v>50</v>
      </c>
      <c r="R78" s="60">
        <f t="shared" si="15"/>
        <v>50.5</v>
      </c>
      <c r="S78" s="60">
        <f t="shared" si="15"/>
        <v>54.8</v>
      </c>
      <c r="T78" s="60">
        <f t="shared" si="15"/>
        <v>66.3</v>
      </c>
      <c r="U78" s="60">
        <f t="shared" si="15"/>
        <v>59.3</v>
      </c>
      <c r="V78" s="60">
        <f t="shared" si="15"/>
        <v>65.599999999999994</v>
      </c>
      <c r="W78" s="60">
        <f t="shared" si="15"/>
        <v>80</v>
      </c>
      <c r="X78" s="60">
        <f t="shared" si="15"/>
        <v>75</v>
      </c>
      <c r="Y78" s="60">
        <f t="shared" si="15"/>
        <v>89</v>
      </c>
      <c r="Z78" s="60">
        <f t="shared" si="15"/>
        <v>94</v>
      </c>
      <c r="AA78" s="60">
        <f t="shared" si="15"/>
        <v>74.2</v>
      </c>
      <c r="AB78" s="60">
        <f t="shared" si="15"/>
        <v>71.8</v>
      </c>
      <c r="AC78" s="60">
        <f t="shared" si="15"/>
        <v>80</v>
      </c>
      <c r="AD78" s="60">
        <f t="shared" si="15"/>
        <v>74.2</v>
      </c>
      <c r="AE78" s="60">
        <f t="shared" si="15"/>
        <v>55.9</v>
      </c>
      <c r="AF78" s="60">
        <f t="shared" si="15"/>
        <v>51.5</v>
      </c>
      <c r="AG78" s="93"/>
      <c r="AH78" s="56">
        <f t="shared" ref="AH78:AH90" si="16">MAX(B78:AF78)</f>
        <v>94</v>
      </c>
      <c r="AI78" s="57">
        <f t="shared" ref="AI78:AI90" si="17">MIN(B78:AF78)</f>
        <v>40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55.8</v>
      </c>
      <c r="C81" s="74">
        <f t="shared" si="19"/>
        <v>77.3</v>
      </c>
      <c r="D81" s="74">
        <f t="shared" si="19"/>
        <v>75</v>
      </c>
      <c r="E81" s="74">
        <f t="shared" si="19"/>
        <v>60</v>
      </c>
      <c r="F81" s="74">
        <f t="shared" si="19"/>
        <v>52</v>
      </c>
      <c r="G81" s="74">
        <f t="shared" si="19"/>
        <v>49</v>
      </c>
      <c r="H81" s="74">
        <f t="shared" si="19"/>
        <v>55</v>
      </c>
      <c r="I81" s="74">
        <f t="shared" si="19"/>
        <v>50</v>
      </c>
      <c r="J81" s="74">
        <f t="shared" si="19"/>
        <v>52</v>
      </c>
      <c r="K81" s="74">
        <f t="shared" si="19"/>
        <v>48.4</v>
      </c>
      <c r="L81" s="74">
        <f t="shared" si="19"/>
        <v>58.4</v>
      </c>
      <c r="M81" s="74">
        <f t="shared" si="19"/>
        <v>53.1</v>
      </c>
      <c r="N81" s="74">
        <f t="shared" si="19"/>
        <v>40</v>
      </c>
      <c r="O81" s="74">
        <f t="shared" si="19"/>
        <v>50.7</v>
      </c>
      <c r="P81" s="74">
        <f t="shared" si="19"/>
        <v>66</v>
      </c>
      <c r="Q81" s="74">
        <f t="shared" si="19"/>
        <v>50</v>
      </c>
      <c r="R81" s="74">
        <f t="shared" si="19"/>
        <v>50.5</v>
      </c>
      <c r="S81" s="74">
        <f t="shared" si="19"/>
        <v>54.8</v>
      </c>
      <c r="T81" s="74">
        <f t="shared" si="19"/>
        <v>66.3</v>
      </c>
      <c r="U81" s="74">
        <f t="shared" si="19"/>
        <v>59.3</v>
      </c>
      <c r="V81" s="74">
        <f t="shared" si="19"/>
        <v>65.599999999999994</v>
      </c>
      <c r="W81" s="74">
        <f t="shared" si="19"/>
        <v>80</v>
      </c>
      <c r="X81" s="74">
        <f t="shared" si="19"/>
        <v>75</v>
      </c>
      <c r="Y81" s="74">
        <f t="shared" si="19"/>
        <v>89</v>
      </c>
      <c r="Z81" s="74">
        <f t="shared" si="19"/>
        <v>94</v>
      </c>
      <c r="AA81" s="74">
        <f t="shared" si="19"/>
        <v>74.2</v>
      </c>
      <c r="AB81" s="74">
        <f t="shared" si="19"/>
        <v>71.8</v>
      </c>
      <c r="AC81" s="74">
        <f t="shared" si="19"/>
        <v>80</v>
      </c>
      <c r="AD81" s="74">
        <f t="shared" si="19"/>
        <v>74.2</v>
      </c>
      <c r="AE81" s="74">
        <f t="shared" si="19"/>
        <v>55.9</v>
      </c>
      <c r="AF81" s="74">
        <f t="shared" si="19"/>
        <v>51.5</v>
      </c>
      <c r="AG81" s="79">
        <f t="shared" si="19"/>
        <v>0</v>
      </c>
      <c r="AH81" s="56">
        <f t="shared" si="16"/>
        <v>94</v>
      </c>
      <c r="AI81" s="57">
        <f t="shared" si="17"/>
        <v>40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1594.6799999999998</v>
      </c>
      <c r="C82" s="74">
        <f t="shared" si="20"/>
        <v>1588.48</v>
      </c>
      <c r="D82" s="74">
        <f t="shared" si="20"/>
        <v>1590.48</v>
      </c>
      <c r="E82" s="74">
        <f t="shared" si="20"/>
        <v>1592.48</v>
      </c>
      <c r="F82" s="74">
        <f t="shared" si="20"/>
        <v>1592.88</v>
      </c>
      <c r="G82" s="74">
        <f t="shared" si="20"/>
        <v>1777.68</v>
      </c>
      <c r="H82" s="74">
        <f t="shared" si="20"/>
        <v>1872.08</v>
      </c>
      <c r="I82" s="74">
        <f t="shared" si="20"/>
        <v>2020.88</v>
      </c>
      <c r="J82" s="74">
        <f t="shared" si="20"/>
        <v>2215.48</v>
      </c>
      <c r="K82" s="74">
        <f t="shared" si="20"/>
        <v>2276.2800000000002</v>
      </c>
      <c r="L82" s="74">
        <f t="shared" si="20"/>
        <v>2357.6799999999998</v>
      </c>
      <c r="M82" s="74">
        <f t="shared" si="20"/>
        <v>2310.6799999999994</v>
      </c>
      <c r="N82" s="74">
        <f t="shared" si="20"/>
        <v>2207.4799999999996</v>
      </c>
      <c r="O82" s="74">
        <f t="shared" si="20"/>
        <v>2138.2799999999993</v>
      </c>
      <c r="P82" s="74">
        <f t="shared" si="20"/>
        <v>2144.08</v>
      </c>
      <c r="Q82" s="74">
        <f t="shared" si="20"/>
        <v>2034.28</v>
      </c>
      <c r="R82" s="74">
        <f t="shared" si="20"/>
        <v>2116.48</v>
      </c>
      <c r="S82" s="74">
        <f t="shared" si="20"/>
        <v>2137.2800000000002</v>
      </c>
      <c r="T82" s="74">
        <f t="shared" si="20"/>
        <v>2227.6800000000003</v>
      </c>
      <c r="U82" s="74">
        <f t="shared" si="20"/>
        <v>2339.0800000000004</v>
      </c>
      <c r="V82" s="74">
        <f t="shared" si="20"/>
        <v>2828.48</v>
      </c>
      <c r="W82" s="74">
        <f t="shared" si="20"/>
        <v>2885.88</v>
      </c>
      <c r="X82" s="74">
        <f t="shared" si="20"/>
        <v>2730.6800000000003</v>
      </c>
      <c r="Y82" s="74">
        <f t="shared" si="20"/>
        <v>2543.3599999999997</v>
      </c>
      <c r="Z82" s="74">
        <f t="shared" si="20"/>
        <v>2519.08</v>
      </c>
      <c r="AA82" s="74">
        <f t="shared" si="20"/>
        <v>2380.2799999999997</v>
      </c>
      <c r="AB82" s="74">
        <f t="shared" si="20"/>
        <v>2260.2800000000002</v>
      </c>
      <c r="AC82" s="74">
        <f t="shared" si="20"/>
        <v>2138.08</v>
      </c>
      <c r="AD82" s="74">
        <f t="shared" si="20"/>
        <v>1861.2799999999997</v>
      </c>
      <c r="AE82" s="74">
        <f t="shared" si="20"/>
        <v>1728.28</v>
      </c>
      <c r="AF82" s="74">
        <f t="shared" si="20"/>
        <v>1740.6799999999998</v>
      </c>
      <c r="AG82" s="79">
        <f t="shared" si="20"/>
        <v>4338.08</v>
      </c>
      <c r="AH82" s="56">
        <f t="shared" si="16"/>
        <v>2885.88</v>
      </c>
      <c r="AI82" s="57">
        <f t="shared" si="17"/>
        <v>1588.48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50.03</v>
      </c>
      <c r="C83" s="96">
        <v>49.93</v>
      </c>
      <c r="D83" s="96">
        <v>50</v>
      </c>
      <c r="E83" s="96">
        <v>50</v>
      </c>
      <c r="F83" s="96">
        <v>50.03</v>
      </c>
      <c r="G83" s="96">
        <v>49.954099999999997</v>
      </c>
      <c r="H83" s="96">
        <v>49.978000000000002</v>
      </c>
      <c r="I83" s="96">
        <v>50</v>
      </c>
      <c r="J83" s="96">
        <v>50.030999999999999</v>
      </c>
      <c r="K83" s="96">
        <v>49.97</v>
      </c>
      <c r="L83" s="96">
        <v>50.008000000000003</v>
      </c>
      <c r="M83" s="96">
        <v>49.970999999999997</v>
      </c>
      <c r="N83" s="96">
        <v>49.981999999999999</v>
      </c>
      <c r="O83" s="96">
        <v>49.976999999999997</v>
      </c>
      <c r="P83" s="96">
        <v>50.02</v>
      </c>
      <c r="Q83" s="96">
        <v>49.99</v>
      </c>
      <c r="R83" s="96">
        <v>50.005000000000003</v>
      </c>
      <c r="S83" s="96">
        <v>50.067</v>
      </c>
      <c r="T83" s="96">
        <v>49.933999999999997</v>
      </c>
      <c r="U83" s="96">
        <v>49.978000000000002</v>
      </c>
      <c r="V83" s="96">
        <v>50.048000000000002</v>
      </c>
      <c r="W83" s="96">
        <v>49.993000000000002</v>
      </c>
      <c r="X83" s="96">
        <v>50</v>
      </c>
      <c r="Y83" s="96">
        <v>49.994</v>
      </c>
      <c r="Z83" s="96">
        <v>50.036999999999999</v>
      </c>
      <c r="AA83" s="96">
        <v>49.988</v>
      </c>
      <c r="AB83" s="96">
        <v>49.920999999999999</v>
      </c>
      <c r="AC83" s="96">
        <v>49.988</v>
      </c>
      <c r="AD83" s="96">
        <v>49.965000000000003</v>
      </c>
      <c r="AE83" s="96">
        <v>50.051000000000002</v>
      </c>
      <c r="AF83" s="97">
        <v>50.024000000000001</v>
      </c>
      <c r="AG83" s="98"/>
      <c r="AH83" s="56">
        <f t="shared" si="16"/>
        <v>50.067</v>
      </c>
      <c r="AI83" s="57">
        <f t="shared" si="17"/>
        <v>49.920999999999999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128.1</v>
      </c>
      <c r="C84" s="52">
        <v>128.30000000000001</v>
      </c>
      <c r="D84" s="52">
        <v>129.19999999999999</v>
      </c>
      <c r="E84" s="52">
        <v>128.30000000000001</v>
      </c>
      <c r="F84" s="52">
        <v>128.5</v>
      </c>
      <c r="G84" s="52">
        <v>127.3</v>
      </c>
      <c r="H84" s="52">
        <v>126.3</v>
      </c>
      <c r="I84" s="52">
        <v>125.9</v>
      </c>
      <c r="J84" s="52">
        <v>124.9</v>
      </c>
      <c r="K84" s="52">
        <v>123.4</v>
      </c>
      <c r="L84" s="52">
        <v>124.7</v>
      </c>
      <c r="M84" s="52">
        <v>124.6</v>
      </c>
      <c r="N84" s="52">
        <v>123.7</v>
      </c>
      <c r="O84" s="52">
        <v>125.7</v>
      </c>
      <c r="P84" s="52">
        <v>124.5</v>
      </c>
      <c r="Q84" s="52">
        <v>125.4</v>
      </c>
      <c r="R84" s="52">
        <v>125.4</v>
      </c>
      <c r="S84" s="52">
        <v>125.6</v>
      </c>
      <c r="T84" s="100">
        <v>124.5</v>
      </c>
      <c r="U84" s="100">
        <v>125.8</v>
      </c>
      <c r="V84" s="100">
        <v>125.6</v>
      </c>
      <c r="W84" s="100">
        <v>126.7</v>
      </c>
      <c r="X84" s="100">
        <v>127.1</v>
      </c>
      <c r="Y84" s="100">
        <v>127.2</v>
      </c>
      <c r="Z84" s="100">
        <v>127.3</v>
      </c>
      <c r="AA84" s="52">
        <v>126.1</v>
      </c>
      <c r="AB84" s="52">
        <v>125.8</v>
      </c>
      <c r="AC84" s="52">
        <v>126.1</v>
      </c>
      <c r="AD84" s="52">
        <v>127.8</v>
      </c>
      <c r="AE84" s="52">
        <v>127.8</v>
      </c>
      <c r="AF84" s="101">
        <v>127.2</v>
      </c>
      <c r="AG84" s="102"/>
      <c r="AH84" s="56">
        <f t="shared" si="16"/>
        <v>129.19999999999999</v>
      </c>
      <c r="AI84" s="57">
        <f t="shared" si="17"/>
        <v>123.4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131.19999999999999</v>
      </c>
      <c r="C85" s="52">
        <v>131.5</v>
      </c>
      <c r="D85" s="52">
        <v>132.19999999999999</v>
      </c>
      <c r="E85" s="52">
        <v>131.5</v>
      </c>
      <c r="F85" s="52">
        <v>131.5</v>
      </c>
      <c r="G85" s="52">
        <v>130.19999999999999</v>
      </c>
      <c r="H85" s="52">
        <v>128.80000000000001</v>
      </c>
      <c r="I85" s="52">
        <v>128.80000000000001</v>
      </c>
      <c r="J85" s="52">
        <v>127.8</v>
      </c>
      <c r="K85" s="52">
        <v>126.2</v>
      </c>
      <c r="L85" s="52">
        <v>127.5</v>
      </c>
      <c r="M85" s="52">
        <v>127.1</v>
      </c>
      <c r="N85" s="52">
        <v>127.2</v>
      </c>
      <c r="O85" s="52">
        <v>127.8</v>
      </c>
      <c r="P85" s="52">
        <v>127.3</v>
      </c>
      <c r="Q85" s="52">
        <v>127.9</v>
      </c>
      <c r="R85" s="52">
        <v>128</v>
      </c>
      <c r="S85" s="52">
        <v>128.1</v>
      </c>
      <c r="T85" s="100">
        <v>127.2</v>
      </c>
      <c r="U85" s="100">
        <v>128.30000000000001</v>
      </c>
      <c r="V85" s="100">
        <v>127.6</v>
      </c>
      <c r="W85" s="100">
        <v>128.69999999999999</v>
      </c>
      <c r="X85" s="100">
        <v>128.69999999999999</v>
      </c>
      <c r="Y85" s="100">
        <v>129</v>
      </c>
      <c r="Z85" s="100">
        <v>129.4</v>
      </c>
      <c r="AA85" s="52">
        <v>128.80000000000001</v>
      </c>
      <c r="AB85" s="52">
        <v>128.9</v>
      </c>
      <c r="AC85" s="52">
        <v>128.80000000000001</v>
      </c>
      <c r="AD85" s="52">
        <v>130.6</v>
      </c>
      <c r="AE85" s="52">
        <v>130.80000000000001</v>
      </c>
      <c r="AF85" s="101">
        <v>130.69999999999999</v>
      </c>
      <c r="AG85" s="102"/>
      <c r="AH85" s="56">
        <f t="shared" si="16"/>
        <v>132.19999999999999</v>
      </c>
      <c r="AI85" s="57">
        <f t="shared" si="17"/>
        <v>126.2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130.4</v>
      </c>
      <c r="C86" s="52">
        <v>127.3</v>
      </c>
      <c r="D86" s="52">
        <v>12.2</v>
      </c>
      <c r="E86" s="52">
        <v>125.6</v>
      </c>
      <c r="F86" s="52">
        <v>128.1</v>
      </c>
      <c r="G86" s="52">
        <v>126.8</v>
      </c>
      <c r="H86" s="52">
        <v>126.7</v>
      </c>
      <c r="I86" s="52">
        <v>126.1</v>
      </c>
      <c r="J86" s="52">
        <v>126.5</v>
      </c>
      <c r="K86" s="52">
        <v>124.8</v>
      </c>
      <c r="L86" s="52">
        <v>127.3</v>
      </c>
      <c r="M86" s="52">
        <v>126.7</v>
      </c>
      <c r="N86" s="52">
        <v>128.69999999999999</v>
      </c>
      <c r="O86" s="52">
        <v>129.80000000000001</v>
      </c>
      <c r="P86" s="52">
        <v>128.5</v>
      </c>
      <c r="Q86" s="52">
        <v>128.6</v>
      </c>
      <c r="R86" s="52">
        <v>128.1</v>
      </c>
      <c r="S86" s="52">
        <v>126.2</v>
      </c>
      <c r="T86" s="52">
        <v>126.8</v>
      </c>
      <c r="U86" s="52">
        <v>126.8</v>
      </c>
      <c r="V86" s="52">
        <v>128</v>
      </c>
      <c r="W86" s="100">
        <v>129.5</v>
      </c>
      <c r="X86" s="100">
        <v>130.6</v>
      </c>
      <c r="Y86" s="100">
        <v>128.30000000000001</v>
      </c>
      <c r="Z86" s="100">
        <v>127.6</v>
      </c>
      <c r="AA86" s="52">
        <v>130.19999999999999</v>
      </c>
      <c r="AB86" s="52">
        <v>129.80000000000001</v>
      </c>
      <c r="AC86" s="52">
        <v>130.19999999999999</v>
      </c>
      <c r="AD86" s="52">
        <v>128.19999999999999</v>
      </c>
      <c r="AE86" s="52">
        <v>128</v>
      </c>
      <c r="AF86" s="101">
        <v>128.4</v>
      </c>
      <c r="AG86" s="102"/>
      <c r="AH86" s="56">
        <f t="shared" si="16"/>
        <v>130.6</v>
      </c>
      <c r="AI86" s="57">
        <f t="shared" si="17"/>
        <v>12.2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133.80000000000001</v>
      </c>
      <c r="C87" s="52">
        <v>129.9</v>
      </c>
      <c r="D87" s="52">
        <v>130.1</v>
      </c>
      <c r="E87" s="52">
        <v>130.19999999999999</v>
      </c>
      <c r="F87" s="52">
        <v>133.5</v>
      </c>
      <c r="G87" s="52">
        <v>130.30000000000001</v>
      </c>
      <c r="H87" s="52">
        <v>129</v>
      </c>
      <c r="I87" s="52">
        <v>130.30000000000001</v>
      </c>
      <c r="J87" s="52">
        <v>130.19999999999999</v>
      </c>
      <c r="K87" s="52">
        <v>128.6</v>
      </c>
      <c r="L87" s="52">
        <v>130.19999999999999</v>
      </c>
      <c r="M87" s="52">
        <v>131.5</v>
      </c>
      <c r="N87" s="52">
        <v>133.80000000000001</v>
      </c>
      <c r="O87" s="52">
        <v>134.1</v>
      </c>
      <c r="P87" s="52">
        <v>134.1</v>
      </c>
      <c r="Q87" s="52">
        <v>134.1</v>
      </c>
      <c r="R87" s="52">
        <v>132.69999999999999</v>
      </c>
      <c r="S87" s="52">
        <v>131.69999999999999</v>
      </c>
      <c r="T87" s="52">
        <v>131.4</v>
      </c>
      <c r="U87" s="52">
        <v>133.30000000000001</v>
      </c>
      <c r="V87" s="52">
        <v>132.6</v>
      </c>
      <c r="W87" s="100">
        <v>133.69999999999999</v>
      </c>
      <c r="X87" s="100">
        <v>135.19999999999999</v>
      </c>
      <c r="Y87" s="100">
        <v>132.6</v>
      </c>
      <c r="Z87" s="100">
        <v>130.6</v>
      </c>
      <c r="AA87" s="52">
        <v>134.1</v>
      </c>
      <c r="AB87" s="52">
        <v>134.4</v>
      </c>
      <c r="AC87" s="52">
        <v>134.1</v>
      </c>
      <c r="AD87" s="52">
        <v>130.4</v>
      </c>
      <c r="AE87" s="52">
        <v>130.1</v>
      </c>
      <c r="AF87" s="101">
        <v>130.30000000000001</v>
      </c>
      <c r="AG87" s="102"/>
      <c r="AH87" s="56">
        <f t="shared" si="16"/>
        <v>135.19999999999999</v>
      </c>
      <c r="AI87" s="57">
        <f t="shared" si="17"/>
        <v>128.6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131.30000000000001</v>
      </c>
      <c r="C88" s="104">
        <v>131.6</v>
      </c>
      <c r="D88" s="104">
        <v>134</v>
      </c>
      <c r="E88" s="104">
        <v>134.19999999999999</v>
      </c>
      <c r="F88" s="104">
        <v>133.30000000000001</v>
      </c>
      <c r="G88" s="104">
        <v>134.80000000000001</v>
      </c>
      <c r="H88" s="104">
        <v>133.69999999999999</v>
      </c>
      <c r="I88" s="104">
        <v>131</v>
      </c>
      <c r="J88" s="104">
        <v>145.30000000000001</v>
      </c>
      <c r="K88" s="104">
        <v>127.2</v>
      </c>
      <c r="L88" s="104">
        <v>134.69999999999999</v>
      </c>
      <c r="M88" s="104">
        <v>131.9</v>
      </c>
      <c r="N88" s="104">
        <v>131.19999999999999</v>
      </c>
      <c r="O88" s="104">
        <v>132.1</v>
      </c>
      <c r="P88" s="104">
        <v>135</v>
      </c>
      <c r="Q88" s="104">
        <v>132.30000000000001</v>
      </c>
      <c r="R88" s="104">
        <v>132.5</v>
      </c>
      <c r="S88" s="104">
        <v>135.1</v>
      </c>
      <c r="T88" s="104">
        <v>135.19999999999999</v>
      </c>
      <c r="U88" s="104">
        <v>135.30000000000001</v>
      </c>
      <c r="V88" s="104">
        <v>135.1</v>
      </c>
      <c r="W88" s="100">
        <v>133.6</v>
      </c>
      <c r="X88" s="100">
        <v>135.19999999999999</v>
      </c>
      <c r="Y88" s="100">
        <v>135</v>
      </c>
      <c r="Z88" s="100">
        <v>134.80000000000001</v>
      </c>
      <c r="AA88" s="104">
        <v>134.6</v>
      </c>
      <c r="AB88" s="104">
        <v>134.30000000000001</v>
      </c>
      <c r="AC88" s="104">
        <v>134.6</v>
      </c>
      <c r="AD88" s="104">
        <v>133.9</v>
      </c>
      <c r="AE88" s="104">
        <v>133.69999999999999</v>
      </c>
      <c r="AF88" s="105">
        <v>132.80000000000001</v>
      </c>
      <c r="AG88" s="106"/>
      <c r="AH88" s="56">
        <f t="shared" si="16"/>
        <v>145.30000000000001</v>
      </c>
      <c r="AI88" s="57">
        <f t="shared" si="17"/>
        <v>127.2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132.4</v>
      </c>
      <c r="C89" s="52">
        <v>132.80000000000001</v>
      </c>
      <c r="D89" s="52">
        <v>134.6</v>
      </c>
      <c r="E89" s="52">
        <v>134.80000000000001</v>
      </c>
      <c r="F89" s="52">
        <v>134</v>
      </c>
      <c r="G89" s="52">
        <v>133.19999999999999</v>
      </c>
      <c r="H89" s="52">
        <v>131.69999999999999</v>
      </c>
      <c r="I89" s="52">
        <v>127.2</v>
      </c>
      <c r="J89" s="52">
        <v>134.4</v>
      </c>
      <c r="K89" s="52">
        <v>127.2</v>
      </c>
      <c r="L89" s="52">
        <v>130.80000000000001</v>
      </c>
      <c r="M89" s="52">
        <v>126.5</v>
      </c>
      <c r="N89" s="52">
        <v>127.6</v>
      </c>
      <c r="O89" s="52">
        <v>130.69999999999999</v>
      </c>
      <c r="P89" s="52">
        <v>136</v>
      </c>
      <c r="Q89" s="52">
        <v>133.4</v>
      </c>
      <c r="R89" s="52">
        <v>131.6</v>
      </c>
      <c r="S89" s="52">
        <v>133.9</v>
      </c>
      <c r="T89" s="52">
        <v>132.80000000000001</v>
      </c>
      <c r="U89" s="52">
        <v>133.69999999999999</v>
      </c>
      <c r="V89" s="52">
        <v>133.4</v>
      </c>
      <c r="W89" s="100">
        <v>132.19999999999999</v>
      </c>
      <c r="X89" s="100">
        <v>135.80000000000001</v>
      </c>
      <c r="Y89" s="100">
        <v>134.19999999999999</v>
      </c>
      <c r="Z89" s="100">
        <v>133.19999999999999</v>
      </c>
      <c r="AA89" s="52">
        <v>133.4</v>
      </c>
      <c r="AB89" s="52">
        <v>134.1</v>
      </c>
      <c r="AC89" s="52">
        <v>133.4</v>
      </c>
      <c r="AD89" s="52">
        <v>136.5</v>
      </c>
      <c r="AE89" s="52">
        <v>134.5</v>
      </c>
      <c r="AF89" s="101">
        <v>133.19999999999999</v>
      </c>
      <c r="AG89" s="102"/>
      <c r="AH89" s="56">
        <f t="shared" si="16"/>
        <v>136.5</v>
      </c>
      <c r="AI89" s="57">
        <f t="shared" si="17"/>
        <v>126.5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67</v>
      </c>
      <c r="C90" s="107">
        <v>67</v>
      </c>
      <c r="D90" s="107">
        <v>67.400000000000006</v>
      </c>
      <c r="E90" s="107">
        <v>67.099999999999994</v>
      </c>
      <c r="F90" s="107">
        <v>67</v>
      </c>
      <c r="G90" s="107">
        <v>66.3</v>
      </c>
      <c r="H90" s="107">
        <v>66.099999999999994</v>
      </c>
      <c r="I90" s="107">
        <v>65.8</v>
      </c>
      <c r="J90" s="107">
        <v>65.3</v>
      </c>
      <c r="K90" s="107">
        <v>64.400000000000006</v>
      </c>
      <c r="L90" s="107">
        <v>65.099999999999994</v>
      </c>
      <c r="M90" s="107">
        <v>64.900000000000006</v>
      </c>
      <c r="N90" s="107">
        <v>64.8</v>
      </c>
      <c r="O90" s="107">
        <v>64.8</v>
      </c>
      <c r="P90" s="107">
        <v>65</v>
      </c>
      <c r="Q90" s="107">
        <v>64.900000000000006</v>
      </c>
      <c r="R90" s="107">
        <v>64.900000000000006</v>
      </c>
      <c r="S90" s="107">
        <v>64.8</v>
      </c>
      <c r="T90" s="107">
        <v>64.7</v>
      </c>
      <c r="U90" s="107">
        <v>65.3</v>
      </c>
      <c r="V90" s="107">
        <v>64.8</v>
      </c>
      <c r="W90" s="107">
        <v>65.400000000000006</v>
      </c>
      <c r="X90" s="107">
        <v>65.400000000000006</v>
      </c>
      <c r="Y90" s="107">
        <v>65.7</v>
      </c>
      <c r="Z90" s="107">
        <v>65.900000000000006</v>
      </c>
      <c r="AA90" s="107">
        <v>65.8</v>
      </c>
      <c r="AB90" s="107">
        <v>65.7</v>
      </c>
      <c r="AC90" s="107">
        <v>65.8</v>
      </c>
      <c r="AD90" s="107">
        <v>66.3</v>
      </c>
      <c r="AE90" s="107">
        <v>66.599999999999994</v>
      </c>
      <c r="AF90" s="108">
        <v>66.400000000000006</v>
      </c>
      <c r="AG90" s="109"/>
      <c r="AH90" s="56">
        <f t="shared" si="16"/>
        <v>67.400000000000006</v>
      </c>
      <c r="AI90" s="57">
        <f t="shared" si="17"/>
        <v>64.400000000000006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127.03999999999998</v>
      </c>
      <c r="C92" s="114">
        <f t="shared" ref="C92:AF92" si="21">SUM(C15,C18,C21:C22,C41,C43:C44,C46,C48,C93:C96,C101,C107,C113,C122,C124,C136,C143,C146:C147,C154,C156,C158,C162:C164,C166:C168,C173,C179:C180,C182:C184,C192,C197)</f>
        <v>116.43999999999998</v>
      </c>
      <c r="D92" s="114">
        <f t="shared" si="21"/>
        <v>119.94000000000001</v>
      </c>
      <c r="E92" s="114">
        <f t="shared" si="21"/>
        <v>122.24</v>
      </c>
      <c r="F92" s="115">
        <f t="shared" si="21"/>
        <v>138.93999999999997</v>
      </c>
      <c r="G92" s="115">
        <f t="shared" si="21"/>
        <v>175.53999999999996</v>
      </c>
      <c r="H92" s="115">
        <f t="shared" si="21"/>
        <v>195.33999999999995</v>
      </c>
      <c r="I92" s="115">
        <f t="shared" si="21"/>
        <v>246.93999999999997</v>
      </c>
      <c r="J92" s="115">
        <f t="shared" si="21"/>
        <v>278.24</v>
      </c>
      <c r="K92" s="115">
        <f t="shared" si="21"/>
        <v>296.84000000000003</v>
      </c>
      <c r="L92" s="115">
        <f t="shared" si="21"/>
        <v>304.64000000000004</v>
      </c>
      <c r="M92" s="115">
        <f t="shared" si="21"/>
        <v>281.24</v>
      </c>
      <c r="N92" s="115">
        <f t="shared" si="21"/>
        <v>268.93999999999994</v>
      </c>
      <c r="O92" s="115">
        <f t="shared" si="21"/>
        <v>262.33999999999997</v>
      </c>
      <c r="P92" s="115">
        <f t="shared" si="21"/>
        <v>247.03999999999996</v>
      </c>
      <c r="Q92" s="115">
        <f t="shared" si="21"/>
        <v>245.53999999999994</v>
      </c>
      <c r="R92" s="115">
        <f t="shared" si="21"/>
        <v>243.33999999999997</v>
      </c>
      <c r="S92" s="115">
        <f t="shared" si="21"/>
        <v>250.73999999999995</v>
      </c>
      <c r="T92" s="115">
        <f t="shared" si="21"/>
        <v>254.23999999999998</v>
      </c>
      <c r="U92" s="115">
        <f t="shared" si="21"/>
        <v>282.64000000000004</v>
      </c>
      <c r="V92" s="115">
        <f t="shared" si="21"/>
        <v>347.74</v>
      </c>
      <c r="W92" s="115">
        <f t="shared" si="21"/>
        <v>360.54</v>
      </c>
      <c r="X92" s="115">
        <f t="shared" si="21"/>
        <v>347.24</v>
      </c>
      <c r="Y92" s="115">
        <f t="shared" si="21"/>
        <v>326.04000000000002</v>
      </c>
      <c r="Z92" s="115">
        <f t="shared" si="21"/>
        <v>312.94000000000005</v>
      </c>
      <c r="AA92" s="115">
        <f t="shared" si="21"/>
        <v>294.34000000000003</v>
      </c>
      <c r="AB92" s="115">
        <f t="shared" si="21"/>
        <v>271.64000000000004</v>
      </c>
      <c r="AC92" s="115">
        <f t="shared" si="21"/>
        <v>222.24</v>
      </c>
      <c r="AD92" s="115">
        <f t="shared" si="21"/>
        <v>190.63999999999993</v>
      </c>
      <c r="AE92" s="115">
        <f t="shared" si="21"/>
        <v>156.53999999999994</v>
      </c>
      <c r="AF92" s="115">
        <f t="shared" si="21"/>
        <v>136.93999999999997</v>
      </c>
      <c r="AG92" s="116"/>
      <c r="AH92" s="56">
        <f>MAX(B92:AF92)</f>
        <v>360.54</v>
      </c>
      <c r="AI92" s="57">
        <f>MIN(B92:AF92)</f>
        <v>116.43999999999998</v>
      </c>
    </row>
    <row r="93" spans="1:88" x14ac:dyDescent="0.25">
      <c r="A93" s="117" t="s">
        <v>96</v>
      </c>
      <c r="B93" s="118">
        <v>23.7</v>
      </c>
      <c r="C93" s="118">
        <v>20.5</v>
      </c>
      <c r="D93" s="60">
        <v>25.8</v>
      </c>
      <c r="E93" s="60">
        <v>22.5</v>
      </c>
      <c r="F93" s="118">
        <v>15.3</v>
      </c>
      <c r="G93" s="118">
        <v>45.2</v>
      </c>
      <c r="H93" s="118">
        <v>40.799999999999997</v>
      </c>
      <c r="I93" s="118">
        <v>50.4</v>
      </c>
      <c r="J93" s="118">
        <v>58.6</v>
      </c>
      <c r="K93" s="118">
        <v>57.6</v>
      </c>
      <c r="L93" s="54">
        <v>37.299999999999997</v>
      </c>
      <c r="M93" s="118">
        <v>41.5</v>
      </c>
      <c r="N93" s="118">
        <v>46.4</v>
      </c>
      <c r="O93" s="118">
        <v>31.1</v>
      </c>
      <c r="P93" s="118">
        <v>38.4</v>
      </c>
      <c r="Q93" s="118">
        <v>24.6</v>
      </c>
      <c r="R93" s="118">
        <v>37.799999999999997</v>
      </c>
      <c r="S93" s="118">
        <v>40.799999999999997</v>
      </c>
      <c r="T93" s="54">
        <v>54.5</v>
      </c>
      <c r="U93" s="54">
        <v>57.3</v>
      </c>
      <c r="V93" s="54">
        <v>22.9</v>
      </c>
      <c r="W93" s="118">
        <v>16.2</v>
      </c>
      <c r="X93" s="118">
        <v>33.700000000000003</v>
      </c>
      <c r="Y93" s="118">
        <v>48.2</v>
      </c>
      <c r="Z93" s="118">
        <v>56.3</v>
      </c>
      <c r="AA93" s="54">
        <v>58.3</v>
      </c>
      <c r="AB93" s="54">
        <v>67</v>
      </c>
      <c r="AC93" s="54">
        <v>43.8</v>
      </c>
      <c r="AD93" s="54">
        <v>35.5</v>
      </c>
      <c r="AE93" s="54">
        <v>29.7</v>
      </c>
      <c r="AF93" s="119">
        <v>24</v>
      </c>
      <c r="AG93" s="120">
        <v>75</v>
      </c>
      <c r="AH93" s="56">
        <f t="shared" ref="AH93:AH98" si="22">IF(ABS(MAX(B93:AF93))&gt;ABS(MIN(B93:AF93)),MAX(B93:AF93),MIN(B93:AF93))</f>
        <v>67</v>
      </c>
      <c r="AI93" s="121">
        <f t="shared" ref="AI93:AI98" si="23">INDEX($B$9:$AF$9,1,MATCH(AH93,B93:AF93,0))</f>
        <v>0.85416666666666663</v>
      </c>
    </row>
    <row r="94" spans="1:88" x14ac:dyDescent="0.25">
      <c r="A94" s="122" t="s">
        <v>97</v>
      </c>
      <c r="B94" s="62">
        <f>-29.8-35.7</f>
        <v>-65.5</v>
      </c>
      <c r="C94" s="62">
        <f>-30.7-36.5</f>
        <v>-67.2</v>
      </c>
      <c r="D94" s="62">
        <v>-68</v>
      </c>
      <c r="E94" s="62">
        <v>-66</v>
      </c>
      <c r="F94" s="62">
        <v>-59</v>
      </c>
      <c r="G94" s="62">
        <v>-59.6</v>
      </c>
      <c r="H94" s="62">
        <v>-62</v>
      </c>
      <c r="I94" s="62">
        <v>-48</v>
      </c>
      <c r="J94" s="62">
        <v>-44</v>
      </c>
      <c r="K94" s="62">
        <f>-16.6-20.8</f>
        <v>-37.400000000000006</v>
      </c>
      <c r="L94" s="62">
        <v>-29</v>
      </c>
      <c r="M94" s="62">
        <v>-38.5</v>
      </c>
      <c r="N94" s="62">
        <v>-39</v>
      </c>
      <c r="O94" s="62">
        <v>-36.4</v>
      </c>
      <c r="P94" s="62">
        <v>-44.6</v>
      </c>
      <c r="Q94" s="62">
        <f>-17.4-20.9</f>
        <v>-38.299999999999997</v>
      </c>
      <c r="R94" s="62">
        <v>-46</v>
      </c>
      <c r="S94" s="62">
        <v>-44.3</v>
      </c>
      <c r="T94" s="62">
        <v>-58.4</v>
      </c>
      <c r="U94" s="62">
        <v>-44.7</v>
      </c>
      <c r="V94" s="62">
        <v>-22.5</v>
      </c>
      <c r="W94" s="62">
        <v>-8.6</v>
      </c>
      <c r="X94" s="62">
        <v>-17</v>
      </c>
      <c r="Y94" s="62">
        <v>-24.3</v>
      </c>
      <c r="Z94" s="62">
        <v>-33</v>
      </c>
      <c r="AA94" s="52">
        <v>-38.700000000000003</v>
      </c>
      <c r="AB94" s="52">
        <v>-49.8</v>
      </c>
      <c r="AC94" s="52">
        <v>-50</v>
      </c>
      <c r="AD94" s="52">
        <v>-50.8</v>
      </c>
      <c r="AE94" s="52">
        <v>-57</v>
      </c>
      <c r="AF94" s="123">
        <v>-64.599999999999994</v>
      </c>
      <c r="AG94" s="120">
        <v>240</v>
      </c>
      <c r="AH94" s="56">
        <f t="shared" si="22"/>
        <v>-68</v>
      </c>
      <c r="AI94" s="121">
        <f t="shared" si="23"/>
        <v>0.125</v>
      </c>
    </row>
    <row r="95" spans="1:88" x14ac:dyDescent="0.25">
      <c r="A95" s="122" t="s">
        <v>98</v>
      </c>
      <c r="B95" s="62">
        <v>-3.5</v>
      </c>
      <c r="C95" s="62">
        <v>-9.6999999999999993</v>
      </c>
      <c r="D95" s="62">
        <v>-6.3</v>
      </c>
      <c r="E95" s="62">
        <v>-6.3</v>
      </c>
      <c r="F95" s="62">
        <v>-4.3</v>
      </c>
      <c r="G95" s="62">
        <v>-4.2</v>
      </c>
      <c r="H95" s="62">
        <v>-4.2</v>
      </c>
      <c r="I95" s="62">
        <v>3.9</v>
      </c>
      <c r="J95" s="62">
        <v>8.4</v>
      </c>
      <c r="K95" s="62">
        <v>10</v>
      </c>
      <c r="L95" s="62">
        <v>13.9</v>
      </c>
      <c r="M95" s="62">
        <v>5.9</v>
      </c>
      <c r="N95" s="62">
        <v>4.7</v>
      </c>
      <c r="O95" s="62">
        <v>6.1</v>
      </c>
      <c r="P95" s="62">
        <v>5.0999999999999996</v>
      </c>
      <c r="Q95" s="62">
        <v>2.7</v>
      </c>
      <c r="R95" s="62">
        <v>1.4</v>
      </c>
      <c r="S95" s="62">
        <v>-0.6</v>
      </c>
      <c r="T95" s="62">
        <v>0</v>
      </c>
      <c r="U95" s="62">
        <v>6.6</v>
      </c>
      <c r="V95" s="62">
        <v>39.1</v>
      </c>
      <c r="W95" s="62">
        <v>44.3</v>
      </c>
      <c r="X95" s="62">
        <v>33.200000000000003</v>
      </c>
      <c r="Y95" s="62">
        <v>26</v>
      </c>
      <c r="Z95" s="62">
        <v>16.899999999999999</v>
      </c>
      <c r="AA95" s="52">
        <v>9.1</v>
      </c>
      <c r="AB95" s="52">
        <v>3.9</v>
      </c>
      <c r="AC95" s="52">
        <v>2.4</v>
      </c>
      <c r="AD95" s="52">
        <v>-1.8</v>
      </c>
      <c r="AE95" s="52">
        <v>-5.5</v>
      </c>
      <c r="AF95" s="123">
        <v>-11.7</v>
      </c>
      <c r="AG95" s="120">
        <v>60</v>
      </c>
      <c r="AH95" s="56">
        <f t="shared" si="22"/>
        <v>44.3</v>
      </c>
      <c r="AI95" s="121">
        <f t="shared" si="23"/>
        <v>0.75</v>
      </c>
    </row>
    <row r="96" spans="1:88" x14ac:dyDescent="0.25">
      <c r="A96" s="124" t="s">
        <v>99</v>
      </c>
      <c r="B96" s="65">
        <v>3.9</v>
      </c>
      <c r="C96" s="65">
        <v>4.4000000000000004</v>
      </c>
      <c r="D96" s="65">
        <v>0</v>
      </c>
      <c r="E96" s="65">
        <v>3.5</v>
      </c>
      <c r="F96" s="65">
        <v>18.399999999999999</v>
      </c>
      <c r="G96" s="65">
        <v>8.1</v>
      </c>
      <c r="H96" s="65">
        <v>14.6</v>
      </c>
      <c r="I96" s="65">
        <v>19.600000000000001</v>
      </c>
      <c r="J96" s="65">
        <v>31.2</v>
      </c>
      <c r="K96" s="65">
        <v>42.6</v>
      </c>
      <c r="L96" s="65">
        <v>63.8</v>
      </c>
      <c r="M96" s="65">
        <v>60</v>
      </c>
      <c r="N96" s="65">
        <v>53.6</v>
      </c>
      <c r="O96" s="65">
        <v>58.3</v>
      </c>
      <c r="P96" s="65">
        <v>43.8</v>
      </c>
      <c r="Q96" s="65">
        <v>54.6</v>
      </c>
      <c r="R96" s="65">
        <v>45.6</v>
      </c>
      <c r="S96" s="65">
        <v>50.3</v>
      </c>
      <c r="T96" s="65">
        <v>34.4</v>
      </c>
      <c r="U96" s="65">
        <v>39.299999999999997</v>
      </c>
      <c r="V96" s="65">
        <v>84.1</v>
      </c>
      <c r="W96" s="65">
        <v>84.5</v>
      </c>
      <c r="X96" s="65">
        <v>73.2</v>
      </c>
      <c r="Y96" s="65">
        <v>52</v>
      </c>
      <c r="Z96" s="65">
        <v>48.6</v>
      </c>
      <c r="AA96" s="125">
        <v>41.5</v>
      </c>
      <c r="AB96" s="125">
        <v>26.4</v>
      </c>
      <c r="AC96" s="125">
        <v>21.4</v>
      </c>
      <c r="AD96" s="125">
        <v>21.2</v>
      </c>
      <c r="AE96" s="125">
        <v>14.1</v>
      </c>
      <c r="AF96" s="126">
        <v>14</v>
      </c>
      <c r="AG96" s="127">
        <v>120</v>
      </c>
      <c r="AH96" s="56">
        <f t="shared" si="22"/>
        <v>84.5</v>
      </c>
      <c r="AI96" s="121">
        <f t="shared" si="23"/>
        <v>0.75</v>
      </c>
    </row>
    <row r="97" spans="1:37" x14ac:dyDescent="0.25">
      <c r="A97" s="124" t="s">
        <v>100</v>
      </c>
      <c r="B97" s="65">
        <v>23.4</v>
      </c>
      <c r="C97" s="65">
        <v>22.4</v>
      </c>
      <c r="D97" s="65">
        <v>16.5</v>
      </c>
      <c r="E97" s="65">
        <v>21</v>
      </c>
      <c r="F97" s="65">
        <v>32</v>
      </c>
      <c r="G97" s="65">
        <v>22.5</v>
      </c>
      <c r="H97" s="65">
        <v>25.1</v>
      </c>
      <c r="I97" s="65">
        <v>23.6</v>
      </c>
      <c r="J97" s="65">
        <v>30.1</v>
      </c>
      <c r="K97" s="65">
        <v>40</v>
      </c>
      <c r="L97" s="65">
        <v>53.3</v>
      </c>
      <c r="M97" s="65">
        <v>56.3</v>
      </c>
      <c r="N97" s="65">
        <v>50.1</v>
      </c>
      <c r="O97" s="65">
        <v>54.9</v>
      </c>
      <c r="P97" s="65">
        <v>46.9</v>
      </c>
      <c r="Q97" s="65">
        <v>54.4</v>
      </c>
      <c r="R97" s="65">
        <v>46.7</v>
      </c>
      <c r="S97" s="65">
        <v>52.8</v>
      </c>
      <c r="T97" s="65">
        <v>38.9</v>
      </c>
      <c r="U97" s="65">
        <v>38.6</v>
      </c>
      <c r="V97" s="65">
        <v>65.5</v>
      </c>
      <c r="W97" s="65">
        <v>65.7</v>
      </c>
      <c r="X97" s="65">
        <v>57.3</v>
      </c>
      <c r="Y97" s="65">
        <v>46</v>
      </c>
      <c r="Z97" s="65">
        <v>39</v>
      </c>
      <c r="AA97" s="125">
        <v>35</v>
      </c>
      <c r="AB97" s="125">
        <v>29.3</v>
      </c>
      <c r="AC97" s="125">
        <v>25.3</v>
      </c>
      <c r="AD97" s="125">
        <v>28.4</v>
      </c>
      <c r="AE97" s="125">
        <v>27.9</v>
      </c>
      <c r="AF97" s="126">
        <v>30.8</v>
      </c>
      <c r="AG97" s="127"/>
      <c r="AH97" s="56">
        <f t="shared" si="22"/>
        <v>65.7</v>
      </c>
      <c r="AI97" s="121">
        <f t="shared" si="23"/>
        <v>0.75</v>
      </c>
    </row>
    <row r="98" spans="1:37" ht="15.75" thickBot="1" x14ac:dyDescent="0.3">
      <c r="A98" s="124" t="s">
        <v>101</v>
      </c>
      <c r="B98" s="65">
        <v>40.299999999999997</v>
      </c>
      <c r="C98" s="65">
        <v>45.3</v>
      </c>
      <c r="D98" s="65">
        <v>38.799999999999997</v>
      </c>
      <c r="E98" s="65">
        <v>38.1</v>
      </c>
      <c r="F98" s="65">
        <v>44.5</v>
      </c>
      <c r="G98" s="65">
        <v>25.9</v>
      </c>
      <c r="H98" s="65">
        <v>29.9</v>
      </c>
      <c r="I98" s="65">
        <v>40</v>
      </c>
      <c r="J98" s="65">
        <v>25.3</v>
      </c>
      <c r="K98" s="65">
        <v>24.7</v>
      </c>
      <c r="L98" s="65">
        <v>37.799999999999997</v>
      </c>
      <c r="M98" s="65">
        <v>32.299999999999997</v>
      </c>
      <c r="N98" s="65">
        <v>33.1</v>
      </c>
      <c r="O98" s="65">
        <v>37.299999999999997</v>
      </c>
      <c r="P98" s="65">
        <v>21.9</v>
      </c>
      <c r="Q98" s="65">
        <v>42.9</v>
      </c>
      <c r="R98" s="65">
        <v>40.1</v>
      </c>
      <c r="S98" s="65">
        <v>35.200000000000003</v>
      </c>
      <c r="T98" s="65">
        <v>28.6</v>
      </c>
      <c r="U98" s="65">
        <v>29.4</v>
      </c>
      <c r="V98" s="65">
        <v>59.7</v>
      </c>
      <c r="W98" s="65">
        <v>70.2</v>
      </c>
      <c r="X98" s="65">
        <v>54.8</v>
      </c>
      <c r="Y98" s="65">
        <v>41.2</v>
      </c>
      <c r="Z98" s="65">
        <v>30.5</v>
      </c>
      <c r="AA98" s="125">
        <v>30.7</v>
      </c>
      <c r="AB98" s="125">
        <v>20.6</v>
      </c>
      <c r="AC98" s="125">
        <v>28.5</v>
      </c>
      <c r="AD98" s="125">
        <v>37.6</v>
      </c>
      <c r="AE98" s="125">
        <v>32.799999999999997</v>
      </c>
      <c r="AF98" s="126">
        <v>40.6</v>
      </c>
      <c r="AG98" s="128"/>
      <c r="AH98" s="56">
        <f t="shared" si="22"/>
        <v>70.2</v>
      </c>
      <c r="AI98" s="121">
        <f t="shared" si="23"/>
        <v>0.75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1120.4399999999998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28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2078/07/28)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2078/07/28)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741.54</v>
      </c>
      <c r="U212" s="173">
        <f t="shared" si="52"/>
        <v>716.94</v>
      </c>
      <c r="V212" s="173">
        <f t="shared" si="52"/>
        <v>720.24</v>
      </c>
      <c r="W212" s="173">
        <f t="shared" si="52"/>
        <v>736.24</v>
      </c>
      <c r="X212" s="173">
        <f t="shared" si="52"/>
        <v>744.44</v>
      </c>
      <c r="Y212" s="173">
        <f t="shared" si="52"/>
        <v>839.84</v>
      </c>
      <c r="Z212" s="173">
        <f t="shared" si="52"/>
        <v>881.04</v>
      </c>
      <c r="AA212" s="173">
        <f t="shared" si="52"/>
        <v>960.44</v>
      </c>
      <c r="AB212" s="173">
        <f t="shared" si="52"/>
        <v>1055.74</v>
      </c>
      <c r="AC212" s="173">
        <f t="shared" si="52"/>
        <v>1089.74</v>
      </c>
      <c r="AD212" s="173">
        <f t="shared" si="52"/>
        <v>1120.4399999999998</v>
      </c>
      <c r="AE212" s="173">
        <f t="shared" si="52"/>
        <v>1102.2399999999998</v>
      </c>
      <c r="AF212" s="173">
        <f t="shared" si="52"/>
        <v>1063.7399999999998</v>
      </c>
      <c r="AG212" s="173">
        <f t="shared" si="52"/>
        <v>1018.4399999999998</v>
      </c>
      <c r="AH212" s="173">
        <f t="shared" si="52"/>
        <v>1006.0400000000001</v>
      </c>
      <c r="AI212" s="173">
        <f t="shared" si="52"/>
        <v>967.14</v>
      </c>
      <c r="AJ212" s="173">
        <f t="shared" si="52"/>
        <v>1007.74</v>
      </c>
      <c r="AK212" s="173">
        <f t="shared" si="52"/>
        <v>1013.84</v>
      </c>
      <c r="AL212" s="173">
        <f t="shared" si="52"/>
        <v>1047.54</v>
      </c>
      <c r="AM212" s="173">
        <f t="shared" si="52"/>
        <v>1110.24</v>
      </c>
      <c r="AN212" s="173">
        <f t="shared" si="52"/>
        <v>1348.64</v>
      </c>
      <c r="AO212" s="173">
        <f t="shared" si="52"/>
        <v>1362.94</v>
      </c>
      <c r="AP212" s="173">
        <f t="shared" si="52"/>
        <v>1290.3400000000001</v>
      </c>
      <c r="AQ212" s="173">
        <f t="shared" si="52"/>
        <v>1182.6799999999998</v>
      </c>
      <c r="AR212" s="173">
        <f t="shared" si="52"/>
        <v>1165.54</v>
      </c>
      <c r="AS212" s="173">
        <f t="shared" si="52"/>
        <v>1115.94</v>
      </c>
      <c r="AT212" s="173">
        <f t="shared" si="52"/>
        <v>1058.3399999999999</v>
      </c>
      <c r="AU212" s="173">
        <f t="shared" si="52"/>
        <v>989.04</v>
      </c>
      <c r="AV212" s="173">
        <f t="shared" si="52"/>
        <v>856.43999999999983</v>
      </c>
      <c r="AW212" s="173">
        <f t="shared" si="52"/>
        <v>808.2399999999999</v>
      </c>
      <c r="AX212" s="173">
        <f t="shared" si="52"/>
        <v>818.83999999999992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7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394" priority="468">
      <formula>S$9&gt;=20/24</formula>
    </cfRule>
    <cfRule type="expression" dxfId="1393" priority="469">
      <formula>AND(S$9&gt;=14/24,S$9&lt;20/24)</formula>
    </cfRule>
    <cfRule type="expression" dxfId="1392" priority="470">
      <formula>AND(S$9&gt;=8/24,S$9&lt;14/24)</formula>
    </cfRule>
    <cfRule type="expression" dxfId="1391" priority="471">
      <formula>S$9&lt;8/24</formula>
    </cfRule>
  </conditionalFormatting>
  <conditionalFormatting sqref="B8:AF10 AA80:AF80 B80:Q80 B55:AF55 B81:AF81 C192:AF198 AF56:AF59 B67:AF71 T211:AX211 O38:Q38 L38:N41 O39:P41 Q41 P12:P14 R22 Q39:V40 B73:AF77 B79:AF79 L11:P11 D56:O60 Q11:Q14 P44:R47 P57:R66 L36:Q36 R11:AD11 T41:V41 S57:W58 W84:Z90 W39:AD41 AA83:AF90 AA42:AE42 L52:AF54 T19:AF19">
    <cfRule type="expression" dxfId="1390" priority="464">
      <formula>B$9&gt;=20/24</formula>
    </cfRule>
    <cfRule type="expression" dxfId="1389" priority="465">
      <formula>AND(B$9&gt;=14/24,B$9&lt;20/24)</formula>
    </cfRule>
    <cfRule type="expression" dxfId="1388" priority="466">
      <formula>AND(B$9&gt;=8/24,B$9&lt;14/24)</formula>
    </cfRule>
    <cfRule type="expression" dxfId="1387" priority="467">
      <formula>B$9&lt;8/24</formula>
    </cfRule>
  </conditionalFormatting>
  <conditionalFormatting sqref="B190:AF190">
    <cfRule type="expression" dxfId="1386" priority="460">
      <formula>B$9&gt;=20/24</formula>
    </cfRule>
    <cfRule type="expression" dxfId="1385" priority="461">
      <formula>AND(B$9&gt;=14/24,B$9&lt;20/24)</formula>
    </cfRule>
    <cfRule type="expression" dxfId="1384" priority="462">
      <formula>AND(B$9&gt;=8/24,B$9&lt;14/24)</formula>
    </cfRule>
    <cfRule type="expression" dxfId="1383" priority="463">
      <formula>B$9&lt;8/24</formula>
    </cfRule>
  </conditionalFormatting>
  <conditionalFormatting sqref="AL4:AL6">
    <cfRule type="iconSet" priority="459">
      <iconSet iconSet="3TrafficLights2" reverse="1">
        <cfvo type="percent" val="0"/>
        <cfvo type="num" val="1"/>
        <cfvo type="num" val="1"/>
      </iconSet>
    </cfRule>
  </conditionalFormatting>
  <conditionalFormatting sqref="P56:R56">
    <cfRule type="expression" dxfId="1382" priority="455">
      <formula>P$9&gt;=20/24</formula>
    </cfRule>
    <cfRule type="expression" dxfId="1381" priority="456">
      <formula>AND(P$9&gt;=14/24,P$9&lt;20/24)</formula>
    </cfRule>
    <cfRule type="expression" dxfId="1380" priority="457">
      <formula>AND(P$9&gt;=8/24,P$9&lt;14/24)</formula>
    </cfRule>
    <cfRule type="expression" dxfId="1379" priority="458">
      <formula>P$9&lt;8/24</formula>
    </cfRule>
  </conditionalFormatting>
  <conditionalFormatting sqref="P42:Q42">
    <cfRule type="expression" dxfId="1378" priority="451">
      <formula>P$9&gt;=20/24</formula>
    </cfRule>
    <cfRule type="expression" dxfId="1377" priority="452">
      <formula>AND(P$9&gt;=14/24,P$9&lt;20/24)</formula>
    </cfRule>
    <cfRule type="expression" dxfId="1376" priority="453">
      <formula>AND(P$9&gt;=8/24,P$9&lt;14/24)</formula>
    </cfRule>
    <cfRule type="expression" dxfId="1375" priority="454">
      <formula>P$9&lt;8/24</formula>
    </cfRule>
  </conditionalFormatting>
  <conditionalFormatting sqref="R38:AD38">
    <cfRule type="expression" dxfId="1374" priority="443">
      <formula>R$9&gt;=20/24</formula>
    </cfRule>
    <cfRule type="expression" dxfId="1373" priority="444">
      <formula>AND(R$9&gt;=14/24,R$9&lt;20/24)</formula>
    </cfRule>
    <cfRule type="expression" dxfId="1372" priority="445">
      <formula>AND(R$9&gt;=8/24,R$9&lt;14/24)</formula>
    </cfRule>
    <cfRule type="expression" dxfId="1371" priority="446">
      <formula>R$9&lt;8/24</formula>
    </cfRule>
  </conditionalFormatting>
  <conditionalFormatting sqref="S56:AE56">
    <cfRule type="expression" dxfId="1370" priority="439">
      <formula>S$9&gt;=20/24</formula>
    </cfRule>
    <cfRule type="expression" dxfId="1369" priority="440">
      <formula>AND(S$9&gt;=14/24,S$9&lt;20/24)</formula>
    </cfRule>
    <cfRule type="expression" dxfId="1368" priority="441">
      <formula>AND(S$9&gt;=8/24,S$9&lt;14/24)</formula>
    </cfRule>
    <cfRule type="expression" dxfId="1367" priority="442">
      <formula>S$9&lt;8/24</formula>
    </cfRule>
  </conditionalFormatting>
  <conditionalFormatting sqref="R80:Z80">
    <cfRule type="expression" dxfId="1366" priority="435">
      <formula>R$9&gt;=20/24</formula>
    </cfRule>
    <cfRule type="expression" dxfId="1365" priority="436">
      <formula>AND(R$9&gt;=14/24,R$9&lt;20/24)</formula>
    </cfRule>
    <cfRule type="expression" dxfId="1364" priority="437">
      <formula>AND(R$9&gt;=8/24,R$9&lt;14/24)</formula>
    </cfRule>
    <cfRule type="expression" dxfId="1363" priority="438">
      <formula>R$9&lt;8/24</formula>
    </cfRule>
  </conditionalFormatting>
  <conditionalFormatting sqref="T83:Z83">
    <cfRule type="expression" dxfId="1362" priority="431">
      <formula>T$9&gt;=20/24</formula>
    </cfRule>
    <cfRule type="expression" dxfId="1361" priority="432">
      <formula>AND(T$9&gt;=14/24,T$9&lt;20/24)</formula>
    </cfRule>
    <cfRule type="expression" dxfId="1360" priority="433">
      <formula>AND(T$9&gt;=8/24,T$9&lt;14/24)</formula>
    </cfRule>
    <cfRule type="expression" dxfId="1359" priority="434">
      <formula>T$9&lt;8/24</formula>
    </cfRule>
  </conditionalFormatting>
  <conditionalFormatting sqref="P48:AF48">
    <cfRule type="expression" dxfId="1358" priority="423">
      <formula>P$9&gt;=20/24</formula>
    </cfRule>
    <cfRule type="expression" dxfId="1357" priority="424">
      <formula>AND(P$9&gt;=14/24,P$9&lt;20/24)</formula>
    </cfRule>
    <cfRule type="expression" dxfId="1356" priority="425">
      <formula>AND(P$9&gt;=8/24,P$9&lt;14/24)</formula>
    </cfRule>
    <cfRule type="expression" dxfId="1355" priority="426">
      <formula>P$9&lt;8/24</formula>
    </cfRule>
  </conditionalFormatting>
  <conditionalFormatting sqref="P49:R49">
    <cfRule type="expression" dxfId="1354" priority="419">
      <formula>P$9&gt;=20/24</formula>
    </cfRule>
    <cfRule type="expression" dxfId="1353" priority="420">
      <formula>AND(P$9&gt;=14/24,P$9&lt;20/24)</formula>
    </cfRule>
    <cfRule type="expression" dxfId="1352" priority="421">
      <formula>AND(P$9&gt;=8/24,P$9&lt;14/24)</formula>
    </cfRule>
    <cfRule type="expression" dxfId="1351" priority="422">
      <formula>P$9&lt;8/24</formula>
    </cfRule>
  </conditionalFormatting>
  <conditionalFormatting sqref="P44:R47">
    <cfRule type="expression" dxfId="1350" priority="415">
      <formula>P$9&gt;=20/24</formula>
    </cfRule>
    <cfRule type="expression" dxfId="1349" priority="416">
      <formula>AND(P$9&gt;=14/24,P$9&lt;20/24)</formula>
    </cfRule>
    <cfRule type="expression" dxfId="1348" priority="417">
      <formula>AND(P$9&gt;=8/24,P$9&lt;14/24)</formula>
    </cfRule>
    <cfRule type="expression" dxfId="1347" priority="418">
      <formula>P$9&lt;8/24</formula>
    </cfRule>
  </conditionalFormatting>
  <conditionalFormatting sqref="R36:AE36">
    <cfRule type="expression" dxfId="1346" priority="411">
      <formula>R$9&gt;=20/24</formula>
    </cfRule>
    <cfRule type="expression" dxfId="1345" priority="412">
      <formula>AND(R$9&gt;=14/24,R$9&lt;20/24)</formula>
    </cfRule>
    <cfRule type="expression" dxfId="1344" priority="413">
      <formula>AND(R$9&gt;=8/24,R$9&lt;14/24)</formula>
    </cfRule>
    <cfRule type="expression" dxfId="1343" priority="414">
      <formula>R$9&lt;8/24</formula>
    </cfRule>
  </conditionalFormatting>
  <conditionalFormatting sqref="R41:S42 T42:Z42 R44:AF47">
    <cfRule type="expression" dxfId="1342" priority="403">
      <formula>R$9&gt;=20/24</formula>
    </cfRule>
    <cfRule type="expression" dxfId="1341" priority="404">
      <formula>AND(R$9&gt;=14/24,R$9&lt;20/24)</formula>
    </cfRule>
    <cfRule type="expression" dxfId="1340" priority="405">
      <formula>AND(R$9&gt;=8/24,R$9&lt;14/24)</formula>
    </cfRule>
    <cfRule type="expression" dxfId="1339" priority="406">
      <formula>R$9&lt;8/24</formula>
    </cfRule>
  </conditionalFormatting>
  <conditionalFormatting sqref="R48:AF48">
    <cfRule type="expression" dxfId="1338" priority="399">
      <formula>R$9&gt;=20/24</formula>
    </cfRule>
    <cfRule type="expression" dxfId="1337" priority="400">
      <formula>AND(R$9&gt;=14/24,R$9&lt;20/24)</formula>
    </cfRule>
    <cfRule type="expression" dxfId="1336" priority="401">
      <formula>AND(R$9&gt;=8/24,R$9&lt;14/24)</formula>
    </cfRule>
    <cfRule type="expression" dxfId="1335" priority="402">
      <formula>R$9&lt;8/24</formula>
    </cfRule>
  </conditionalFormatting>
  <conditionalFormatting sqref="R49:AF49">
    <cfRule type="expression" dxfId="1334" priority="395">
      <formula>R$9&gt;=20/24</formula>
    </cfRule>
    <cfRule type="expression" dxfId="1333" priority="396">
      <formula>AND(R$9&gt;=14/24,R$9&lt;20/24)</formula>
    </cfRule>
    <cfRule type="expression" dxfId="1332" priority="397">
      <formula>AND(R$9&gt;=8/24,R$9&lt;14/24)</formula>
    </cfRule>
    <cfRule type="expression" dxfId="1331" priority="398">
      <formula>R$9&lt;8/24</formula>
    </cfRule>
  </conditionalFormatting>
  <conditionalFormatting sqref="AF60:AF66 S59:AE66">
    <cfRule type="expression" dxfId="1330" priority="391">
      <formula>S$9&gt;=20/24</formula>
    </cfRule>
    <cfRule type="expression" dxfId="1329" priority="392">
      <formula>AND(S$9&gt;=14/24,S$9&lt;20/24)</formula>
    </cfRule>
    <cfRule type="expression" dxfId="1328" priority="393">
      <formula>AND(S$9&gt;=8/24,S$9&lt;14/24)</formula>
    </cfRule>
    <cfRule type="expression" dxfId="1327" priority="394">
      <formula>S$9&lt;8/24</formula>
    </cfRule>
  </conditionalFormatting>
  <conditionalFormatting sqref="AA93:AF96">
    <cfRule type="expression" dxfId="1326" priority="387">
      <formula>AA$9&gt;=20/24</formula>
    </cfRule>
    <cfRule type="expression" dxfId="1325" priority="388">
      <formula>AND(AA$9&gt;=14/24,AA$9&lt;20/24)</formula>
    </cfRule>
    <cfRule type="expression" dxfId="1324" priority="389">
      <formula>AND(AA$9&gt;=8/24,AA$9&lt;14/24)</formula>
    </cfRule>
    <cfRule type="expression" dxfId="1323" priority="390">
      <formula>AA$9&lt;8/24</formula>
    </cfRule>
  </conditionalFormatting>
  <conditionalFormatting sqref="D61:H61 I61:O66">
    <cfRule type="expression" dxfId="1322" priority="383">
      <formula>D$9&gt;=20/24</formula>
    </cfRule>
    <cfRule type="expression" dxfId="1321" priority="384">
      <formula>AND(D$9&gt;=14/24,D$9&lt;20/24)</formula>
    </cfRule>
    <cfRule type="expression" dxfId="1320" priority="385">
      <formula>AND(D$9&gt;=8/24,D$9&lt;14/24)</formula>
    </cfRule>
    <cfRule type="expression" dxfId="1319" priority="386">
      <formula>D$9&lt;8/24</formula>
    </cfRule>
  </conditionalFormatting>
  <conditionalFormatting sqref="T93:Z96">
    <cfRule type="expression" dxfId="1318" priority="379">
      <formula>T$9&gt;=20/24</formula>
    </cfRule>
    <cfRule type="expression" dxfId="1317" priority="380">
      <formula>AND(T$9&gt;=14/24,T$9&lt;20/24)</formula>
    </cfRule>
    <cfRule type="expression" dxfId="1316" priority="381">
      <formula>AND(T$9&gt;=8/24,T$9&lt;14/24)</formula>
    </cfRule>
    <cfRule type="expression" dxfId="1315" priority="382">
      <formula>T$9&lt;8/24</formula>
    </cfRule>
  </conditionalFormatting>
  <conditionalFormatting sqref="R22 H11:J12 B37:AF37 C50:AG50 G44:H44 E41:F41 H45:H46 I13:J13 J14 G41:J42 K11:P11 D38:V40 P12:P14 I44:K46 K12:K14 K42 P42:U42 H49:O49 Q11:Q14 K41:U41 V41:V42 D36:AF36 W38:AF42 B51:AF55 R11:AF11 T19:AF19 P44:AF49">
    <cfRule type="expression" dxfId="1314" priority="378">
      <formula>B11&gt;$AG11</formula>
    </cfRule>
  </conditionalFormatting>
  <conditionalFormatting sqref="A99:A155 A83:A96 A11:A14 A16:A32 A44:A71 A79:A81 A73:A77 A34:A42 A168:A199">
    <cfRule type="expression" dxfId="1313" priority="377">
      <formula>$AH11=0</formula>
    </cfRule>
  </conditionalFormatting>
  <conditionalFormatting sqref="AA97:AF97">
    <cfRule type="expression" dxfId="1312" priority="373">
      <formula>AA$9&gt;=20/24</formula>
    </cfRule>
    <cfRule type="expression" dxfId="1311" priority="374">
      <formula>AND(AA$9&gt;=14/24,AA$9&lt;20/24)</formula>
    </cfRule>
    <cfRule type="expression" dxfId="1310" priority="375">
      <formula>AND(AA$9&gt;=8/24,AA$9&lt;14/24)</formula>
    </cfRule>
    <cfRule type="expression" dxfId="1309" priority="376">
      <formula>AA$9&lt;8/24</formula>
    </cfRule>
  </conditionalFormatting>
  <conditionalFormatting sqref="T97:Z97">
    <cfRule type="expression" dxfId="1308" priority="369">
      <formula>T$9&gt;=20/24</formula>
    </cfRule>
    <cfRule type="expression" dxfId="1307" priority="370">
      <formula>AND(T$9&gt;=14/24,T$9&lt;20/24)</formula>
    </cfRule>
    <cfRule type="expression" dxfId="1306" priority="371">
      <formula>AND(T$9&gt;=8/24,T$9&lt;14/24)</formula>
    </cfRule>
    <cfRule type="expression" dxfId="1305" priority="372">
      <formula>T$9&lt;8/24</formula>
    </cfRule>
  </conditionalFormatting>
  <conditionalFormatting sqref="A97">
    <cfRule type="expression" dxfId="1304" priority="368">
      <formula>$AH97=0</formula>
    </cfRule>
  </conditionalFormatting>
  <conditionalFormatting sqref="D62:H66">
    <cfRule type="expression" dxfId="1303" priority="352">
      <formula>D$9&gt;=20/24</formula>
    </cfRule>
    <cfRule type="expression" dxfId="1302" priority="353">
      <formula>AND(D$9&gt;=14/24,D$9&lt;20/24)</formula>
    </cfRule>
    <cfRule type="expression" dxfId="1301" priority="354">
      <formula>AND(D$9&gt;=8/24,D$9&lt;14/24)</formula>
    </cfRule>
    <cfRule type="expression" dxfId="1300" priority="355">
      <formula>D$9&lt;8/24</formula>
    </cfRule>
  </conditionalFormatting>
  <conditionalFormatting sqref="AL32">
    <cfRule type="iconSet" priority="347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299" priority="333">
      <formula>$AH33=0</formula>
    </cfRule>
  </conditionalFormatting>
  <conditionalFormatting sqref="B82:AF82">
    <cfRule type="expression" dxfId="1298" priority="329">
      <formula>B$9&gt;=20/24</formula>
    </cfRule>
    <cfRule type="expression" dxfId="1297" priority="330">
      <formula>AND(B$9&gt;=14/24,B$9&lt;20/24)</formula>
    </cfRule>
    <cfRule type="expression" dxfId="1296" priority="331">
      <formula>AND(B$9&gt;=8/24,B$9&lt;14/24)</formula>
    </cfRule>
    <cfRule type="expression" dxfId="1295" priority="332">
      <formula>B$9&lt;8/24</formula>
    </cfRule>
  </conditionalFormatting>
  <conditionalFormatting sqref="A82">
    <cfRule type="expression" dxfId="1294" priority="328">
      <formula>$AH82=0</formula>
    </cfRule>
  </conditionalFormatting>
  <conditionalFormatting sqref="A15">
    <cfRule type="expression" dxfId="1293" priority="318">
      <formula>$AH15=0</formula>
    </cfRule>
  </conditionalFormatting>
  <conditionalFormatting sqref="A162:A167">
    <cfRule type="expression" dxfId="1292" priority="317">
      <formula>$AH162=0</formula>
    </cfRule>
  </conditionalFormatting>
  <conditionalFormatting sqref="A156:A161">
    <cfRule type="expression" dxfId="1291" priority="316">
      <formula>$AH156=0</formula>
    </cfRule>
  </conditionalFormatting>
  <conditionalFormatting sqref="P43:Q43">
    <cfRule type="expression" dxfId="1290" priority="308">
      <formula>P$9&gt;=20/24</formula>
    </cfRule>
    <cfRule type="expression" dxfId="1289" priority="309">
      <formula>AND(P$9&gt;=14/24,P$9&lt;20/24)</formula>
    </cfRule>
    <cfRule type="expression" dxfId="1288" priority="310">
      <formula>AND(P$9&gt;=8/24,P$9&lt;14/24)</formula>
    </cfRule>
    <cfRule type="expression" dxfId="1287" priority="311">
      <formula>P$9&lt;8/24</formula>
    </cfRule>
  </conditionalFormatting>
  <conditionalFormatting sqref="R43:AF43">
    <cfRule type="expression" dxfId="1286" priority="304">
      <formula>R$9&gt;=20/24</formula>
    </cfRule>
    <cfRule type="expression" dxfId="1285" priority="305">
      <formula>AND(R$9&gt;=14/24,R$9&lt;20/24)</formula>
    </cfRule>
    <cfRule type="expression" dxfId="1284" priority="306">
      <formula>AND(R$9&gt;=8/24,R$9&lt;14/24)</formula>
    </cfRule>
    <cfRule type="expression" dxfId="1283" priority="307">
      <formula>R$9&lt;8/24</formula>
    </cfRule>
  </conditionalFormatting>
  <conditionalFormatting sqref="G43:K43 P43:AF43">
    <cfRule type="expression" dxfId="1282" priority="303">
      <formula>G43&gt;$AG43</formula>
    </cfRule>
  </conditionalFormatting>
  <conditionalFormatting sqref="A43">
    <cfRule type="expression" dxfId="1281" priority="302">
      <formula>$AH43=0</formula>
    </cfRule>
  </conditionalFormatting>
  <conditionalFormatting sqref="B78:AF78">
    <cfRule type="expression" dxfId="1280" priority="298">
      <formula>B$9&gt;=20/24</formula>
    </cfRule>
    <cfRule type="expression" dxfId="1279" priority="299">
      <formula>AND(B$9&gt;=14/24,B$9&lt;20/24)</formula>
    </cfRule>
    <cfRule type="expression" dxfId="1278" priority="300">
      <formula>AND(B$9&gt;=8/24,B$9&lt;14/24)</formula>
    </cfRule>
    <cfRule type="expression" dxfId="1277" priority="301">
      <formula>B$9&lt;8/24</formula>
    </cfRule>
  </conditionalFormatting>
  <conditionalFormatting sqref="A78">
    <cfRule type="expression" dxfId="1276" priority="297">
      <formula>$AH78=0</formula>
    </cfRule>
  </conditionalFormatting>
  <conditionalFormatting sqref="B72:AG72">
    <cfRule type="expression" dxfId="1275" priority="293">
      <formula>B$9&gt;=20/24</formula>
    </cfRule>
    <cfRule type="expression" dxfId="1274" priority="294">
      <formula>AND(B$9&gt;=14/24,B$9&lt;20/24)</formula>
    </cfRule>
    <cfRule type="expression" dxfId="1273" priority="295">
      <formula>AND(B$9&gt;=8/24,B$9&lt;14/24)</formula>
    </cfRule>
    <cfRule type="expression" dxfId="1272" priority="296">
      <formula>B$9&lt;8/24</formula>
    </cfRule>
  </conditionalFormatting>
  <conditionalFormatting sqref="A72">
    <cfRule type="expression" dxfId="1271" priority="292">
      <formula>$AH72=0</formula>
    </cfRule>
  </conditionalFormatting>
  <conditionalFormatting sqref="AL33:AL34 AL7:AL31">
    <cfRule type="iconSet" priority="474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1270" priority="284">
      <formula>T$9&gt;=20/24</formula>
    </cfRule>
    <cfRule type="expression" dxfId="1269" priority="285">
      <formula>AND(T$9&gt;=14/24,T$9&lt;20/24)</formula>
    </cfRule>
    <cfRule type="expression" dxfId="1268" priority="286">
      <formula>AND(T$9&gt;=8/24,T$9&lt;14/24)</formula>
    </cfRule>
    <cfRule type="expression" dxfId="1267" priority="287">
      <formula>T$9&lt;8/24</formula>
    </cfRule>
  </conditionalFormatting>
  <conditionalFormatting sqref="R84:S90 D83:Q90">
    <cfRule type="expression" dxfId="1266" priority="280">
      <formula>D$9&gt;=20/24</formula>
    </cfRule>
    <cfRule type="expression" dxfId="1265" priority="281">
      <formula>AND(D$9&gt;=14/24,D$9&lt;20/24)</formula>
    </cfRule>
    <cfRule type="expression" dxfId="1264" priority="282">
      <formula>AND(D$9&gt;=8/24,D$9&lt;14/24)</formula>
    </cfRule>
    <cfRule type="expression" dxfId="1263" priority="283">
      <formula>D$9&lt;8/24</formula>
    </cfRule>
  </conditionalFormatting>
  <conditionalFormatting sqref="R83:S83">
    <cfRule type="expression" dxfId="1262" priority="276">
      <formula>R$9&gt;=20/24</formula>
    </cfRule>
    <cfRule type="expression" dxfId="1261" priority="277">
      <formula>AND(R$9&gt;=14/24,R$9&lt;20/24)</formula>
    </cfRule>
    <cfRule type="expression" dxfId="1260" priority="278">
      <formula>AND(R$9&gt;=8/24,R$9&lt;14/24)</formula>
    </cfRule>
    <cfRule type="expression" dxfId="1259" priority="279">
      <formula>R$9&lt;8/24</formula>
    </cfRule>
  </conditionalFormatting>
  <conditionalFormatting sqref="D93:E93 D94:L96">
    <cfRule type="expression" dxfId="1258" priority="272">
      <formula>D$9&gt;=20/24</formula>
    </cfRule>
    <cfRule type="expression" dxfId="1257" priority="273">
      <formula>AND(D$9&gt;=14/24,D$9&lt;20/24)</formula>
    </cfRule>
    <cfRule type="expression" dxfId="1256" priority="274">
      <formula>AND(D$9&gt;=8/24,D$9&lt;14/24)</formula>
    </cfRule>
    <cfRule type="expression" dxfId="1255" priority="275">
      <formula>D$9&lt;8/24</formula>
    </cfRule>
  </conditionalFormatting>
  <conditionalFormatting sqref="M94:Q96 N93:Q93">
    <cfRule type="expression" dxfId="1254" priority="268">
      <formula>M$9&gt;=20/24</formula>
    </cfRule>
    <cfRule type="expression" dxfId="1253" priority="269">
      <formula>AND(M$9&gt;=14/24,M$9&lt;20/24)</formula>
    </cfRule>
    <cfRule type="expression" dxfId="1252" priority="270">
      <formula>AND(M$9&gt;=8/24,M$9&lt;14/24)</formula>
    </cfRule>
    <cfRule type="expression" dxfId="1251" priority="271">
      <formula>M$9&lt;8/24</formula>
    </cfRule>
  </conditionalFormatting>
  <conditionalFormatting sqref="R93:S96">
    <cfRule type="expression" dxfId="1250" priority="264">
      <formula>R$9&gt;=20/24</formula>
    </cfRule>
    <cfRule type="expression" dxfId="1249" priority="265">
      <formula>AND(R$9&gt;=14/24,R$9&lt;20/24)</formula>
    </cfRule>
    <cfRule type="expression" dxfId="1248" priority="266">
      <formula>AND(R$9&gt;=8/24,R$9&lt;14/24)</formula>
    </cfRule>
    <cfRule type="expression" dxfId="1247" priority="267">
      <formula>R$9&lt;8/24</formula>
    </cfRule>
  </conditionalFormatting>
  <conditionalFormatting sqref="D97:L97">
    <cfRule type="expression" dxfId="1246" priority="260">
      <formula>D$9&gt;=20/24</formula>
    </cfRule>
    <cfRule type="expression" dxfId="1245" priority="261">
      <formula>AND(D$9&gt;=14/24,D$9&lt;20/24)</formula>
    </cfRule>
    <cfRule type="expression" dxfId="1244" priority="262">
      <formula>AND(D$9&gt;=8/24,D$9&lt;14/24)</formula>
    </cfRule>
    <cfRule type="expression" dxfId="1243" priority="263">
      <formula>D$9&lt;8/24</formula>
    </cfRule>
  </conditionalFormatting>
  <conditionalFormatting sqref="M97:Q97">
    <cfRule type="expression" dxfId="1242" priority="256">
      <formula>M$9&gt;=20/24</formula>
    </cfRule>
    <cfRule type="expression" dxfId="1241" priority="257">
      <formula>AND(M$9&gt;=14/24,M$9&lt;20/24)</formula>
    </cfRule>
    <cfRule type="expression" dxfId="1240" priority="258">
      <formula>AND(M$9&gt;=8/24,M$9&lt;14/24)</formula>
    </cfRule>
    <cfRule type="expression" dxfId="1239" priority="259">
      <formula>M$9&lt;8/24</formula>
    </cfRule>
  </conditionalFormatting>
  <conditionalFormatting sqref="R97:S97">
    <cfRule type="expression" dxfId="1238" priority="252">
      <formula>R$9&gt;=20/24</formula>
    </cfRule>
    <cfRule type="expression" dxfId="1237" priority="253">
      <formula>AND(R$9&gt;=14/24,R$9&lt;20/24)</formula>
    </cfRule>
    <cfRule type="expression" dxfId="1236" priority="254">
      <formula>AND(R$9&gt;=8/24,R$9&lt;14/24)</formula>
    </cfRule>
    <cfRule type="expression" dxfId="1235" priority="255">
      <formula>R$9&lt;8/24</formula>
    </cfRule>
  </conditionalFormatting>
  <conditionalFormatting sqref="L93:M93">
    <cfRule type="expression" dxfId="1234" priority="248">
      <formula>L$9&gt;=20/24</formula>
    </cfRule>
    <cfRule type="expression" dxfId="1233" priority="249">
      <formula>AND(L$9&gt;=14/24,L$9&lt;20/24)</formula>
    </cfRule>
    <cfRule type="expression" dxfId="1232" priority="250">
      <formula>AND(L$9&gt;=8/24,L$9&lt;14/24)</formula>
    </cfRule>
    <cfRule type="expression" dxfId="1231" priority="251">
      <formula>L$9&lt;8/24</formula>
    </cfRule>
  </conditionalFormatting>
  <conditionalFormatting sqref="F93:K93">
    <cfRule type="expression" dxfId="1230" priority="244">
      <formula>F$9&gt;=20/24</formula>
    </cfRule>
    <cfRule type="expression" dxfId="1229" priority="245">
      <formula>AND(F$9&gt;=14/24,F$9&lt;20/24)</formula>
    </cfRule>
    <cfRule type="expression" dxfId="1228" priority="246">
      <formula>AND(F$9&gt;=8/24,F$9&lt;14/24)</formula>
    </cfRule>
    <cfRule type="expression" dxfId="1227" priority="247">
      <formula>F$9&lt;8/24</formula>
    </cfRule>
  </conditionalFormatting>
  <conditionalFormatting sqref="T93:V93">
    <cfRule type="expression" dxfId="1226" priority="240">
      <formula>T$9&gt;=20/24</formula>
    </cfRule>
    <cfRule type="expression" dxfId="1225" priority="241">
      <formula>AND(T$9&gt;=14/24,T$9&lt;20/24)</formula>
    </cfRule>
    <cfRule type="expression" dxfId="1224" priority="242">
      <formula>AND(T$9&gt;=8/24,T$9&lt;14/24)</formula>
    </cfRule>
    <cfRule type="expression" dxfId="1223" priority="243">
      <formula>T$9&lt;8/24</formula>
    </cfRule>
  </conditionalFormatting>
  <conditionalFormatting sqref="M93:S93">
    <cfRule type="expression" dxfId="1222" priority="236">
      <formula>M$9&gt;=20/24</formula>
    </cfRule>
    <cfRule type="expression" dxfId="1221" priority="237">
      <formula>AND(M$9&gt;=14/24,M$9&lt;20/24)</formula>
    </cfRule>
    <cfRule type="expression" dxfId="1220" priority="238">
      <formula>AND(M$9&gt;=8/24,M$9&lt;14/24)</formula>
    </cfRule>
    <cfRule type="expression" dxfId="1219" priority="239">
      <formula>M$9&lt;8/24</formula>
    </cfRule>
  </conditionalFormatting>
  <conditionalFormatting sqref="AA98:AF98">
    <cfRule type="expression" dxfId="1218" priority="232">
      <formula>AA$9&gt;=20/24</formula>
    </cfRule>
    <cfRule type="expression" dxfId="1217" priority="233">
      <formula>AND(AA$9&gt;=14/24,AA$9&lt;20/24)</formula>
    </cfRule>
    <cfRule type="expression" dxfId="1216" priority="234">
      <formula>AND(AA$9&gt;=8/24,AA$9&lt;14/24)</formula>
    </cfRule>
    <cfRule type="expression" dxfId="1215" priority="235">
      <formula>AA$9&lt;8/24</formula>
    </cfRule>
  </conditionalFormatting>
  <conditionalFormatting sqref="T98:Z98">
    <cfRule type="expression" dxfId="1214" priority="228">
      <formula>T$9&gt;=20/24</formula>
    </cfRule>
    <cfRule type="expression" dxfId="1213" priority="229">
      <formula>AND(T$9&gt;=14/24,T$9&lt;20/24)</formula>
    </cfRule>
    <cfRule type="expression" dxfId="1212" priority="230">
      <formula>AND(T$9&gt;=8/24,T$9&lt;14/24)</formula>
    </cfRule>
    <cfRule type="expression" dxfId="1211" priority="231">
      <formula>T$9&lt;8/24</formula>
    </cfRule>
  </conditionalFormatting>
  <conditionalFormatting sqref="A98">
    <cfRule type="expression" dxfId="1210" priority="227">
      <formula>$AH98=0</formula>
    </cfRule>
  </conditionalFormatting>
  <conditionalFormatting sqref="D98:L98">
    <cfRule type="expression" dxfId="1209" priority="223">
      <formula>D$9&gt;=20/24</formula>
    </cfRule>
    <cfRule type="expression" dxfId="1208" priority="224">
      <formula>AND(D$9&gt;=14/24,D$9&lt;20/24)</formula>
    </cfRule>
    <cfRule type="expression" dxfId="1207" priority="225">
      <formula>AND(D$9&gt;=8/24,D$9&lt;14/24)</formula>
    </cfRule>
    <cfRule type="expression" dxfId="1206" priority="226">
      <formula>D$9&lt;8/24</formula>
    </cfRule>
  </conditionalFormatting>
  <conditionalFormatting sqref="M98:Q98">
    <cfRule type="expression" dxfId="1205" priority="219">
      <formula>M$9&gt;=20/24</formula>
    </cfRule>
    <cfRule type="expression" dxfId="1204" priority="220">
      <formula>AND(M$9&gt;=14/24,M$9&lt;20/24)</formula>
    </cfRule>
    <cfRule type="expression" dxfId="1203" priority="221">
      <formula>AND(M$9&gt;=8/24,M$9&lt;14/24)</formula>
    </cfRule>
    <cfRule type="expression" dxfId="1202" priority="222">
      <formula>M$9&lt;8/24</formula>
    </cfRule>
  </conditionalFormatting>
  <conditionalFormatting sqref="R98:S98">
    <cfRule type="expression" dxfId="1201" priority="215">
      <formula>R$9&gt;=20/24</formula>
    </cfRule>
    <cfRule type="expression" dxfId="1200" priority="216">
      <formula>AND(R$9&gt;=14/24,R$9&lt;20/24)</formula>
    </cfRule>
    <cfRule type="expression" dxfId="1199" priority="217">
      <formula>AND(R$9&gt;=8/24,R$9&lt;14/24)</formula>
    </cfRule>
    <cfRule type="expression" dxfId="1198" priority="218">
      <formula>R$9&lt;8/24</formula>
    </cfRule>
  </conditionalFormatting>
  <conditionalFormatting sqref="R12:T13 R14:R15 T14 U12:AF14">
    <cfRule type="expression" dxfId="1197" priority="211">
      <formula>R$9&gt;=20/24</formula>
    </cfRule>
    <cfRule type="expression" dxfId="1196" priority="212">
      <formula>AND(R$9&gt;=14/24,R$9&lt;20/24)</formula>
    </cfRule>
    <cfRule type="expression" dxfId="1195" priority="213">
      <formula>AND(R$9&gt;=8/24,R$9&lt;14/24)</formula>
    </cfRule>
    <cfRule type="expression" dxfId="1194" priority="214">
      <formula>R$9&lt;8/24</formula>
    </cfRule>
  </conditionalFormatting>
  <conditionalFormatting sqref="R12:AF13">
    <cfRule type="expression" dxfId="1193" priority="203">
      <formula>R$9&gt;=20/24</formula>
    </cfRule>
    <cfRule type="expression" dxfId="1192" priority="204">
      <formula>AND(R$9&gt;=14/24,R$9&lt;20/24)</formula>
    </cfRule>
    <cfRule type="expression" dxfId="1191" priority="205">
      <formula>AND(R$9&gt;=8/24,R$9&lt;14/24)</formula>
    </cfRule>
    <cfRule type="expression" dxfId="1190" priority="206">
      <formula>R$9&lt;8/24</formula>
    </cfRule>
  </conditionalFormatting>
  <conditionalFormatting sqref="B11:G11">
    <cfRule type="expression" dxfId="1189" priority="195">
      <formula>B$9&gt;=20/24</formula>
    </cfRule>
    <cfRule type="expression" dxfId="1188" priority="196">
      <formula>AND(B$9&gt;=14/24,B$9&lt;20/24)</formula>
    </cfRule>
    <cfRule type="expression" dxfId="1187" priority="197">
      <formula>AND(B$9&gt;=8/24,B$9&lt;14/24)</formula>
    </cfRule>
    <cfRule type="expression" dxfId="1186" priority="198">
      <formula>B$9&lt;8/24</formula>
    </cfRule>
  </conditionalFormatting>
  <conditionalFormatting sqref="B11:G11">
    <cfRule type="expression" dxfId="1185" priority="194">
      <formula>B11&gt;$AG11</formula>
    </cfRule>
  </conditionalFormatting>
  <conditionalFormatting sqref="B12:G12 B14:I14 B17:O25 B27:O27 B29:O32 B26:R26 B28:R28">
    <cfRule type="expression" dxfId="1184" priority="190">
      <formula>B$9&gt;=20/24</formula>
    </cfRule>
    <cfRule type="expression" dxfId="1183" priority="191">
      <formula>AND(B$9&gt;=14/24,B$9&lt;20/24)</formula>
    </cfRule>
    <cfRule type="expression" dxfId="1182" priority="192">
      <formula>AND(B$9&gt;=8/24,B$9&lt;14/24)</formula>
    </cfRule>
    <cfRule type="expression" dxfId="1181" priority="193">
      <formula>B$9&lt;8/24</formula>
    </cfRule>
  </conditionalFormatting>
  <conditionalFormatting sqref="B34:O34">
    <cfRule type="expression" dxfId="1180" priority="186">
      <formula>B$9&gt;=20/24</formula>
    </cfRule>
    <cfRule type="expression" dxfId="1179" priority="187">
      <formula>AND(B$9&gt;=14/24,B$9&lt;20/24)</formula>
    </cfRule>
    <cfRule type="expression" dxfId="1178" priority="188">
      <formula>AND(B$9&gt;=8/24,B$9&lt;14/24)</formula>
    </cfRule>
    <cfRule type="expression" dxfId="1177" priority="189">
      <formula>B$9&lt;8/24</formula>
    </cfRule>
  </conditionalFormatting>
  <conditionalFormatting sqref="B36:C36">
    <cfRule type="expression" dxfId="1176" priority="182">
      <formula>B$9&gt;=20/24</formula>
    </cfRule>
    <cfRule type="expression" dxfId="1175" priority="183">
      <formula>AND(B$9&gt;=14/24,B$9&lt;20/24)</formula>
    </cfRule>
    <cfRule type="expression" dxfId="1174" priority="184">
      <formula>AND(B$9&gt;=8/24,B$9&lt;14/24)</formula>
    </cfRule>
    <cfRule type="expression" dxfId="1173" priority="185">
      <formula>B$9&lt;8/24</formula>
    </cfRule>
  </conditionalFormatting>
  <conditionalFormatting sqref="B34:C36 B12:G12 B14:I14 B17:O25 D34:O35 B27:O27 B29:O32 B26:R26 B28:R28">
    <cfRule type="expression" dxfId="1172" priority="181">
      <formula>B12&gt;$AG12</formula>
    </cfRule>
  </conditionalFormatting>
  <conditionalFormatting sqref="B35:O35">
    <cfRule type="expression" dxfId="1171" priority="177">
      <formula>B$9&gt;=20/24</formula>
    </cfRule>
    <cfRule type="expression" dxfId="1170" priority="178">
      <formula>AND(B$9&gt;=14/24,B$9&lt;20/24)</formula>
    </cfRule>
    <cfRule type="expression" dxfId="1169" priority="179">
      <formula>AND(B$9&gt;=8/24,B$9&lt;14/24)</formula>
    </cfRule>
    <cfRule type="expression" dxfId="1168" priority="180">
      <formula>B$9&lt;8/24</formula>
    </cfRule>
  </conditionalFormatting>
  <conditionalFormatting sqref="B33:R33">
    <cfRule type="expression" dxfId="1167" priority="173">
      <formula>B$9&gt;=20/24</formula>
    </cfRule>
    <cfRule type="expression" dxfId="1166" priority="174">
      <formula>AND(B$9&gt;=14/24,B$9&lt;20/24)</formula>
    </cfRule>
    <cfRule type="expression" dxfId="1165" priority="175">
      <formula>AND(B$9&gt;=8/24,B$9&lt;14/24)</formula>
    </cfRule>
    <cfRule type="expression" dxfId="1164" priority="176">
      <formula>B$9&lt;8/24</formula>
    </cfRule>
  </conditionalFormatting>
  <conditionalFormatting sqref="B33:R33">
    <cfRule type="expression" dxfId="1163" priority="172">
      <formula>B33&gt;$AG33</formula>
    </cfRule>
  </conditionalFormatting>
  <conditionalFormatting sqref="B15:K15">
    <cfRule type="expression" dxfId="1162" priority="168">
      <formula>B$9&gt;=20/24</formula>
    </cfRule>
    <cfRule type="expression" dxfId="1161" priority="169">
      <formula>AND(B$9&gt;=14/24,B$9&lt;20/24)</formula>
    </cfRule>
    <cfRule type="expression" dxfId="1160" priority="170">
      <formula>AND(B$9&gt;=8/24,B$9&lt;14/24)</formula>
    </cfRule>
    <cfRule type="expression" dxfId="1159" priority="171">
      <formula>B$9&lt;8/24</formula>
    </cfRule>
  </conditionalFormatting>
  <conditionalFormatting sqref="B15:K15">
    <cfRule type="expression" dxfId="1158" priority="167">
      <formula>B15&gt;$AG15</formula>
    </cfRule>
  </conditionalFormatting>
  <conditionalFormatting sqref="B13:H13 B16:O16">
    <cfRule type="expression" dxfId="1157" priority="163">
      <formula>B$9&gt;=20/24</formula>
    </cfRule>
    <cfRule type="expression" dxfId="1156" priority="164">
      <formula>AND(B$9&gt;=14/24,B$9&lt;20/24)</formula>
    </cfRule>
    <cfRule type="expression" dxfId="1155" priority="165">
      <formula>AND(B$9&gt;=8/24,B$9&lt;14/24)</formula>
    </cfRule>
    <cfRule type="expression" dxfId="1154" priority="166">
      <formula>B$9&lt;8/24</formula>
    </cfRule>
  </conditionalFormatting>
  <conditionalFormatting sqref="B13:H13">
    <cfRule type="expression" dxfId="1153" priority="159">
      <formula>B$9&gt;=20/24</formula>
    </cfRule>
    <cfRule type="expression" dxfId="1152" priority="160">
      <formula>AND(B$9&gt;=14/24,B$9&lt;20/24)</formula>
    </cfRule>
    <cfRule type="expression" dxfId="1151" priority="161">
      <formula>AND(B$9&gt;=8/24,B$9&lt;14/24)</formula>
    </cfRule>
    <cfRule type="expression" dxfId="1150" priority="162">
      <formula>B$9&lt;8/24</formula>
    </cfRule>
  </conditionalFormatting>
  <conditionalFormatting sqref="B50">
    <cfRule type="expression" dxfId="1149" priority="158">
      <formula>B50&gt;$AG50</formula>
    </cfRule>
  </conditionalFormatting>
  <conditionalFormatting sqref="B39:C41 D41 B44:F46 G45:G46 B47:O47">
    <cfRule type="expression" dxfId="1148" priority="154">
      <formula>B$9&gt;=20/24</formula>
    </cfRule>
    <cfRule type="expression" dxfId="1147" priority="155">
      <formula>AND(B$9&gt;=14/24,B$9&lt;20/24)</formula>
    </cfRule>
    <cfRule type="expression" dxfId="1146" priority="156">
      <formula>AND(B$9&gt;=8/24,B$9&lt;14/24)</formula>
    </cfRule>
    <cfRule type="expression" dxfId="1145" priority="157">
      <formula>B$9&lt;8/24</formula>
    </cfRule>
  </conditionalFormatting>
  <conditionalFormatting sqref="B38:C38">
    <cfRule type="expression" dxfId="1144" priority="150">
      <formula>B$9&gt;=20/24</formula>
    </cfRule>
    <cfRule type="expression" dxfId="1143" priority="151">
      <formula>AND(B$9&gt;=14/24,B$9&lt;20/24)</formula>
    </cfRule>
    <cfRule type="expression" dxfId="1142" priority="152">
      <formula>AND(B$9&gt;=8/24,B$9&lt;14/24)</formula>
    </cfRule>
    <cfRule type="expression" dxfId="1141" priority="153">
      <formula>B$9&lt;8/24</formula>
    </cfRule>
  </conditionalFormatting>
  <conditionalFormatting sqref="B48:O48">
    <cfRule type="expression" dxfId="1140" priority="146">
      <formula>B$9&gt;=20/24</formula>
    </cfRule>
    <cfRule type="expression" dxfId="1139" priority="147">
      <formula>AND(B$9&gt;=14/24,B$9&lt;20/24)</formula>
    </cfRule>
    <cfRule type="expression" dxfId="1138" priority="148">
      <formula>AND(B$9&gt;=8/24,B$9&lt;14/24)</formula>
    </cfRule>
    <cfRule type="expression" dxfId="1137" priority="149">
      <formula>B$9&lt;8/24</formula>
    </cfRule>
  </conditionalFormatting>
  <conditionalFormatting sqref="B49:G49">
    <cfRule type="expression" dxfId="1136" priority="142">
      <formula>B$9&gt;=20/24</formula>
    </cfRule>
    <cfRule type="expression" dxfId="1135" priority="143">
      <formula>AND(B$9&gt;=14/24,B$9&lt;20/24)</formula>
    </cfRule>
    <cfRule type="expression" dxfId="1134" priority="144">
      <formula>AND(B$9&gt;=8/24,B$9&lt;14/24)</formula>
    </cfRule>
    <cfRule type="expression" dxfId="1133" priority="145">
      <formula>B$9&lt;8/24</formula>
    </cfRule>
  </conditionalFormatting>
  <conditionalFormatting sqref="B44:F46 G45:G46 B47:O47">
    <cfRule type="expression" dxfId="1132" priority="138">
      <formula>B$9&gt;=20/24</formula>
    </cfRule>
    <cfRule type="expression" dxfId="1131" priority="139">
      <formula>AND(B$9&gt;=14/24,B$9&lt;20/24)</formula>
    </cfRule>
    <cfRule type="expression" dxfId="1130" priority="140">
      <formula>AND(B$9&gt;=8/24,B$9&lt;14/24)</formula>
    </cfRule>
    <cfRule type="expression" dxfId="1129" priority="141">
      <formula>B$9&lt;8/24</formula>
    </cfRule>
  </conditionalFormatting>
  <conditionalFormatting sqref="B42:F42">
    <cfRule type="expression" dxfId="1128" priority="134">
      <formula>B$9&gt;=20/24</formula>
    </cfRule>
    <cfRule type="expression" dxfId="1127" priority="135">
      <formula>AND(B$9&gt;=14/24,B$9&lt;20/24)</formula>
    </cfRule>
    <cfRule type="expression" dxfId="1126" priority="136">
      <formula>AND(B$9&gt;=8/24,B$9&lt;14/24)</formula>
    </cfRule>
    <cfRule type="expression" dxfId="1125" priority="137">
      <formula>B$9&lt;8/24</formula>
    </cfRule>
  </conditionalFormatting>
  <conditionalFormatting sqref="B38:C42 D41:D42 E42:F42 B44:F46 G45:G46 B49:G49 B47:O48">
    <cfRule type="expression" dxfId="1124" priority="133">
      <formula>B38&gt;$AG38</formula>
    </cfRule>
  </conditionalFormatting>
  <conditionalFormatting sqref="B43:F43">
    <cfRule type="expression" dxfId="1123" priority="129">
      <formula>B$9&gt;=20/24</formula>
    </cfRule>
    <cfRule type="expression" dxfId="1122" priority="130">
      <formula>AND(B$9&gt;=14/24,B$9&lt;20/24)</formula>
    </cfRule>
    <cfRule type="expression" dxfId="1121" priority="131">
      <formula>AND(B$9&gt;=8/24,B$9&lt;14/24)</formula>
    </cfRule>
    <cfRule type="expression" dxfId="1120" priority="132">
      <formula>B$9&lt;8/24</formula>
    </cfRule>
  </conditionalFormatting>
  <conditionalFormatting sqref="B43:F43">
    <cfRule type="expression" dxfId="1119" priority="128">
      <formula>B43&gt;$AG43</formula>
    </cfRule>
  </conditionalFormatting>
  <conditionalFormatting sqref="B57:C66">
    <cfRule type="expression" dxfId="1118" priority="124">
      <formula>B$9&gt;=20/24</formula>
    </cfRule>
    <cfRule type="expression" dxfId="1117" priority="125">
      <formula>AND(B$9&gt;=14/24,B$9&lt;20/24)</formula>
    </cfRule>
    <cfRule type="expression" dxfId="1116" priority="126">
      <formula>AND(B$9&gt;=8/24,B$9&lt;14/24)</formula>
    </cfRule>
    <cfRule type="expression" dxfId="1115" priority="127">
      <formula>B$9&lt;8/24</formula>
    </cfRule>
  </conditionalFormatting>
  <conditionalFormatting sqref="B56:C56">
    <cfRule type="expression" dxfId="1114" priority="120">
      <formula>B$9&gt;=20/24</formula>
    </cfRule>
    <cfRule type="expression" dxfId="1113" priority="121">
      <formula>AND(B$9&gt;=14/24,B$9&lt;20/24)</formula>
    </cfRule>
    <cfRule type="expression" dxfId="1112" priority="122">
      <formula>AND(B$9&gt;=8/24,B$9&lt;14/24)</formula>
    </cfRule>
    <cfRule type="expression" dxfId="1111" priority="123">
      <formula>B$9&lt;8/24</formula>
    </cfRule>
  </conditionalFormatting>
  <conditionalFormatting sqref="B58:C58">
    <cfRule type="expression" dxfId="1110" priority="116">
      <formula>B$9&gt;=20/24</formula>
    </cfRule>
    <cfRule type="expression" dxfId="1109" priority="117">
      <formula>AND(B$9&gt;=14/24,B$9&lt;20/24)</formula>
    </cfRule>
    <cfRule type="expression" dxfId="1108" priority="118">
      <formula>AND(B$9&gt;=8/24,B$9&lt;14/24)</formula>
    </cfRule>
    <cfRule type="expression" dxfId="1107" priority="119">
      <formula>B$9&lt;8/24</formula>
    </cfRule>
  </conditionalFormatting>
  <conditionalFormatting sqref="B57:C57">
    <cfRule type="expression" dxfId="1106" priority="112">
      <formula>B$9&gt;=20/24</formula>
    </cfRule>
    <cfRule type="expression" dxfId="1105" priority="113">
      <formula>AND(B$9&gt;=14/24,B$9&lt;20/24)</formula>
    </cfRule>
    <cfRule type="expression" dxfId="1104" priority="114">
      <formula>AND(B$9&gt;=8/24,B$9&lt;14/24)</formula>
    </cfRule>
    <cfRule type="expression" dxfId="1103" priority="115">
      <formula>B$9&lt;8/24</formula>
    </cfRule>
  </conditionalFormatting>
  <conditionalFormatting sqref="B83:C90">
    <cfRule type="expression" dxfId="1102" priority="108">
      <formula>B$9&gt;=20/24</formula>
    </cfRule>
    <cfRule type="expression" dxfId="1101" priority="109">
      <formula>AND(B$9&gt;=14/24,B$9&lt;20/24)</formula>
    </cfRule>
    <cfRule type="expression" dxfId="1100" priority="110">
      <formula>AND(B$9&gt;=8/24,B$9&lt;14/24)</formula>
    </cfRule>
    <cfRule type="expression" dxfId="1099" priority="111">
      <formula>B$9&lt;8/24</formula>
    </cfRule>
  </conditionalFormatting>
  <conditionalFormatting sqref="B93:C96">
    <cfRule type="expression" dxfId="1098" priority="104">
      <formula>B$9&gt;=20/24</formula>
    </cfRule>
    <cfRule type="expression" dxfId="1097" priority="105">
      <formula>AND(B$9&gt;=14/24,B$9&lt;20/24)</formula>
    </cfRule>
    <cfRule type="expression" dxfId="1096" priority="106">
      <formula>AND(B$9&gt;=8/24,B$9&lt;14/24)</formula>
    </cfRule>
    <cfRule type="expression" dxfId="1095" priority="107">
      <formula>B$9&lt;8/24</formula>
    </cfRule>
  </conditionalFormatting>
  <conditionalFormatting sqref="B97:C97">
    <cfRule type="expression" dxfId="1094" priority="100">
      <formula>B$9&gt;=20/24</formula>
    </cfRule>
    <cfRule type="expression" dxfId="1093" priority="101">
      <formula>AND(B$9&gt;=14/24,B$9&lt;20/24)</formula>
    </cfRule>
    <cfRule type="expression" dxfId="1092" priority="102">
      <formula>AND(B$9&gt;=8/24,B$9&lt;14/24)</formula>
    </cfRule>
    <cfRule type="expression" dxfId="1091" priority="103">
      <formula>B$9&lt;8/24</formula>
    </cfRule>
  </conditionalFormatting>
  <conditionalFormatting sqref="B98:C98">
    <cfRule type="expression" dxfId="1090" priority="96">
      <formula>B$9&gt;=20/24</formula>
    </cfRule>
    <cfRule type="expression" dxfId="1089" priority="97">
      <formula>AND(B$9&gt;=14/24,B$9&lt;20/24)</formula>
    </cfRule>
    <cfRule type="expression" dxfId="1088" priority="98">
      <formula>AND(B$9&gt;=8/24,B$9&lt;14/24)</formula>
    </cfRule>
    <cfRule type="expression" dxfId="1087" priority="99">
      <formula>B$9&lt;8/24</formula>
    </cfRule>
  </conditionalFormatting>
  <conditionalFormatting sqref="P17:Q25 R17:R21 R23:R25 P27:R27 P29:R32">
    <cfRule type="expression" dxfId="1086" priority="92">
      <formula>P$9&gt;=20/24</formula>
    </cfRule>
    <cfRule type="expression" dxfId="1085" priority="93">
      <formula>AND(P$9&gt;=14/24,P$9&lt;20/24)</formula>
    </cfRule>
    <cfRule type="expression" dxfId="1084" priority="94">
      <formula>AND(P$9&gt;=8/24,P$9&lt;14/24)</formula>
    </cfRule>
    <cfRule type="expression" dxfId="1083" priority="95">
      <formula>P$9&lt;8/24</formula>
    </cfRule>
  </conditionalFormatting>
  <conditionalFormatting sqref="P34:R34">
    <cfRule type="expression" dxfId="1082" priority="88">
      <formula>P$9&gt;=20/24</formula>
    </cfRule>
    <cfRule type="expression" dxfId="1081" priority="89">
      <formula>AND(P$9&gt;=14/24,P$9&lt;20/24)</formula>
    </cfRule>
    <cfRule type="expression" dxfId="1080" priority="90">
      <formula>AND(P$9&gt;=8/24,P$9&lt;14/24)</formula>
    </cfRule>
    <cfRule type="expression" dxfId="1079" priority="91">
      <formula>P$9&lt;8/24</formula>
    </cfRule>
  </conditionalFormatting>
  <conditionalFormatting sqref="P17:Q25 R17:R21 R23:R25 P27:R27 P29:R32 P34:R35">
    <cfRule type="expression" dxfId="1078" priority="87">
      <formula>P17&gt;$AG17</formula>
    </cfRule>
  </conditionalFormatting>
  <conditionalFormatting sqref="P35:R35">
    <cfRule type="expression" dxfId="1077" priority="83">
      <formula>P$9&gt;=20/24</formula>
    </cfRule>
    <cfRule type="expression" dxfId="1076" priority="84">
      <formula>AND(P$9&gt;=14/24,P$9&lt;20/24)</formula>
    </cfRule>
    <cfRule type="expression" dxfId="1075" priority="85">
      <formula>AND(P$9&gt;=8/24,P$9&lt;14/24)</formula>
    </cfRule>
    <cfRule type="expression" dxfId="1074" priority="86">
      <formula>P$9&lt;8/24</formula>
    </cfRule>
  </conditionalFormatting>
  <conditionalFormatting sqref="P15:Q15">
    <cfRule type="expression" dxfId="1073" priority="74">
      <formula>P$9&gt;=20/24</formula>
    </cfRule>
    <cfRule type="expression" dxfId="1072" priority="75">
      <formula>AND(P$9&gt;=14/24,P$9&lt;20/24)</formula>
    </cfRule>
    <cfRule type="expression" dxfId="1071" priority="76">
      <formula>AND(P$9&gt;=8/24,P$9&lt;14/24)</formula>
    </cfRule>
    <cfRule type="expression" dxfId="1070" priority="77">
      <formula>P$9&lt;8/24</formula>
    </cfRule>
  </conditionalFormatting>
  <conditionalFormatting sqref="P15:Q15">
    <cfRule type="expression" dxfId="1069" priority="73">
      <formula>P15&gt;$AG15</formula>
    </cfRule>
  </conditionalFormatting>
  <conditionalFormatting sqref="P16:R16">
    <cfRule type="expression" dxfId="1068" priority="69">
      <formula>P$9&gt;=20/24</formula>
    </cfRule>
    <cfRule type="expression" dxfId="1067" priority="70">
      <formula>AND(P$9&gt;=14/24,P$9&lt;20/24)</formula>
    </cfRule>
    <cfRule type="expression" dxfId="1066" priority="71">
      <formula>AND(P$9&gt;=8/24,P$9&lt;14/24)</formula>
    </cfRule>
    <cfRule type="expression" dxfId="1065" priority="72">
      <formula>P$9&lt;8/24</formula>
    </cfRule>
  </conditionalFormatting>
  <conditionalFormatting sqref="L12:O14">
    <cfRule type="expression" dxfId="1064" priority="65">
      <formula>L$9&gt;=20/24</formula>
    </cfRule>
    <cfRule type="expression" dxfId="1063" priority="66">
      <formula>AND(L$9&gt;=14/24,L$9&lt;20/24)</formula>
    </cfRule>
    <cfRule type="expression" dxfId="1062" priority="67">
      <formula>AND(L$9&gt;=8/24,L$9&lt;14/24)</formula>
    </cfRule>
    <cfRule type="expression" dxfId="1061" priority="68">
      <formula>L$9&lt;8/24</formula>
    </cfRule>
  </conditionalFormatting>
  <conditionalFormatting sqref="L12:O14">
    <cfRule type="expression" dxfId="1060" priority="64">
      <formula>L12&gt;$AG12</formula>
    </cfRule>
  </conditionalFormatting>
  <conditionalFormatting sqref="L15:O15">
    <cfRule type="expression" dxfId="1059" priority="60">
      <formula>L$9&gt;=20/24</formula>
    </cfRule>
    <cfRule type="expression" dxfId="1058" priority="61">
      <formula>AND(L$9&gt;=14/24,L$9&lt;20/24)</formula>
    </cfRule>
    <cfRule type="expression" dxfId="1057" priority="62">
      <formula>AND(L$9&gt;=8/24,L$9&lt;14/24)</formula>
    </cfRule>
    <cfRule type="expression" dxfId="1056" priority="63">
      <formula>L$9&lt;8/24</formula>
    </cfRule>
  </conditionalFormatting>
  <conditionalFormatting sqref="L15:O15">
    <cfRule type="expression" dxfId="1055" priority="59">
      <formula>L15&gt;$AG15</formula>
    </cfRule>
  </conditionalFormatting>
  <conditionalFormatting sqref="L42:O43 L46:O46">
    <cfRule type="expression" dxfId="1054" priority="55">
      <formula>L$9&gt;=20/24</formula>
    </cfRule>
    <cfRule type="expression" dxfId="1053" priority="56">
      <formula>AND(L$9&gt;=14/24,L$9&lt;20/24)</formula>
    </cfRule>
    <cfRule type="expression" dxfId="1052" priority="57">
      <formula>AND(L$9&gt;=8/24,L$9&lt;14/24)</formula>
    </cfRule>
    <cfRule type="expression" dxfId="1051" priority="58">
      <formula>L$9&lt;8/24</formula>
    </cfRule>
  </conditionalFormatting>
  <conditionalFormatting sqref="L44:O44">
    <cfRule type="expression" dxfId="1050" priority="51">
      <formula>L$9&gt;=20/24</formula>
    </cfRule>
    <cfRule type="expression" dxfId="1049" priority="52">
      <formula>AND(L$9&gt;=14/24,L$9&lt;20/24)</formula>
    </cfRule>
    <cfRule type="expression" dxfId="1048" priority="53">
      <formula>AND(L$9&gt;=8/24,L$9&lt;14/24)</formula>
    </cfRule>
    <cfRule type="expression" dxfId="1047" priority="54">
      <formula>L$9&lt;8/24</formula>
    </cfRule>
  </conditionalFormatting>
  <conditionalFormatting sqref="L46:O46">
    <cfRule type="expression" dxfId="1046" priority="47">
      <formula>L$9&gt;=20/24</formula>
    </cfRule>
    <cfRule type="expression" dxfId="1045" priority="48">
      <formula>AND(L$9&gt;=14/24,L$9&lt;20/24)</formula>
    </cfRule>
    <cfRule type="expression" dxfId="1044" priority="49">
      <formula>AND(L$9&gt;=8/24,L$9&lt;14/24)</formula>
    </cfRule>
    <cfRule type="expression" dxfId="1043" priority="50">
      <formula>L$9&lt;8/24</formula>
    </cfRule>
  </conditionalFormatting>
  <conditionalFormatting sqref="L46:O46 L42:O44">
    <cfRule type="expression" dxfId="1042" priority="46">
      <formula>L42&gt;$AG42</formula>
    </cfRule>
  </conditionalFormatting>
  <conditionalFormatting sqref="L45:O45">
    <cfRule type="expression" dxfId="1041" priority="42">
      <formula>L$9&gt;=20/24</formula>
    </cfRule>
    <cfRule type="expression" dxfId="1040" priority="43">
      <formula>AND(L$9&gt;=14/24,L$9&lt;20/24)</formula>
    </cfRule>
    <cfRule type="expression" dxfId="1039" priority="44">
      <formula>AND(L$9&gt;=8/24,L$9&lt;14/24)</formula>
    </cfRule>
    <cfRule type="expression" dxfId="1038" priority="45">
      <formula>L$9&lt;8/24</formula>
    </cfRule>
  </conditionalFormatting>
  <conditionalFormatting sqref="L45:O45">
    <cfRule type="expression" dxfId="1037" priority="41">
      <formula>L45&gt;$AG45</formula>
    </cfRule>
  </conditionalFormatting>
  <conditionalFormatting sqref="L49:O49">
    <cfRule type="expression" dxfId="1036" priority="37">
      <formula>L$9&gt;=20/24</formula>
    </cfRule>
    <cfRule type="expression" dxfId="1035" priority="38">
      <formula>AND(L$9&gt;=14/24,L$9&lt;20/24)</formula>
    </cfRule>
    <cfRule type="expression" dxfId="1034" priority="39">
      <formula>AND(L$9&gt;=8/24,L$9&lt;14/24)</formula>
    </cfRule>
    <cfRule type="expression" dxfId="1033" priority="40">
      <formula>L$9&lt;8/24</formula>
    </cfRule>
  </conditionalFormatting>
  <conditionalFormatting sqref="S22:AF22">
    <cfRule type="expression" dxfId="1032" priority="33">
      <formula>S$9&gt;=20/24</formula>
    </cfRule>
    <cfRule type="expression" dxfId="1031" priority="34">
      <formula>AND(S$9&gt;=14/24,S$9&lt;20/24)</formula>
    </cfRule>
    <cfRule type="expression" dxfId="1030" priority="35">
      <formula>AND(S$9&gt;=8/24,S$9&lt;14/24)</formula>
    </cfRule>
    <cfRule type="expression" dxfId="1029" priority="36">
      <formula>S$9&lt;8/24</formula>
    </cfRule>
  </conditionalFormatting>
  <conditionalFormatting sqref="S22:AF22">
    <cfRule type="expression" dxfId="1028" priority="32">
      <formula>S22&gt;$AG22</formula>
    </cfRule>
  </conditionalFormatting>
  <conditionalFormatting sqref="S14:S15 T15:AF15">
    <cfRule type="expression" dxfId="1027" priority="28">
      <formula>S$9&gt;=20/24</formula>
    </cfRule>
    <cfRule type="expression" dxfId="1026" priority="29">
      <formula>AND(S$9&gt;=14/24,S$9&lt;20/24)</formula>
    </cfRule>
    <cfRule type="expression" dxfId="1025" priority="30">
      <formula>AND(S$9&gt;=8/24,S$9&lt;14/24)</formula>
    </cfRule>
    <cfRule type="expression" dxfId="1024" priority="31">
      <formula>S$9&lt;8/24</formula>
    </cfRule>
  </conditionalFormatting>
  <conditionalFormatting sqref="S26:AF26 S28:AF28">
    <cfRule type="expression" dxfId="1023" priority="24">
      <formula>S$9&gt;=20/24</formula>
    </cfRule>
    <cfRule type="expression" dxfId="1022" priority="25">
      <formula>AND(S$9&gt;=14/24,S$9&lt;20/24)</formula>
    </cfRule>
    <cfRule type="expression" dxfId="1021" priority="26">
      <formula>AND(S$9&gt;=8/24,S$9&lt;14/24)</formula>
    </cfRule>
    <cfRule type="expression" dxfId="1020" priority="27">
      <formula>S$9&lt;8/24</formula>
    </cfRule>
  </conditionalFormatting>
  <conditionalFormatting sqref="S26:AF26 S28:AF28">
    <cfRule type="expression" dxfId="1019" priority="23">
      <formula>S26&gt;$AG26</formula>
    </cfRule>
  </conditionalFormatting>
  <conditionalFormatting sqref="S33:AF33">
    <cfRule type="expression" dxfId="1018" priority="19">
      <formula>S$9&gt;=20/24</formula>
    </cfRule>
    <cfRule type="expression" dxfId="1017" priority="20">
      <formula>AND(S$9&gt;=14/24,S$9&lt;20/24)</formula>
    </cfRule>
    <cfRule type="expression" dxfId="1016" priority="21">
      <formula>AND(S$9&gt;=8/24,S$9&lt;14/24)</formula>
    </cfRule>
    <cfRule type="expression" dxfId="1015" priority="22">
      <formula>S$9&lt;8/24</formula>
    </cfRule>
  </conditionalFormatting>
  <conditionalFormatting sqref="S33:AF33">
    <cfRule type="expression" dxfId="1014" priority="18">
      <formula>S33&gt;$AG33</formula>
    </cfRule>
  </conditionalFormatting>
  <conditionalFormatting sqref="S17:S21 T17:AF18 T20:AF21 S23:AF25 S27:AF27 S29:AF32">
    <cfRule type="expression" dxfId="1013" priority="14">
      <formula>S$9&gt;=20/24</formula>
    </cfRule>
    <cfRule type="expression" dxfId="1012" priority="15">
      <formula>AND(S$9&gt;=14/24,S$9&lt;20/24)</formula>
    </cfRule>
    <cfRule type="expression" dxfId="1011" priority="16">
      <formula>AND(S$9&gt;=8/24,S$9&lt;14/24)</formula>
    </cfRule>
    <cfRule type="expression" dxfId="1010" priority="17">
      <formula>S$9&lt;8/24</formula>
    </cfRule>
  </conditionalFormatting>
  <conditionalFormatting sqref="S34:AF34">
    <cfRule type="expression" dxfId="1009" priority="10">
      <formula>S$9&gt;=20/24</formula>
    </cfRule>
    <cfRule type="expression" dxfId="1008" priority="11">
      <formula>AND(S$9&gt;=14/24,S$9&lt;20/24)</formula>
    </cfRule>
    <cfRule type="expression" dxfId="1007" priority="12">
      <formula>AND(S$9&gt;=8/24,S$9&lt;14/24)</formula>
    </cfRule>
    <cfRule type="expression" dxfId="1006" priority="13">
      <formula>S$9&lt;8/24</formula>
    </cfRule>
  </conditionalFormatting>
  <conditionalFormatting sqref="S17:S21 T17:AF18 T20:AF21 S23:AF25 S27:AF27 S29:AF32 S34:AF35">
    <cfRule type="expression" dxfId="1005" priority="9">
      <formula>S17&gt;$AG17</formula>
    </cfRule>
  </conditionalFormatting>
  <conditionalFormatting sqref="S35:AF35">
    <cfRule type="expression" dxfId="1004" priority="5">
      <formula>S$9&gt;=20/24</formula>
    </cfRule>
    <cfRule type="expression" dxfId="1003" priority="6">
      <formula>AND(S$9&gt;=14/24,S$9&lt;20/24)</formula>
    </cfRule>
    <cfRule type="expression" dxfId="1002" priority="7">
      <formula>AND(S$9&gt;=8/24,S$9&lt;14/24)</formula>
    </cfRule>
    <cfRule type="expression" dxfId="1001" priority="8">
      <formula>S$9&lt;8/24</formula>
    </cfRule>
  </conditionalFormatting>
  <conditionalFormatting sqref="S16:AF16">
    <cfRule type="expression" dxfId="1000" priority="1">
      <formula>S$9&gt;=20/24</formula>
    </cfRule>
    <cfRule type="expression" dxfId="999" priority="2">
      <formula>AND(S$9&gt;=14/24,S$9&lt;20/24)</formula>
    </cfRule>
    <cfRule type="expression" dxfId="998" priority="3">
      <formula>AND(S$9&gt;=8/24,S$9&lt;14/24)</formula>
    </cfRule>
    <cfRule type="expression" dxfId="997" priority="4">
      <formula>S$9&lt;8/24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25" sqref="A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2078/07/29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-84</v>
      </c>
      <c r="C5" s="32">
        <f t="shared" ref="C5:AF5" si="0">C67</f>
        <v>-64.5</v>
      </c>
      <c r="D5" s="32">
        <f t="shared" si="0"/>
        <v>-71</v>
      </c>
      <c r="E5" s="32">
        <f t="shared" si="0"/>
        <v>-52</v>
      </c>
      <c r="F5" s="32">
        <f t="shared" si="0"/>
        <v>-65</v>
      </c>
      <c r="G5" s="32">
        <f t="shared" si="0"/>
        <v>-55</v>
      </c>
      <c r="H5" s="32">
        <f t="shared" si="0"/>
        <v>-42</v>
      </c>
      <c r="I5" s="32">
        <f t="shared" si="0"/>
        <v>-46</v>
      </c>
      <c r="J5" s="32">
        <f t="shared" si="0"/>
        <v>-40</v>
      </c>
      <c r="K5" s="32">
        <f t="shared" si="0"/>
        <v>-62</v>
      </c>
      <c r="L5" s="32">
        <f t="shared" si="0"/>
        <v>-82.6</v>
      </c>
      <c r="M5" s="32">
        <f t="shared" si="0"/>
        <v>-63.7</v>
      </c>
      <c r="N5" s="32">
        <f t="shared" si="0"/>
        <v>-49.1</v>
      </c>
      <c r="O5" s="32">
        <f t="shared" si="0"/>
        <v>-74.8</v>
      </c>
      <c r="P5" s="32">
        <f t="shared" si="0"/>
        <v>-70</v>
      </c>
      <c r="Q5" s="32">
        <f t="shared" si="0"/>
        <v>-40.9</v>
      </c>
      <c r="R5" s="32">
        <f t="shared" si="0"/>
        <v>-63.2</v>
      </c>
      <c r="S5" s="32">
        <f t="shared" si="0"/>
        <v>-65.8</v>
      </c>
      <c r="T5" s="32">
        <f t="shared" si="0"/>
        <v>-44.3</v>
      </c>
      <c r="U5" s="32">
        <f t="shared" si="0"/>
        <v>-39.4</v>
      </c>
      <c r="V5" s="32">
        <f t="shared" si="0"/>
        <v>-53</v>
      </c>
      <c r="W5" s="32">
        <f t="shared" si="0"/>
        <v>-57</v>
      </c>
      <c r="X5" s="32">
        <f t="shared" si="0"/>
        <v>-70</v>
      </c>
      <c r="Y5" s="32">
        <f t="shared" si="0"/>
        <v>-72.8</v>
      </c>
      <c r="Z5" s="32">
        <f t="shared" si="0"/>
        <v>-47</v>
      </c>
      <c r="AA5" s="32">
        <f t="shared" si="0"/>
        <v>-77.599999999999994</v>
      </c>
      <c r="AB5" s="32">
        <f t="shared" si="0"/>
        <v>-40</v>
      </c>
      <c r="AC5" s="32">
        <f t="shared" si="0"/>
        <v>-60.2</v>
      </c>
      <c r="AD5" s="32">
        <f t="shared" si="0"/>
        <v>-68.2</v>
      </c>
      <c r="AE5" s="32">
        <f t="shared" si="0"/>
        <v>-44</v>
      </c>
      <c r="AF5" s="32">
        <f t="shared" si="0"/>
        <v>-68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1145MW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Load=754</v>
      </c>
      <c r="B7" s="37">
        <f t="shared" ref="B7:AF7" si="1">B74</f>
        <v>791.63999999999987</v>
      </c>
      <c r="C7" s="37">
        <f t="shared" si="1"/>
        <v>769.2399999999999</v>
      </c>
      <c r="D7" s="37">
        <f t="shared" si="1"/>
        <v>783.53999999999985</v>
      </c>
      <c r="E7" s="37">
        <f t="shared" si="1"/>
        <v>806.63999999999987</v>
      </c>
      <c r="F7" s="37">
        <f t="shared" si="1"/>
        <v>846.53999999999985</v>
      </c>
      <c r="G7" s="37">
        <f t="shared" si="1"/>
        <v>910.13999999999987</v>
      </c>
      <c r="H7" s="37">
        <f t="shared" si="1"/>
        <v>1027.54</v>
      </c>
      <c r="I7" s="37">
        <f t="shared" si="1"/>
        <v>1078.54</v>
      </c>
      <c r="J7" s="37">
        <f t="shared" si="1"/>
        <v>1135.54</v>
      </c>
      <c r="K7" s="37">
        <f t="shared" si="1"/>
        <v>1143.54</v>
      </c>
      <c r="L7" s="37">
        <f>L74</f>
        <v>1144.94</v>
      </c>
      <c r="M7" s="37">
        <f t="shared" si="1"/>
        <v>1121.54</v>
      </c>
      <c r="N7" s="37">
        <f t="shared" si="1"/>
        <v>1074.6399999999999</v>
      </c>
      <c r="O7" s="37">
        <f t="shared" si="1"/>
        <v>1031.54</v>
      </c>
      <c r="P7" s="37">
        <f t="shared" si="1"/>
        <v>996.24</v>
      </c>
      <c r="Q7" s="37">
        <f t="shared" si="1"/>
        <v>1015.8399999999999</v>
      </c>
      <c r="R7" s="37">
        <f t="shared" si="1"/>
        <v>1013.8399999999999</v>
      </c>
      <c r="S7" s="37">
        <f t="shared" si="1"/>
        <v>1000.8399999999999</v>
      </c>
      <c r="T7" s="37">
        <f t="shared" si="1"/>
        <v>1056.8399999999999</v>
      </c>
      <c r="U7" s="37">
        <f t="shared" si="1"/>
        <v>1137.6399999999999</v>
      </c>
      <c r="V7" s="37">
        <f t="shared" si="1"/>
        <v>1257.6400000000001</v>
      </c>
      <c r="W7" s="37">
        <f t="shared" si="1"/>
        <v>1384.64</v>
      </c>
      <c r="X7" s="37">
        <f t="shared" si="1"/>
        <v>1306.44</v>
      </c>
      <c r="Y7" s="37">
        <f t="shared" si="1"/>
        <v>1243.6400000000001</v>
      </c>
      <c r="Z7" s="37">
        <f t="shared" si="1"/>
        <v>1159.3399999999999</v>
      </c>
      <c r="AA7" s="37">
        <f t="shared" si="1"/>
        <v>1082.04</v>
      </c>
      <c r="AB7" s="37">
        <f t="shared" si="1"/>
        <v>1039.04</v>
      </c>
      <c r="AC7" s="37">
        <f t="shared" si="1"/>
        <v>936.43999999999994</v>
      </c>
      <c r="AD7" s="37">
        <f t="shared" si="1"/>
        <v>814.93999999999983</v>
      </c>
      <c r="AE7" s="37">
        <f t="shared" si="1"/>
        <v>753.83999999999992</v>
      </c>
      <c r="AF7" s="37">
        <f t="shared" si="1"/>
        <v>774.04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70</v>
      </c>
      <c r="C11" s="49">
        <v>70</v>
      </c>
      <c r="D11" s="49">
        <v>70</v>
      </c>
      <c r="E11" s="49">
        <v>70</v>
      </c>
      <c r="F11" s="49">
        <v>100</v>
      </c>
      <c r="G11" s="49">
        <v>110</v>
      </c>
      <c r="H11" s="49">
        <v>130</v>
      </c>
      <c r="I11" s="49">
        <v>140</v>
      </c>
      <c r="J11" s="49">
        <v>170</v>
      </c>
      <c r="K11" s="49">
        <v>200</v>
      </c>
      <c r="L11" s="50">
        <v>200</v>
      </c>
      <c r="M11" s="50">
        <v>195</v>
      </c>
      <c r="N11" s="50">
        <v>165</v>
      </c>
      <c r="O11" s="50">
        <v>170</v>
      </c>
      <c r="P11" s="50">
        <v>125</v>
      </c>
      <c r="Q11" s="50">
        <v>125</v>
      </c>
      <c r="R11" s="53">
        <v>125</v>
      </c>
      <c r="S11" s="53">
        <v>140</v>
      </c>
      <c r="T11" s="53">
        <v>160</v>
      </c>
      <c r="U11" s="53">
        <v>220</v>
      </c>
      <c r="V11" s="53">
        <v>330</v>
      </c>
      <c r="W11" s="53">
        <v>370</v>
      </c>
      <c r="X11" s="53">
        <v>340</v>
      </c>
      <c r="Y11" s="53">
        <v>320</v>
      </c>
      <c r="Z11" s="54">
        <v>290</v>
      </c>
      <c r="AA11" s="54">
        <v>250</v>
      </c>
      <c r="AB11" s="54">
        <v>200</v>
      </c>
      <c r="AC11" s="54">
        <v>150</v>
      </c>
      <c r="AD11" s="54">
        <v>100</v>
      </c>
      <c r="AE11" s="49">
        <v>70</v>
      </c>
      <c r="AF11" s="49">
        <v>70</v>
      </c>
      <c r="AG11" s="55">
        <v>456</v>
      </c>
      <c r="AH11" s="56">
        <f>MAX(B11:AF11)</f>
        <v>370</v>
      </c>
      <c r="AI11" s="57">
        <f>MIN(B11:AF11)</f>
        <v>70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60">
        <v>60</v>
      </c>
      <c r="C12" s="60">
        <v>60</v>
      </c>
      <c r="D12" s="60">
        <v>60</v>
      </c>
      <c r="E12" s="60">
        <v>60</v>
      </c>
      <c r="F12" s="60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49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50">
        <v>60</v>
      </c>
      <c r="AB12" s="50">
        <v>60</v>
      </c>
      <c r="AC12" s="50">
        <v>60</v>
      </c>
      <c r="AD12" s="50">
        <v>60</v>
      </c>
      <c r="AE12" s="50">
        <v>60</v>
      </c>
      <c r="AF12" s="50">
        <v>60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60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60">
        <v>36</v>
      </c>
      <c r="C13" s="60">
        <v>36</v>
      </c>
      <c r="D13" s="60">
        <v>36</v>
      </c>
      <c r="E13" s="60">
        <v>36</v>
      </c>
      <c r="F13" s="60">
        <v>36</v>
      </c>
      <c r="G13" s="49">
        <v>36</v>
      </c>
      <c r="H13" s="49">
        <v>36</v>
      </c>
      <c r="I13" s="49">
        <v>36</v>
      </c>
      <c r="J13" s="49">
        <v>36</v>
      </c>
      <c r="K13" s="49">
        <v>36</v>
      </c>
      <c r="L13" s="49">
        <v>36</v>
      </c>
      <c r="M13" s="49">
        <v>30</v>
      </c>
      <c r="N13" s="49">
        <v>30</v>
      </c>
      <c r="O13" s="49">
        <v>30</v>
      </c>
      <c r="P13" s="49">
        <v>30</v>
      </c>
      <c r="Q13" s="49">
        <v>30</v>
      </c>
      <c r="R13" s="49">
        <v>30</v>
      </c>
      <c r="S13" s="49">
        <v>30</v>
      </c>
      <c r="T13" s="49">
        <v>30</v>
      </c>
      <c r="U13" s="60">
        <v>24</v>
      </c>
      <c r="V13" s="60">
        <v>24</v>
      </c>
      <c r="W13" s="60">
        <v>24</v>
      </c>
      <c r="X13" s="60">
        <v>24</v>
      </c>
      <c r="Y13" s="60">
        <v>24</v>
      </c>
      <c r="Z13" s="60">
        <v>0</v>
      </c>
      <c r="AA13" s="50">
        <v>0</v>
      </c>
      <c r="AB13" s="50">
        <v>0</v>
      </c>
      <c r="AC13" s="50">
        <v>24</v>
      </c>
      <c r="AD13" s="50">
        <v>24</v>
      </c>
      <c r="AE13" s="50">
        <v>24</v>
      </c>
      <c r="AF13" s="50">
        <v>24</v>
      </c>
      <c r="AG13" s="61">
        <v>52.4</v>
      </c>
      <c r="AH13" s="56">
        <f t="shared" si="2"/>
        <v>36</v>
      </c>
      <c r="AI13" s="57">
        <f t="shared" si="3"/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62">
        <v>25.4</v>
      </c>
      <c r="C14" s="62">
        <v>25.4</v>
      </c>
      <c r="D14" s="62">
        <v>25.4</v>
      </c>
      <c r="E14" s="62">
        <v>25.4</v>
      </c>
      <c r="F14" s="62">
        <v>25.4</v>
      </c>
      <c r="G14" s="62">
        <v>25.4</v>
      </c>
      <c r="H14" s="62">
        <v>25.4</v>
      </c>
      <c r="I14" s="62">
        <v>25.4</v>
      </c>
      <c r="J14" s="62">
        <v>25.4</v>
      </c>
      <c r="K14" s="62">
        <v>25.4</v>
      </c>
      <c r="L14" s="62">
        <v>25.4</v>
      </c>
      <c r="M14" s="62">
        <v>25.4</v>
      </c>
      <c r="N14" s="62">
        <v>25.4</v>
      </c>
      <c r="O14" s="62">
        <v>25.4</v>
      </c>
      <c r="P14" s="62">
        <v>25.4</v>
      </c>
      <c r="Q14" s="62">
        <v>25.4</v>
      </c>
      <c r="R14" s="62">
        <v>25.4</v>
      </c>
      <c r="S14" s="62">
        <v>25.4</v>
      </c>
      <c r="T14" s="62">
        <v>25.4</v>
      </c>
      <c r="U14" s="62">
        <v>25.4</v>
      </c>
      <c r="V14" s="62">
        <v>25.4</v>
      </c>
      <c r="W14" s="62">
        <v>25.4</v>
      </c>
      <c r="X14" s="62">
        <v>25.4</v>
      </c>
      <c r="Y14" s="62">
        <v>25.4</v>
      </c>
      <c r="Z14" s="62">
        <v>25.4</v>
      </c>
      <c r="AA14" s="62">
        <v>25.4</v>
      </c>
      <c r="AB14" s="62">
        <v>25.4</v>
      </c>
      <c r="AC14" s="62">
        <v>25.4</v>
      </c>
      <c r="AD14" s="62">
        <v>25.4</v>
      </c>
      <c r="AE14" s="62">
        <v>25.4</v>
      </c>
      <c r="AF14" s="62">
        <v>25.4</v>
      </c>
      <c r="AG14" s="61">
        <v>50</v>
      </c>
      <c r="AH14" s="56">
        <f t="shared" si="2"/>
        <v>25.4</v>
      </c>
      <c r="AI14" s="57">
        <f t="shared" si="3"/>
        <v>25.4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2">
        <v>41.8</v>
      </c>
      <c r="C15" s="62">
        <v>41.8</v>
      </c>
      <c r="D15" s="62">
        <v>41.8</v>
      </c>
      <c r="E15" s="62">
        <v>41.8</v>
      </c>
      <c r="F15" s="62">
        <v>41.8</v>
      </c>
      <c r="G15" s="62">
        <v>41.8</v>
      </c>
      <c r="H15" s="62">
        <v>41.8</v>
      </c>
      <c r="I15" s="62">
        <v>41.8</v>
      </c>
      <c r="J15" s="62">
        <v>41.8</v>
      </c>
      <c r="K15" s="62">
        <v>41.8</v>
      </c>
      <c r="L15" s="62">
        <v>41.8</v>
      </c>
      <c r="M15" s="62">
        <v>41.8</v>
      </c>
      <c r="N15" s="62">
        <v>41.8</v>
      </c>
      <c r="O15" s="62">
        <v>37.5</v>
      </c>
      <c r="P15" s="62">
        <v>37.5</v>
      </c>
      <c r="Q15" s="62">
        <v>37.5</v>
      </c>
      <c r="R15" s="62">
        <v>37.5</v>
      </c>
      <c r="S15" s="62">
        <v>37.5</v>
      </c>
      <c r="T15" s="62">
        <v>37.5</v>
      </c>
      <c r="U15" s="62">
        <v>37.5</v>
      </c>
      <c r="V15" s="62">
        <v>37.5</v>
      </c>
      <c r="W15" s="62">
        <v>37.5</v>
      </c>
      <c r="X15" s="62">
        <v>37.5</v>
      </c>
      <c r="Y15" s="62">
        <v>37.5</v>
      </c>
      <c r="Z15" s="62">
        <v>37.5</v>
      </c>
      <c r="AA15" s="62">
        <v>37.5</v>
      </c>
      <c r="AB15" s="62">
        <v>37.5</v>
      </c>
      <c r="AC15" s="62">
        <v>37.5</v>
      </c>
      <c r="AD15" s="62">
        <v>37.5</v>
      </c>
      <c r="AE15" s="62">
        <v>37.5</v>
      </c>
      <c r="AF15" s="62">
        <v>37.5</v>
      </c>
      <c r="AG15" s="64">
        <v>45</v>
      </c>
      <c r="AH15" s="56">
        <f t="shared" si="2"/>
        <v>41.8</v>
      </c>
      <c r="AI15" s="57">
        <f t="shared" si="3"/>
        <v>37.5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65">
        <v>23</v>
      </c>
      <c r="C16" s="65">
        <v>23</v>
      </c>
      <c r="D16" s="65">
        <v>23</v>
      </c>
      <c r="E16" s="65">
        <v>23</v>
      </c>
      <c r="F16" s="65">
        <v>23</v>
      </c>
      <c r="G16" s="65">
        <v>23</v>
      </c>
      <c r="H16" s="65">
        <v>23</v>
      </c>
      <c r="I16" s="65">
        <v>23</v>
      </c>
      <c r="J16" s="65">
        <v>23</v>
      </c>
      <c r="K16" s="65">
        <v>23</v>
      </c>
      <c r="L16" s="65">
        <v>23</v>
      </c>
      <c r="M16" s="65">
        <v>23</v>
      </c>
      <c r="N16" s="65">
        <v>23</v>
      </c>
      <c r="O16" s="65">
        <v>23</v>
      </c>
      <c r="P16" s="65">
        <v>23</v>
      </c>
      <c r="Q16" s="65">
        <v>23</v>
      </c>
      <c r="R16" s="65">
        <v>23</v>
      </c>
      <c r="S16" s="65">
        <v>23</v>
      </c>
      <c r="T16" s="65">
        <v>23</v>
      </c>
      <c r="U16" s="65">
        <v>23</v>
      </c>
      <c r="V16" s="65">
        <v>23</v>
      </c>
      <c r="W16" s="65">
        <v>23</v>
      </c>
      <c r="X16" s="65">
        <v>23</v>
      </c>
      <c r="Y16" s="65">
        <v>23</v>
      </c>
      <c r="Z16" s="65">
        <v>23</v>
      </c>
      <c r="AA16" s="65">
        <v>23</v>
      </c>
      <c r="AB16" s="65">
        <v>23</v>
      </c>
      <c r="AC16" s="65">
        <v>23</v>
      </c>
      <c r="AD16" s="65">
        <v>23</v>
      </c>
      <c r="AE16" s="65">
        <v>23</v>
      </c>
      <c r="AF16" s="65">
        <v>23</v>
      </c>
      <c r="AG16" s="61">
        <v>45</v>
      </c>
      <c r="AH16" s="56">
        <f t="shared" si="2"/>
        <v>23</v>
      </c>
      <c r="AI16" s="57">
        <f t="shared" si="3"/>
        <v>23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52">
        <v>23</v>
      </c>
      <c r="C17" s="52">
        <v>23</v>
      </c>
      <c r="D17" s="52">
        <v>23</v>
      </c>
      <c r="E17" s="52">
        <v>23</v>
      </c>
      <c r="F17" s="52">
        <v>23</v>
      </c>
      <c r="G17" s="52">
        <v>23</v>
      </c>
      <c r="H17" s="52">
        <v>23</v>
      </c>
      <c r="I17" s="52">
        <v>23</v>
      </c>
      <c r="J17" s="52">
        <v>23</v>
      </c>
      <c r="K17" s="52">
        <v>23</v>
      </c>
      <c r="L17" s="52">
        <v>23</v>
      </c>
      <c r="M17" s="52">
        <v>23</v>
      </c>
      <c r="N17" s="52">
        <v>23</v>
      </c>
      <c r="O17" s="52">
        <v>23</v>
      </c>
      <c r="P17" s="52">
        <v>23</v>
      </c>
      <c r="Q17" s="52">
        <v>23</v>
      </c>
      <c r="R17" s="52">
        <v>23</v>
      </c>
      <c r="S17" s="52">
        <v>23</v>
      </c>
      <c r="T17" s="52">
        <v>23</v>
      </c>
      <c r="U17" s="52">
        <v>23</v>
      </c>
      <c r="V17" s="52">
        <v>23</v>
      </c>
      <c r="W17" s="62">
        <v>23</v>
      </c>
      <c r="X17" s="62">
        <v>23</v>
      </c>
      <c r="Y17" s="62">
        <v>23</v>
      </c>
      <c r="Z17" s="62">
        <v>23</v>
      </c>
      <c r="AA17" s="62">
        <v>23</v>
      </c>
      <c r="AB17" s="62">
        <v>23</v>
      </c>
      <c r="AC17" s="62">
        <v>23</v>
      </c>
      <c r="AD17" s="62">
        <v>23</v>
      </c>
      <c r="AE17" s="62">
        <v>23</v>
      </c>
      <c r="AF17" s="62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50">
        <v>20</v>
      </c>
      <c r="C18" s="50">
        <v>20</v>
      </c>
      <c r="D18" s="50">
        <v>20</v>
      </c>
      <c r="E18" s="50">
        <v>20</v>
      </c>
      <c r="F18" s="50">
        <v>20</v>
      </c>
      <c r="G18" s="50">
        <v>20</v>
      </c>
      <c r="H18" s="50">
        <v>20</v>
      </c>
      <c r="I18" s="50">
        <v>20</v>
      </c>
      <c r="J18" s="50">
        <v>20</v>
      </c>
      <c r="K18" s="50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50">
        <v>23.7</v>
      </c>
      <c r="C19" s="50">
        <v>23.7</v>
      </c>
      <c r="D19" s="50">
        <v>23.7</v>
      </c>
      <c r="E19" s="50">
        <v>23.7</v>
      </c>
      <c r="F19" s="50">
        <v>23.7</v>
      </c>
      <c r="G19" s="50">
        <v>23.7</v>
      </c>
      <c r="H19" s="50">
        <v>23.7</v>
      </c>
      <c r="I19" s="50">
        <v>23.7</v>
      </c>
      <c r="J19" s="50">
        <v>23.7</v>
      </c>
      <c r="K19" s="50">
        <v>23.7</v>
      </c>
      <c r="L19" s="50">
        <v>23.7</v>
      </c>
      <c r="M19" s="50">
        <v>23.7</v>
      </c>
      <c r="N19" s="50">
        <v>23.7</v>
      </c>
      <c r="O19" s="50">
        <v>23.7</v>
      </c>
      <c r="P19" s="50">
        <v>23.7</v>
      </c>
      <c r="Q19" s="50">
        <v>23.7</v>
      </c>
      <c r="R19" s="50">
        <v>23.7</v>
      </c>
      <c r="S19" s="50">
        <v>23.7</v>
      </c>
      <c r="T19" s="50">
        <v>23.7</v>
      </c>
      <c r="U19" s="50">
        <v>23.7</v>
      </c>
      <c r="V19" s="50">
        <v>23.7</v>
      </c>
      <c r="W19" s="50">
        <v>23.7</v>
      </c>
      <c r="X19" s="50">
        <v>23.7</v>
      </c>
      <c r="Y19" s="50">
        <v>23.7</v>
      </c>
      <c r="Z19" s="50">
        <v>23.7</v>
      </c>
      <c r="AA19" s="50">
        <v>23.7</v>
      </c>
      <c r="AB19" s="50">
        <v>23.7</v>
      </c>
      <c r="AC19" s="50">
        <v>23.7</v>
      </c>
      <c r="AD19" s="50">
        <v>23.7</v>
      </c>
      <c r="AE19" s="50">
        <v>23.7</v>
      </c>
      <c r="AF19" s="50">
        <v>23.7</v>
      </c>
      <c r="AG19" s="61">
        <v>30</v>
      </c>
      <c r="AH19" s="56">
        <f t="shared" si="2"/>
        <v>23.7</v>
      </c>
      <c r="AI19" s="57">
        <f t="shared" si="3"/>
        <v>23.7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50">
        <v>11</v>
      </c>
      <c r="C21" s="50">
        <v>11</v>
      </c>
      <c r="D21" s="50">
        <v>11</v>
      </c>
      <c r="E21" s="50">
        <v>11</v>
      </c>
      <c r="F21" s="50">
        <v>11</v>
      </c>
      <c r="G21" s="50">
        <v>11</v>
      </c>
      <c r="H21" s="50">
        <v>11</v>
      </c>
      <c r="I21" s="50">
        <v>11</v>
      </c>
      <c r="J21" s="50">
        <v>11</v>
      </c>
      <c r="K21" s="50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50">
        <v>22</v>
      </c>
      <c r="C22" s="50">
        <v>22</v>
      </c>
      <c r="D22" s="50">
        <v>22</v>
      </c>
      <c r="E22" s="50">
        <v>22</v>
      </c>
      <c r="F22" s="50">
        <v>22</v>
      </c>
      <c r="G22" s="50">
        <v>22</v>
      </c>
      <c r="H22" s="50">
        <v>22</v>
      </c>
      <c r="I22" s="50">
        <v>22</v>
      </c>
      <c r="J22" s="50">
        <v>22</v>
      </c>
      <c r="K22" s="50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50">
        <v>10</v>
      </c>
      <c r="C23" s="50">
        <v>10</v>
      </c>
      <c r="D23" s="50">
        <v>10</v>
      </c>
      <c r="E23" s="50">
        <v>10</v>
      </c>
      <c r="F23" s="50">
        <v>10</v>
      </c>
      <c r="G23" s="50">
        <v>10</v>
      </c>
      <c r="H23" s="50">
        <v>10</v>
      </c>
      <c r="I23" s="50">
        <v>10</v>
      </c>
      <c r="J23" s="50">
        <v>10</v>
      </c>
      <c r="K23" s="50">
        <v>10</v>
      </c>
      <c r="L23" s="50">
        <v>10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61">
        <v>25</v>
      </c>
      <c r="AH23" s="56">
        <f t="shared" si="2"/>
        <v>10</v>
      </c>
      <c r="AI23" s="57">
        <f t="shared" si="3"/>
        <v>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50">
        <v>16</v>
      </c>
      <c r="C24" s="50">
        <v>16</v>
      </c>
      <c r="D24" s="50">
        <v>16</v>
      </c>
      <c r="E24" s="50">
        <v>16</v>
      </c>
      <c r="F24" s="50">
        <v>16</v>
      </c>
      <c r="G24" s="50">
        <v>16</v>
      </c>
      <c r="H24" s="50">
        <v>16</v>
      </c>
      <c r="I24" s="50">
        <v>16</v>
      </c>
      <c r="J24" s="50">
        <v>16</v>
      </c>
      <c r="K24" s="50">
        <v>16</v>
      </c>
      <c r="L24" s="50">
        <v>16</v>
      </c>
      <c r="M24" s="50">
        <v>16</v>
      </c>
      <c r="N24" s="50">
        <v>16</v>
      </c>
      <c r="O24" s="50">
        <v>16</v>
      </c>
      <c r="P24" s="50">
        <v>16</v>
      </c>
      <c r="Q24" s="50">
        <v>16</v>
      </c>
      <c r="R24" s="50">
        <v>16</v>
      </c>
      <c r="S24" s="50">
        <v>16</v>
      </c>
      <c r="T24" s="50">
        <v>16</v>
      </c>
      <c r="U24" s="50">
        <v>16</v>
      </c>
      <c r="V24" s="50">
        <v>16</v>
      </c>
      <c r="W24" s="50">
        <v>16</v>
      </c>
      <c r="X24" s="50">
        <v>16</v>
      </c>
      <c r="Y24" s="50">
        <v>16</v>
      </c>
      <c r="Z24" s="50">
        <v>16</v>
      </c>
      <c r="AA24" s="50">
        <v>16</v>
      </c>
      <c r="AB24" s="50">
        <v>16</v>
      </c>
      <c r="AC24" s="50">
        <v>16</v>
      </c>
      <c r="AD24" s="50">
        <v>16</v>
      </c>
      <c r="AE24" s="50">
        <v>16</v>
      </c>
      <c r="AF24" s="50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50">
        <v>21.5</v>
      </c>
      <c r="C25" s="50">
        <v>21.5</v>
      </c>
      <c r="D25" s="50">
        <v>21.5</v>
      </c>
      <c r="E25" s="50">
        <v>21.5</v>
      </c>
      <c r="F25" s="50">
        <v>21.5</v>
      </c>
      <c r="G25" s="50">
        <v>21.5</v>
      </c>
      <c r="H25" s="50">
        <v>21.5</v>
      </c>
      <c r="I25" s="50">
        <v>21.5</v>
      </c>
      <c r="J25" s="50">
        <v>21.5</v>
      </c>
      <c r="K25" s="50">
        <v>21.5</v>
      </c>
      <c r="L25" s="50">
        <v>21.5</v>
      </c>
      <c r="M25" s="50">
        <v>21.5</v>
      </c>
      <c r="N25" s="50">
        <v>21.5</v>
      </c>
      <c r="O25" s="50">
        <v>21.5</v>
      </c>
      <c r="P25" s="50">
        <v>21.5</v>
      </c>
      <c r="Q25" s="50">
        <v>21.5</v>
      </c>
      <c r="R25" s="50">
        <v>21.5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10</v>
      </c>
      <c r="Y25" s="50">
        <v>10</v>
      </c>
      <c r="Z25" s="50">
        <v>10</v>
      </c>
      <c r="AA25" s="50">
        <v>10</v>
      </c>
      <c r="AB25" s="50">
        <v>10</v>
      </c>
      <c r="AC25" s="50">
        <v>10</v>
      </c>
      <c r="AD25" s="50">
        <v>10</v>
      </c>
      <c r="AE25" s="50">
        <v>10</v>
      </c>
      <c r="AF25" s="50">
        <v>10</v>
      </c>
      <c r="AG25" s="61">
        <v>24.2</v>
      </c>
      <c r="AH25" s="56">
        <f t="shared" si="2"/>
        <v>21.5</v>
      </c>
      <c r="AI25" s="57">
        <f t="shared" si="3"/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50">
        <v>4</v>
      </c>
      <c r="C26" s="50">
        <v>4</v>
      </c>
      <c r="D26" s="50">
        <v>4</v>
      </c>
      <c r="E26" s="50">
        <v>4</v>
      </c>
      <c r="F26" s="50">
        <v>4</v>
      </c>
      <c r="G26" s="50">
        <v>4</v>
      </c>
      <c r="H26" s="50">
        <v>4</v>
      </c>
      <c r="I26" s="50">
        <v>4</v>
      </c>
      <c r="J26" s="50">
        <v>4</v>
      </c>
      <c r="K26" s="50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8</v>
      </c>
      <c r="X26" s="50">
        <v>8</v>
      </c>
      <c r="Y26" s="50">
        <v>8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8</v>
      </c>
      <c r="AI26" s="57">
        <f>MIN(B26:AF26)</f>
        <v>4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50">
        <v>10</v>
      </c>
      <c r="C27" s="50">
        <v>10</v>
      </c>
      <c r="D27" s="50">
        <v>10</v>
      </c>
      <c r="E27" s="50">
        <v>10</v>
      </c>
      <c r="F27" s="50">
        <v>10</v>
      </c>
      <c r="G27" s="50">
        <v>10</v>
      </c>
      <c r="H27" s="50">
        <v>10</v>
      </c>
      <c r="I27" s="50">
        <v>10</v>
      </c>
      <c r="J27" s="50">
        <v>10</v>
      </c>
      <c r="K27" s="50">
        <v>10</v>
      </c>
      <c r="L27" s="50">
        <v>10</v>
      </c>
      <c r="M27" s="50">
        <v>9</v>
      </c>
      <c r="N27" s="50">
        <v>9</v>
      </c>
      <c r="O27" s="50">
        <v>9</v>
      </c>
      <c r="P27" s="50">
        <v>9</v>
      </c>
      <c r="Q27" s="50">
        <v>9</v>
      </c>
      <c r="R27" s="50">
        <v>9</v>
      </c>
      <c r="S27" s="50">
        <v>9</v>
      </c>
      <c r="T27" s="50">
        <v>9</v>
      </c>
      <c r="U27" s="50">
        <v>9</v>
      </c>
      <c r="V27" s="50">
        <v>9</v>
      </c>
      <c r="W27" s="50">
        <v>9</v>
      </c>
      <c r="X27" s="50">
        <v>9</v>
      </c>
      <c r="Y27" s="50">
        <v>9</v>
      </c>
      <c r="Z27" s="50">
        <v>9</v>
      </c>
      <c r="AA27" s="50">
        <v>9</v>
      </c>
      <c r="AB27" s="50">
        <v>9</v>
      </c>
      <c r="AC27" s="50">
        <v>9</v>
      </c>
      <c r="AD27" s="50">
        <v>9</v>
      </c>
      <c r="AE27" s="50">
        <v>9</v>
      </c>
      <c r="AF27" s="50">
        <v>9</v>
      </c>
      <c r="AG27" s="61">
        <v>23.5</v>
      </c>
      <c r="AH27" s="56">
        <f t="shared" si="2"/>
        <v>10</v>
      </c>
      <c r="AI27" s="57">
        <f t="shared" si="3"/>
        <v>9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50">
        <v>5</v>
      </c>
      <c r="C28" s="50">
        <v>5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5</v>
      </c>
      <c r="K28" s="50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50">
        <v>9</v>
      </c>
      <c r="C33" s="50">
        <v>9</v>
      </c>
      <c r="D33" s="50">
        <v>9</v>
      </c>
      <c r="E33" s="50">
        <v>9</v>
      </c>
      <c r="F33" s="50">
        <v>9</v>
      </c>
      <c r="G33" s="50">
        <v>9</v>
      </c>
      <c r="H33" s="50">
        <v>9</v>
      </c>
      <c r="I33" s="50">
        <v>9</v>
      </c>
      <c r="J33" s="50">
        <v>9</v>
      </c>
      <c r="K33" s="50">
        <v>9</v>
      </c>
      <c r="L33" s="50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63">
        <v>109.6</v>
      </c>
      <c r="C36" s="63">
        <v>109.6</v>
      </c>
      <c r="D36" s="63">
        <v>111.6</v>
      </c>
      <c r="E36" s="63">
        <v>111.9</v>
      </c>
      <c r="F36" s="63">
        <v>111.9</v>
      </c>
      <c r="G36" s="63">
        <v>109</v>
      </c>
      <c r="H36" s="63">
        <v>108.9</v>
      </c>
      <c r="I36" s="63">
        <v>108.9</v>
      </c>
      <c r="J36" s="63">
        <v>108.9</v>
      </c>
      <c r="K36" s="63">
        <v>109</v>
      </c>
      <c r="L36" s="72">
        <f>47.6+61</f>
        <v>108.6</v>
      </c>
      <c r="M36" s="72">
        <f>47.6+61</f>
        <v>108.6</v>
      </c>
      <c r="N36" s="72">
        <f>47.5+49.4</f>
        <v>96.9</v>
      </c>
      <c r="O36" s="72">
        <f>53+47.5</f>
        <v>100.5</v>
      </c>
      <c r="P36" s="72">
        <f>46+55</f>
        <v>101</v>
      </c>
      <c r="Q36" s="72">
        <f>46+55</f>
        <v>101</v>
      </c>
      <c r="R36" s="72">
        <v>107.2</v>
      </c>
      <c r="S36" s="72">
        <v>107.2</v>
      </c>
      <c r="T36" s="72">
        <v>90.7</v>
      </c>
      <c r="U36" s="72">
        <v>83.9</v>
      </c>
      <c r="V36" s="72">
        <v>84.4</v>
      </c>
      <c r="W36" s="72">
        <v>85</v>
      </c>
      <c r="X36" s="72">
        <v>85</v>
      </c>
      <c r="Y36" s="72">
        <v>85</v>
      </c>
      <c r="Z36" s="72">
        <v>85</v>
      </c>
      <c r="AA36" s="72">
        <v>104</v>
      </c>
      <c r="AB36" s="72">
        <v>105</v>
      </c>
      <c r="AC36" s="72">
        <v>105.2</v>
      </c>
      <c r="AD36" s="72">
        <v>106</v>
      </c>
      <c r="AE36" s="63">
        <v>108</v>
      </c>
      <c r="AF36" s="63">
        <v>109</v>
      </c>
      <c r="AG36" s="69">
        <v>240</v>
      </c>
      <c r="AH36" s="56">
        <f t="shared" si="2"/>
        <v>111.9</v>
      </c>
      <c r="AI36" s="57">
        <f t="shared" si="3"/>
        <v>83.9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669.59999999999991</v>
      </c>
      <c r="C37" s="74">
        <f t="shared" si="4"/>
        <v>669.59999999999991</v>
      </c>
      <c r="D37" s="74">
        <f t="shared" si="4"/>
        <v>669.59999999999991</v>
      </c>
      <c r="E37" s="74">
        <f t="shared" si="4"/>
        <v>669.59999999999991</v>
      </c>
      <c r="F37" s="74">
        <f t="shared" si="4"/>
        <v>699.59999999999991</v>
      </c>
      <c r="G37" s="74">
        <f t="shared" si="4"/>
        <v>709.59999999999991</v>
      </c>
      <c r="H37" s="74">
        <f>SUM(H11:H35)</f>
        <v>729.59999999999991</v>
      </c>
      <c r="I37" s="74">
        <f t="shared" si="4"/>
        <v>739.59999999999991</v>
      </c>
      <c r="J37" s="74">
        <f t="shared" si="4"/>
        <v>769.59999999999991</v>
      </c>
      <c r="K37" s="74">
        <f t="shared" si="4"/>
        <v>799.59999999999991</v>
      </c>
      <c r="L37" s="74">
        <f t="shared" si="4"/>
        <v>799.59999999999991</v>
      </c>
      <c r="M37" s="74">
        <f t="shared" si="4"/>
        <v>785.59999999999991</v>
      </c>
      <c r="N37" s="74">
        <f t="shared" si="4"/>
        <v>755.59999999999991</v>
      </c>
      <c r="O37" s="74">
        <f t="shared" si="4"/>
        <v>756.3</v>
      </c>
      <c r="P37" s="74">
        <f t="shared" si="4"/>
        <v>711.3</v>
      </c>
      <c r="Q37" s="74">
        <f t="shared" si="4"/>
        <v>711.3</v>
      </c>
      <c r="R37" s="74">
        <f t="shared" si="4"/>
        <v>711.3</v>
      </c>
      <c r="S37" s="74">
        <f t="shared" si="4"/>
        <v>714.8</v>
      </c>
      <c r="T37" s="74">
        <f t="shared" si="4"/>
        <v>734.8</v>
      </c>
      <c r="U37" s="74">
        <f t="shared" si="4"/>
        <v>788.8</v>
      </c>
      <c r="V37" s="74">
        <f t="shared" si="4"/>
        <v>898.80000000000007</v>
      </c>
      <c r="W37" s="74">
        <f t="shared" si="4"/>
        <v>942.80000000000007</v>
      </c>
      <c r="X37" s="74">
        <f t="shared" si="4"/>
        <v>912.80000000000007</v>
      </c>
      <c r="Y37" s="74">
        <f t="shared" si="4"/>
        <v>892.80000000000007</v>
      </c>
      <c r="Z37" s="74">
        <f t="shared" si="4"/>
        <v>834.8</v>
      </c>
      <c r="AA37" s="74">
        <f t="shared" si="4"/>
        <v>794.8</v>
      </c>
      <c r="AB37" s="74">
        <f t="shared" si="4"/>
        <v>744.8</v>
      </c>
      <c r="AC37" s="74">
        <f t="shared" si="4"/>
        <v>718.8</v>
      </c>
      <c r="AD37" s="74">
        <f t="shared" si="4"/>
        <v>668.8</v>
      </c>
      <c r="AE37" s="74">
        <f t="shared" si="4"/>
        <v>638.79999999999995</v>
      </c>
      <c r="AF37" s="74">
        <f t="shared" si="4"/>
        <v>638.79999999999995</v>
      </c>
      <c r="AG37" s="69">
        <f>SUM(AG11:AG36)</f>
        <v>1481.8299999999997</v>
      </c>
      <c r="AH37" s="56">
        <f t="shared" si="2"/>
        <v>942.80000000000007</v>
      </c>
      <c r="AI37" s="57">
        <f t="shared" si="3"/>
        <v>638.79999999999995</v>
      </c>
      <c r="AK37" s="58"/>
    </row>
    <row r="38" spans="1:88" x14ac:dyDescent="0.25">
      <c r="A38" s="59" t="s">
        <v>45</v>
      </c>
      <c r="B38" s="49">
        <v>72.099999999999994</v>
      </c>
      <c r="C38" s="63">
        <v>40.5</v>
      </c>
      <c r="D38" s="63">
        <v>49</v>
      </c>
      <c r="E38" s="63">
        <v>48.7</v>
      </c>
      <c r="F38" s="63">
        <v>48</v>
      </c>
      <c r="G38" s="63">
        <v>70</v>
      </c>
      <c r="H38" s="63">
        <v>96</v>
      </c>
      <c r="I38" s="63">
        <v>126</v>
      </c>
      <c r="J38" s="63">
        <v>146</v>
      </c>
      <c r="K38" s="63">
        <v>146</v>
      </c>
      <c r="L38" s="50">
        <v>141.69999999999999</v>
      </c>
      <c r="M38" s="50">
        <v>145.80000000000001</v>
      </c>
      <c r="N38" s="50">
        <v>143.5</v>
      </c>
      <c r="O38" s="50">
        <v>134.80000000000001</v>
      </c>
      <c r="P38" s="50">
        <v>132</v>
      </c>
      <c r="Q38" s="50">
        <v>131.69999999999999</v>
      </c>
      <c r="R38" s="50">
        <v>132.80000000000001</v>
      </c>
      <c r="S38" s="50">
        <v>121</v>
      </c>
      <c r="T38" s="50">
        <v>131.69999999999999</v>
      </c>
      <c r="U38" s="50">
        <v>144</v>
      </c>
      <c r="V38" s="50">
        <v>144</v>
      </c>
      <c r="W38" s="50">
        <v>144</v>
      </c>
      <c r="X38" s="50">
        <v>144</v>
      </c>
      <c r="Y38" s="50">
        <v>130</v>
      </c>
      <c r="Z38" s="50">
        <v>130.5</v>
      </c>
      <c r="AA38" s="50">
        <v>130.30000000000001</v>
      </c>
      <c r="AB38" s="50">
        <v>112.5</v>
      </c>
      <c r="AC38" s="50">
        <v>91</v>
      </c>
      <c r="AD38" s="50">
        <v>71.3</v>
      </c>
      <c r="AE38" s="49">
        <v>40.9</v>
      </c>
      <c r="AF38" s="49">
        <v>48.7</v>
      </c>
      <c r="AG38" s="64">
        <v>144</v>
      </c>
      <c r="AH38" s="56">
        <f t="shared" si="2"/>
        <v>146</v>
      </c>
      <c r="AI38" s="57">
        <f t="shared" si="3"/>
        <v>40.5</v>
      </c>
      <c r="AJ38" s="1">
        <v>144</v>
      </c>
      <c r="AK38" s="58"/>
    </row>
    <row r="39" spans="1:88" x14ac:dyDescent="0.25">
      <c r="A39" s="68" t="s">
        <v>46</v>
      </c>
      <c r="B39" s="63">
        <v>23.1</v>
      </c>
      <c r="C39" s="63">
        <v>24.3</v>
      </c>
      <c r="D39" s="63">
        <v>36</v>
      </c>
      <c r="E39" s="63">
        <v>35</v>
      </c>
      <c r="F39" s="63">
        <v>35</v>
      </c>
      <c r="G39" s="63">
        <v>36</v>
      </c>
      <c r="H39" s="63">
        <v>70</v>
      </c>
      <c r="I39" s="63">
        <v>70</v>
      </c>
      <c r="J39" s="63">
        <v>71</v>
      </c>
      <c r="K39" s="63">
        <v>71</v>
      </c>
      <c r="L39" s="52">
        <v>70.3</v>
      </c>
      <c r="M39" s="52">
        <v>55.1</v>
      </c>
      <c r="N39" s="52">
        <v>50.5</v>
      </c>
      <c r="O39" s="52">
        <v>50.7</v>
      </c>
      <c r="P39" s="52">
        <v>49.3</v>
      </c>
      <c r="Q39" s="52">
        <v>49.7</v>
      </c>
      <c r="R39" s="52">
        <v>62.1</v>
      </c>
      <c r="S39" s="52">
        <v>60</v>
      </c>
      <c r="T39" s="52">
        <v>60</v>
      </c>
      <c r="U39" s="52">
        <v>69.599999999999994</v>
      </c>
      <c r="V39" s="52">
        <v>69.599999999999994</v>
      </c>
      <c r="W39" s="52">
        <v>69.599999999999994</v>
      </c>
      <c r="X39" s="52">
        <v>69.599999999999994</v>
      </c>
      <c r="Y39" s="52">
        <v>69.599999999999994</v>
      </c>
      <c r="Z39" s="52">
        <v>50.1</v>
      </c>
      <c r="AA39" s="52">
        <v>50.3</v>
      </c>
      <c r="AB39" s="52">
        <v>50</v>
      </c>
      <c r="AC39" s="52">
        <v>51.1</v>
      </c>
      <c r="AD39" s="52">
        <v>31.3</v>
      </c>
      <c r="AE39" s="63">
        <v>23.6</v>
      </c>
      <c r="AF39" s="63">
        <v>34.9</v>
      </c>
      <c r="AG39" s="69">
        <v>70</v>
      </c>
      <c r="AH39" s="56">
        <f t="shared" si="2"/>
        <v>71</v>
      </c>
      <c r="AI39" s="57">
        <f t="shared" si="3"/>
        <v>23.1</v>
      </c>
      <c r="AJ39" s="1">
        <v>70</v>
      </c>
      <c r="AK39" s="58"/>
    </row>
    <row r="40" spans="1:88" x14ac:dyDescent="0.25">
      <c r="A40" s="68" t="s">
        <v>47</v>
      </c>
      <c r="B40" s="63">
        <v>22.5</v>
      </c>
      <c r="C40" s="63">
        <v>22.3</v>
      </c>
      <c r="D40" s="63">
        <v>22.4</v>
      </c>
      <c r="E40" s="63">
        <v>22.4</v>
      </c>
      <c r="F40" s="63">
        <v>46</v>
      </c>
      <c r="G40" s="63">
        <v>46</v>
      </c>
      <c r="H40" s="63">
        <v>46</v>
      </c>
      <c r="I40" s="63">
        <v>46</v>
      </c>
      <c r="J40" s="63">
        <v>46</v>
      </c>
      <c r="K40" s="63">
        <v>46</v>
      </c>
      <c r="L40" s="52">
        <v>40.6</v>
      </c>
      <c r="M40" s="52">
        <v>40.799999999999997</v>
      </c>
      <c r="N40" s="52">
        <v>40.9</v>
      </c>
      <c r="O40" s="52">
        <v>40.700000000000003</v>
      </c>
      <c r="P40" s="52">
        <v>41.2</v>
      </c>
      <c r="Q40" s="52">
        <v>40.9</v>
      </c>
      <c r="R40" s="52">
        <v>46.3</v>
      </c>
      <c r="S40" s="52">
        <v>46.3</v>
      </c>
      <c r="T40" s="52">
        <v>46.8</v>
      </c>
      <c r="U40" s="52">
        <v>46.8</v>
      </c>
      <c r="V40" s="52">
        <v>46.8</v>
      </c>
      <c r="W40" s="52">
        <v>46.8</v>
      </c>
      <c r="X40" s="52">
        <v>46.8</v>
      </c>
      <c r="Y40" s="52">
        <v>46.8</v>
      </c>
      <c r="Z40" s="52">
        <v>46.2</v>
      </c>
      <c r="AA40" s="52">
        <v>46.2</v>
      </c>
      <c r="AB40" s="52">
        <v>33.799999999999997</v>
      </c>
      <c r="AC40" s="52">
        <v>33.5</v>
      </c>
      <c r="AD40" s="52">
        <v>33.799999999999997</v>
      </c>
      <c r="AE40" s="63">
        <v>16.600000000000001</v>
      </c>
      <c r="AF40" s="63">
        <v>22.3</v>
      </c>
      <c r="AG40" s="69">
        <v>69</v>
      </c>
      <c r="AH40" s="56">
        <f t="shared" si="2"/>
        <v>46.8</v>
      </c>
      <c r="AI40" s="57">
        <f t="shared" si="3"/>
        <v>16.600000000000001</v>
      </c>
      <c r="AJ40" s="1">
        <v>46</v>
      </c>
      <c r="AK40" s="58"/>
    </row>
    <row r="41" spans="1:88" x14ac:dyDescent="0.25">
      <c r="A41" s="68" t="s">
        <v>48</v>
      </c>
      <c r="B41" s="63">
        <v>21.7</v>
      </c>
      <c r="C41" s="63">
        <v>10.6</v>
      </c>
      <c r="D41" s="63">
        <v>10.6</v>
      </c>
      <c r="E41" s="63">
        <v>30</v>
      </c>
      <c r="F41" s="63">
        <v>30</v>
      </c>
      <c r="G41" s="63">
        <v>50.6</v>
      </c>
      <c r="H41" s="63">
        <v>60</v>
      </c>
      <c r="I41" s="63">
        <v>60</v>
      </c>
      <c r="J41" s="63">
        <v>60</v>
      </c>
      <c r="K41" s="63">
        <v>60</v>
      </c>
      <c r="L41" s="52">
        <v>61.4</v>
      </c>
      <c r="M41" s="52">
        <v>56.2</v>
      </c>
      <c r="N41" s="52">
        <v>50.9</v>
      </c>
      <c r="O41" s="52">
        <v>41.8</v>
      </c>
      <c r="P41" s="52">
        <v>50.4</v>
      </c>
      <c r="Q41" s="52">
        <v>41.1</v>
      </c>
      <c r="R41" s="52">
        <v>42.1</v>
      </c>
      <c r="S41" s="52">
        <v>42.1</v>
      </c>
      <c r="T41" s="52">
        <v>60</v>
      </c>
      <c r="U41" s="52">
        <v>60</v>
      </c>
      <c r="V41" s="52">
        <v>60</v>
      </c>
      <c r="W41" s="52">
        <v>60</v>
      </c>
      <c r="X41" s="52">
        <v>60</v>
      </c>
      <c r="Y41" s="52">
        <v>60</v>
      </c>
      <c r="Z41" s="52">
        <v>60.4</v>
      </c>
      <c r="AA41" s="52">
        <v>60.4</v>
      </c>
      <c r="AB41" s="52">
        <v>60.4</v>
      </c>
      <c r="AC41" s="52">
        <v>24.7</v>
      </c>
      <c r="AD41" s="52">
        <v>10.8</v>
      </c>
      <c r="AE41" s="63">
        <v>10.6</v>
      </c>
      <c r="AF41" s="63">
        <v>30</v>
      </c>
      <c r="AG41" s="69">
        <v>60</v>
      </c>
      <c r="AH41" s="56">
        <f t="shared" si="2"/>
        <v>61.4</v>
      </c>
      <c r="AI41" s="57">
        <f t="shared" si="3"/>
        <v>10.6</v>
      </c>
      <c r="AJ41" s="1">
        <v>60</v>
      </c>
      <c r="AK41" s="58"/>
    </row>
    <row r="42" spans="1:88" x14ac:dyDescent="0.25">
      <c r="A42" s="68" t="s">
        <v>49</v>
      </c>
      <c r="B42" s="63">
        <v>14.7</v>
      </c>
      <c r="C42" s="63">
        <v>14.5</v>
      </c>
      <c r="D42" s="63">
        <v>14</v>
      </c>
      <c r="E42" s="63">
        <v>0</v>
      </c>
      <c r="F42" s="63">
        <v>0</v>
      </c>
      <c r="G42" s="63">
        <v>0</v>
      </c>
      <c r="H42" s="63">
        <v>15</v>
      </c>
      <c r="I42" s="63">
        <v>30</v>
      </c>
      <c r="J42" s="63">
        <v>30</v>
      </c>
      <c r="K42" s="63">
        <v>30</v>
      </c>
      <c r="L42" s="50">
        <v>29.6</v>
      </c>
      <c r="M42" s="50">
        <v>29.6</v>
      </c>
      <c r="N42" s="50">
        <v>29.4</v>
      </c>
      <c r="O42" s="50">
        <v>29.1</v>
      </c>
      <c r="P42" s="50">
        <v>29.1</v>
      </c>
      <c r="Q42" s="50">
        <v>29.1</v>
      </c>
      <c r="R42" s="50">
        <v>29.5</v>
      </c>
      <c r="S42" s="50">
        <v>29.5</v>
      </c>
      <c r="T42" s="50">
        <v>14.9</v>
      </c>
      <c r="U42" s="50">
        <v>14.9</v>
      </c>
      <c r="V42" s="50">
        <v>24.7</v>
      </c>
      <c r="W42" s="50">
        <v>24.7</v>
      </c>
      <c r="X42" s="50">
        <v>24.7</v>
      </c>
      <c r="Y42" s="50">
        <v>24.7</v>
      </c>
      <c r="Z42" s="50">
        <v>24.7</v>
      </c>
      <c r="AA42" s="50">
        <v>24.7</v>
      </c>
      <c r="AB42" s="52">
        <v>24.6</v>
      </c>
      <c r="AC42" s="52">
        <v>24.6</v>
      </c>
      <c r="AD42" s="52">
        <v>14.2</v>
      </c>
      <c r="AE42" s="63">
        <v>14.4</v>
      </c>
      <c r="AF42" s="63">
        <v>14.4</v>
      </c>
      <c r="AG42" s="69">
        <v>30</v>
      </c>
      <c r="AH42" s="56">
        <f t="shared" si="2"/>
        <v>30</v>
      </c>
      <c r="AI42" s="57">
        <f t="shared" si="3"/>
        <v>0</v>
      </c>
      <c r="AJ42" s="1">
        <v>30</v>
      </c>
      <c r="AK42" s="58"/>
    </row>
    <row r="43" spans="1:88" x14ac:dyDescent="0.25">
      <c r="A43" s="68" t="s">
        <v>50</v>
      </c>
      <c r="B43" s="50">
        <v>0</v>
      </c>
      <c r="C43" s="50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J43" s="1">
        <v>5</v>
      </c>
      <c r="AK43" s="58"/>
    </row>
    <row r="44" spans="1:88" x14ac:dyDescent="0.25">
      <c r="A44" s="68" t="s">
        <v>51</v>
      </c>
      <c r="B44" s="50">
        <v>15</v>
      </c>
      <c r="C44" s="50">
        <v>15</v>
      </c>
      <c r="D44" s="75">
        <v>16</v>
      </c>
      <c r="E44" s="75">
        <v>16</v>
      </c>
      <c r="F44" s="75">
        <v>16</v>
      </c>
      <c r="G44" s="75">
        <v>16</v>
      </c>
      <c r="H44" s="75">
        <v>16</v>
      </c>
      <c r="I44" s="75">
        <v>16</v>
      </c>
      <c r="J44" s="75">
        <v>16</v>
      </c>
      <c r="K44" s="75">
        <v>16</v>
      </c>
      <c r="L44" s="50">
        <v>16</v>
      </c>
      <c r="M44" s="50">
        <v>16</v>
      </c>
      <c r="N44" s="50">
        <v>16</v>
      </c>
      <c r="O44" s="50">
        <v>16</v>
      </c>
      <c r="P44" s="50">
        <v>16</v>
      </c>
      <c r="Q44" s="50">
        <v>16</v>
      </c>
      <c r="R44" s="50">
        <v>16</v>
      </c>
      <c r="S44" s="50">
        <v>16</v>
      </c>
      <c r="T44" s="50">
        <v>16</v>
      </c>
      <c r="U44" s="50">
        <v>16</v>
      </c>
      <c r="V44" s="50">
        <v>16</v>
      </c>
      <c r="W44" s="50">
        <v>16</v>
      </c>
      <c r="X44" s="50">
        <v>16</v>
      </c>
      <c r="Y44" s="50">
        <v>16</v>
      </c>
      <c r="Z44" s="50">
        <v>16</v>
      </c>
      <c r="AA44" s="50">
        <v>16</v>
      </c>
      <c r="AB44" s="50">
        <v>16</v>
      </c>
      <c r="AC44" s="50">
        <v>16</v>
      </c>
      <c r="AD44" s="50">
        <v>16</v>
      </c>
      <c r="AE44" s="63">
        <v>16</v>
      </c>
      <c r="AF44" s="63">
        <v>16</v>
      </c>
      <c r="AG44" s="69">
        <v>24</v>
      </c>
      <c r="AH44" s="56">
        <f t="shared" si="2"/>
        <v>16</v>
      </c>
      <c r="AI44" s="57">
        <f t="shared" si="3"/>
        <v>15</v>
      </c>
      <c r="AJ44" s="1">
        <v>15</v>
      </c>
      <c r="AK44" s="58"/>
    </row>
    <row r="45" spans="1:88" x14ac:dyDescent="0.25">
      <c r="A45" s="68" t="s">
        <v>52</v>
      </c>
      <c r="B45" s="50">
        <v>0</v>
      </c>
      <c r="C45" s="50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63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J45" s="1">
        <v>0</v>
      </c>
      <c r="AK45" s="58"/>
      <c r="AL45" s="76"/>
      <c r="AO45" s="76"/>
    </row>
    <row r="46" spans="1:88" s="76" customFormat="1" x14ac:dyDescent="0.25">
      <c r="A46" s="68" t="s">
        <v>53</v>
      </c>
      <c r="B46" s="50">
        <v>11</v>
      </c>
      <c r="C46" s="50">
        <v>11</v>
      </c>
      <c r="D46" s="63">
        <v>11</v>
      </c>
      <c r="E46" s="63">
        <v>11</v>
      </c>
      <c r="F46" s="63">
        <v>11</v>
      </c>
      <c r="G46" s="63">
        <v>11</v>
      </c>
      <c r="H46" s="63">
        <v>11</v>
      </c>
      <c r="I46" s="63">
        <v>11</v>
      </c>
      <c r="J46" s="63">
        <v>11</v>
      </c>
      <c r="K46" s="63">
        <v>11</v>
      </c>
      <c r="L46" s="50">
        <v>11</v>
      </c>
      <c r="M46" s="50">
        <v>11</v>
      </c>
      <c r="N46" s="50">
        <v>11</v>
      </c>
      <c r="O46" s="50">
        <v>11</v>
      </c>
      <c r="P46" s="50">
        <v>11</v>
      </c>
      <c r="Q46" s="50">
        <v>11</v>
      </c>
      <c r="R46" s="50">
        <v>11</v>
      </c>
      <c r="S46" s="50">
        <v>11</v>
      </c>
      <c r="T46" s="50">
        <v>11</v>
      </c>
      <c r="U46" s="50">
        <v>11</v>
      </c>
      <c r="V46" s="50">
        <v>11</v>
      </c>
      <c r="W46" s="50">
        <v>11</v>
      </c>
      <c r="X46" s="50">
        <v>11</v>
      </c>
      <c r="Y46" s="50">
        <v>11</v>
      </c>
      <c r="Z46" s="50">
        <v>11</v>
      </c>
      <c r="AA46" s="50">
        <v>11</v>
      </c>
      <c r="AB46" s="50">
        <v>11</v>
      </c>
      <c r="AC46" s="50">
        <v>11</v>
      </c>
      <c r="AD46" s="50">
        <v>11</v>
      </c>
      <c r="AE46" s="63">
        <v>11</v>
      </c>
      <c r="AF46" s="63">
        <v>11</v>
      </c>
      <c r="AG46" s="69">
        <v>14.1</v>
      </c>
      <c r="AH46" s="56">
        <f t="shared" si="2"/>
        <v>11</v>
      </c>
      <c r="AI46" s="57">
        <f t="shared" si="3"/>
        <v>11</v>
      </c>
      <c r="AJ46" s="1">
        <v>11</v>
      </c>
      <c r="AK46" s="58"/>
      <c r="AL46"/>
      <c r="AM46"/>
      <c r="AN46"/>
      <c r="AO46"/>
    </row>
    <row r="47" spans="1:88" x14ac:dyDescent="0.25">
      <c r="A47" s="77" t="s">
        <v>54</v>
      </c>
      <c r="B47" s="50">
        <v>7.2</v>
      </c>
      <c r="C47" s="50">
        <v>7.2</v>
      </c>
      <c r="D47" s="75">
        <v>7.2</v>
      </c>
      <c r="E47" s="75">
        <v>7.2</v>
      </c>
      <c r="F47" s="75">
        <v>7.2</v>
      </c>
      <c r="G47" s="75">
        <v>7.2</v>
      </c>
      <c r="H47" s="75">
        <v>7.2</v>
      </c>
      <c r="I47" s="75">
        <v>7.2</v>
      </c>
      <c r="J47" s="75">
        <v>7.2</v>
      </c>
      <c r="K47" s="75">
        <v>7.2</v>
      </c>
      <c r="L47" s="50">
        <v>7.2</v>
      </c>
      <c r="M47" s="50">
        <v>7.2</v>
      </c>
      <c r="N47" s="50">
        <v>7.2</v>
      </c>
      <c r="O47" s="50">
        <v>7.2</v>
      </c>
      <c r="P47" s="50">
        <v>7.2</v>
      </c>
      <c r="Q47" s="50">
        <v>7.2</v>
      </c>
      <c r="R47" s="50">
        <v>7.2</v>
      </c>
      <c r="S47" s="50">
        <v>7.2</v>
      </c>
      <c r="T47" s="50">
        <v>7.2</v>
      </c>
      <c r="U47" s="50">
        <v>7.2</v>
      </c>
      <c r="V47" s="50">
        <v>7.2</v>
      </c>
      <c r="W47" s="50">
        <v>7.2</v>
      </c>
      <c r="X47" s="50">
        <v>7.2</v>
      </c>
      <c r="Y47" s="50">
        <v>7.2</v>
      </c>
      <c r="Z47" s="50">
        <v>7.2</v>
      </c>
      <c r="AA47" s="50">
        <v>7.2</v>
      </c>
      <c r="AB47" s="50">
        <v>7.2</v>
      </c>
      <c r="AC47" s="50">
        <v>7.2</v>
      </c>
      <c r="AD47" s="50">
        <v>7.2</v>
      </c>
      <c r="AE47" s="63">
        <v>7.2</v>
      </c>
      <c r="AF47" s="63">
        <v>7.2</v>
      </c>
      <c r="AG47" s="69">
        <v>14</v>
      </c>
      <c r="AH47" s="56">
        <f t="shared" si="2"/>
        <v>7.2</v>
      </c>
      <c r="AI47" s="57">
        <f t="shared" si="3"/>
        <v>7.2</v>
      </c>
      <c r="AJ47" s="1">
        <v>7.2</v>
      </c>
      <c r="AK47" s="58"/>
    </row>
    <row r="48" spans="1:88" x14ac:dyDescent="0.25">
      <c r="A48" s="68" t="s">
        <v>55</v>
      </c>
      <c r="B48" s="50">
        <v>9</v>
      </c>
      <c r="C48" s="50">
        <v>9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0">
        <v>9</v>
      </c>
      <c r="M48" s="50">
        <v>9</v>
      </c>
      <c r="N48" s="50">
        <v>9</v>
      </c>
      <c r="O48" s="50">
        <v>9</v>
      </c>
      <c r="P48" s="50">
        <v>9</v>
      </c>
      <c r="Q48" s="50">
        <v>9</v>
      </c>
      <c r="R48" s="50">
        <v>9</v>
      </c>
      <c r="S48" s="50">
        <v>9</v>
      </c>
      <c r="T48" s="50">
        <v>9</v>
      </c>
      <c r="U48" s="50">
        <v>9</v>
      </c>
      <c r="V48" s="50">
        <v>9</v>
      </c>
      <c r="W48" s="50">
        <v>9</v>
      </c>
      <c r="X48" s="50">
        <v>9</v>
      </c>
      <c r="Y48" s="50">
        <v>9</v>
      </c>
      <c r="Z48" s="50">
        <v>9</v>
      </c>
      <c r="AA48" s="50">
        <v>9</v>
      </c>
      <c r="AB48" s="50">
        <v>9</v>
      </c>
      <c r="AC48" s="50">
        <v>9</v>
      </c>
      <c r="AD48" s="50">
        <v>9</v>
      </c>
      <c r="AE48" s="63">
        <v>9</v>
      </c>
      <c r="AF48" s="63">
        <v>9</v>
      </c>
      <c r="AG48" s="69">
        <v>10.050000000000001</v>
      </c>
      <c r="AH48" s="56">
        <f t="shared" si="2"/>
        <v>9</v>
      </c>
      <c r="AI48" s="57">
        <f t="shared" si="3"/>
        <v>9</v>
      </c>
      <c r="AJ48" s="1">
        <v>9</v>
      </c>
      <c r="AK48" s="58"/>
    </row>
    <row r="49" spans="1:37" x14ac:dyDescent="0.25">
      <c r="A49" s="68" t="s">
        <v>56</v>
      </c>
      <c r="B49" s="50">
        <v>6.2</v>
      </c>
      <c r="C49" s="50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63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J49" s="1">
        <v>6.2</v>
      </c>
      <c r="AK49" s="58"/>
    </row>
    <row r="50" spans="1:37" ht="15.75" thickBot="1" x14ac:dyDescent="0.3">
      <c r="A50" s="70" t="s">
        <v>57</v>
      </c>
      <c r="B50" s="78">
        <f>B198</f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82">
        <v>3.54</v>
      </c>
      <c r="M50" s="82">
        <v>3.54</v>
      </c>
      <c r="N50" s="82">
        <v>3.54</v>
      </c>
      <c r="O50" s="82">
        <v>3.54</v>
      </c>
      <c r="P50" s="82">
        <v>3.54</v>
      </c>
      <c r="Q50" s="82">
        <v>3.54</v>
      </c>
      <c r="R50" s="82">
        <v>3.54</v>
      </c>
      <c r="S50" s="82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J50" s="1">
        <f>SUM(AJ38:AJ49)</f>
        <v>403.4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206.03999999999994</v>
      </c>
      <c r="C51" s="74">
        <f t="shared" si="6"/>
        <v>164.13999999999996</v>
      </c>
      <c r="D51" s="74">
        <f t="shared" si="6"/>
        <v>184.93999999999997</v>
      </c>
      <c r="E51" s="74">
        <f t="shared" si="6"/>
        <v>189.03999999999996</v>
      </c>
      <c r="F51" s="74">
        <f t="shared" si="6"/>
        <v>211.93999999999997</v>
      </c>
      <c r="G51" s="74">
        <f t="shared" si="6"/>
        <v>255.53999999999996</v>
      </c>
      <c r="H51" s="74">
        <f t="shared" si="6"/>
        <v>339.94</v>
      </c>
      <c r="I51" s="74">
        <f t="shared" si="6"/>
        <v>384.94</v>
      </c>
      <c r="J51" s="74">
        <f t="shared" si="6"/>
        <v>405.94</v>
      </c>
      <c r="K51" s="212">
        <f t="shared" si="6"/>
        <v>405.94</v>
      </c>
      <c r="L51" s="215">
        <f t="shared" si="6"/>
        <v>396.54</v>
      </c>
      <c r="M51" s="92">
        <f t="shared" si="6"/>
        <v>380.44</v>
      </c>
      <c r="N51" s="92">
        <f t="shared" si="6"/>
        <v>368.14</v>
      </c>
      <c r="O51" s="92">
        <f t="shared" si="6"/>
        <v>350.04</v>
      </c>
      <c r="P51" s="92">
        <f t="shared" si="6"/>
        <v>354.94</v>
      </c>
      <c r="Q51" s="92">
        <f t="shared" si="6"/>
        <v>345.44</v>
      </c>
      <c r="R51" s="92">
        <f t="shared" si="6"/>
        <v>365.74</v>
      </c>
      <c r="S51" s="216">
        <f t="shared" si="6"/>
        <v>351.84000000000003</v>
      </c>
      <c r="T51" s="213">
        <f t="shared" si="6"/>
        <v>366.34</v>
      </c>
      <c r="U51" s="74">
        <f t="shared" si="6"/>
        <v>388.23999999999995</v>
      </c>
      <c r="V51" s="74">
        <f t="shared" si="6"/>
        <v>398.03999999999996</v>
      </c>
      <c r="W51" s="74">
        <f t="shared" si="6"/>
        <v>398.03999999999996</v>
      </c>
      <c r="X51" s="74">
        <f t="shared" si="6"/>
        <v>398.03999999999996</v>
      </c>
      <c r="Y51" s="74">
        <f t="shared" si="6"/>
        <v>384.03999999999996</v>
      </c>
      <c r="Z51" s="74">
        <f t="shared" si="6"/>
        <v>364.84</v>
      </c>
      <c r="AA51" s="74">
        <f t="shared" si="6"/>
        <v>364.84</v>
      </c>
      <c r="AB51" s="74">
        <f t="shared" si="6"/>
        <v>334.24</v>
      </c>
      <c r="AC51" s="74">
        <f t="shared" si="6"/>
        <v>277.83999999999997</v>
      </c>
      <c r="AD51" s="74">
        <f t="shared" si="6"/>
        <v>214.33999999999995</v>
      </c>
      <c r="AE51" s="74">
        <f t="shared" si="6"/>
        <v>159.03999999999996</v>
      </c>
      <c r="AF51" s="74">
        <f t="shared" si="6"/>
        <v>203.23999999999995</v>
      </c>
      <c r="AG51" s="79">
        <f>SUM(AG38:AG50)</f>
        <v>489.91</v>
      </c>
      <c r="AH51" s="56">
        <f t="shared" si="2"/>
        <v>405.94</v>
      </c>
      <c r="AI51" s="57">
        <f t="shared" si="3"/>
        <v>159.03999999999996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49">
        <v>20</v>
      </c>
      <c r="M52" s="49">
        <v>10</v>
      </c>
      <c r="N52" s="214">
        <v>0</v>
      </c>
      <c r="O52" s="214">
        <v>0</v>
      </c>
      <c r="P52" s="214">
        <v>0</v>
      </c>
      <c r="Q52" s="214">
        <v>0</v>
      </c>
      <c r="R52" s="50">
        <v>0</v>
      </c>
      <c r="S52" s="50">
        <v>0</v>
      </c>
      <c r="T52" s="50">
        <v>0</v>
      </c>
      <c r="U52" s="50">
        <v>0</v>
      </c>
      <c r="V52" s="50">
        <v>13.8</v>
      </c>
      <c r="W52" s="50">
        <v>60.2</v>
      </c>
      <c r="X52" s="50">
        <v>40.5</v>
      </c>
      <c r="Y52" s="50">
        <v>19.7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60.2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8.1999999999999993</v>
      </c>
      <c r="M53" s="63">
        <v>6.4</v>
      </c>
      <c r="N53" s="80">
        <v>0</v>
      </c>
      <c r="O53" s="80">
        <v>0</v>
      </c>
      <c r="P53" s="80">
        <v>0</v>
      </c>
      <c r="Q53" s="80">
        <v>0</v>
      </c>
      <c r="R53" s="50">
        <v>0</v>
      </c>
      <c r="S53" s="50">
        <v>0</v>
      </c>
      <c r="T53" s="50">
        <v>0</v>
      </c>
      <c r="U53" s="50">
        <v>0</v>
      </c>
      <c r="V53" s="52">
        <v>0</v>
      </c>
      <c r="W53" s="52">
        <v>29.8</v>
      </c>
      <c r="X53" s="52">
        <v>18.399999999999999</v>
      </c>
      <c r="Y53" s="52">
        <v>14.6</v>
      </c>
      <c r="Z53" s="52">
        <v>4.9000000000000004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29.8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3.2</v>
      </c>
      <c r="M54" s="75">
        <v>2.8</v>
      </c>
      <c r="N54" s="81">
        <v>0</v>
      </c>
      <c r="O54" s="81">
        <v>0</v>
      </c>
      <c r="P54" s="81">
        <v>0</v>
      </c>
      <c r="Q54" s="81">
        <v>0</v>
      </c>
      <c r="R54" s="50">
        <v>0</v>
      </c>
      <c r="S54" s="50">
        <v>0</v>
      </c>
      <c r="T54" s="50">
        <v>0</v>
      </c>
      <c r="U54" s="50">
        <v>0</v>
      </c>
      <c r="V54" s="82">
        <v>0</v>
      </c>
      <c r="W54" s="82">
        <v>10.8</v>
      </c>
      <c r="X54" s="82">
        <v>6.7</v>
      </c>
      <c r="Y54" s="82">
        <v>5.3</v>
      </c>
      <c r="Z54" s="82">
        <v>1.8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10.8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31.4</v>
      </c>
      <c r="M55" s="74">
        <f t="shared" si="7"/>
        <v>19.2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13.8</v>
      </c>
      <c r="W55" s="74">
        <f t="shared" si="7"/>
        <v>100.8</v>
      </c>
      <c r="X55" s="74">
        <f t="shared" si="7"/>
        <v>65.599999999999994</v>
      </c>
      <c r="Y55" s="74">
        <f t="shared" si="7"/>
        <v>39.599999999999994</v>
      </c>
      <c r="Z55" s="74">
        <f t="shared" si="7"/>
        <v>6.7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100.8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-84</v>
      </c>
      <c r="C58" s="52">
        <v>-64.5</v>
      </c>
      <c r="D58" s="52">
        <v>-71</v>
      </c>
      <c r="E58" s="52">
        <v>-52</v>
      </c>
      <c r="F58" s="52">
        <v>-65</v>
      </c>
      <c r="G58" s="50">
        <v>-55</v>
      </c>
      <c r="H58" s="50">
        <v>-42</v>
      </c>
      <c r="I58" s="50">
        <v>-46</v>
      </c>
      <c r="J58" s="50">
        <v>-40</v>
      </c>
      <c r="K58" s="50">
        <v>-62</v>
      </c>
      <c r="L58" s="50">
        <v>-82.6</v>
      </c>
      <c r="M58" s="50">
        <v>-63.7</v>
      </c>
      <c r="N58" s="50">
        <v>-49.1</v>
      </c>
      <c r="O58" s="52">
        <v>-74.8</v>
      </c>
      <c r="P58" s="52">
        <v>-70</v>
      </c>
      <c r="Q58" s="52">
        <v>-40.9</v>
      </c>
      <c r="R58" s="52">
        <v>-63.2</v>
      </c>
      <c r="S58" s="52">
        <v>-65.8</v>
      </c>
      <c r="T58" s="52">
        <v>-44.3</v>
      </c>
      <c r="U58" s="52">
        <v>-39.4</v>
      </c>
      <c r="V58" s="52">
        <v>-53</v>
      </c>
      <c r="W58" s="85">
        <v>-57</v>
      </c>
      <c r="X58" s="85">
        <v>-70</v>
      </c>
      <c r="Y58" s="85">
        <v>-72.8</v>
      </c>
      <c r="Z58" s="85">
        <v>-47</v>
      </c>
      <c r="AA58" s="52">
        <v>-77.599999999999994</v>
      </c>
      <c r="AB58" s="52">
        <v>-40</v>
      </c>
      <c r="AC58" s="52">
        <v>-60.2</v>
      </c>
      <c r="AD58" s="52">
        <v>-68.2</v>
      </c>
      <c r="AE58" s="52">
        <v>-44</v>
      </c>
      <c r="AF58" s="52">
        <v>-68</v>
      </c>
      <c r="AG58" s="86"/>
      <c r="AH58" s="56">
        <f t="shared" si="2"/>
        <v>-39.4</v>
      </c>
      <c r="AI58" s="57">
        <f t="shared" si="3"/>
        <v>-84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50">
        <v>0</v>
      </c>
      <c r="C60" s="5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62">
        <v>0</v>
      </c>
      <c r="C61" s="6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2">
        <v>0</v>
      </c>
      <c r="C62" s="62">
        <v>0</v>
      </c>
      <c r="D62" s="60">
        <v>0</v>
      </c>
      <c r="E62" s="60">
        <v>0</v>
      </c>
      <c r="F62" s="60">
        <v>0</v>
      </c>
      <c r="G62" s="6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5">
        <v>0</v>
      </c>
      <c r="C65" s="65">
        <v>0</v>
      </c>
      <c r="D65" s="60">
        <v>0</v>
      </c>
      <c r="E65" s="60">
        <v>0</v>
      </c>
      <c r="F65" s="60">
        <v>0</v>
      </c>
      <c r="G65" s="60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5">
        <v>0</v>
      </c>
      <c r="C66" s="65">
        <v>0</v>
      </c>
      <c r="D66" s="60">
        <v>0</v>
      </c>
      <c r="E66" s="60">
        <v>0</v>
      </c>
      <c r="F66" s="60">
        <v>0</v>
      </c>
      <c r="G66" s="6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-84</v>
      </c>
      <c r="C67" s="74">
        <f t="shared" ref="C67:AF67" si="8">SUM(C56:C66)</f>
        <v>-64.5</v>
      </c>
      <c r="D67" s="74">
        <f t="shared" si="8"/>
        <v>-71</v>
      </c>
      <c r="E67" s="74">
        <f t="shared" si="8"/>
        <v>-52</v>
      </c>
      <c r="F67" s="74">
        <f t="shared" si="8"/>
        <v>-65</v>
      </c>
      <c r="G67" s="74">
        <f t="shared" si="8"/>
        <v>-55</v>
      </c>
      <c r="H67" s="74">
        <f t="shared" si="8"/>
        <v>-42</v>
      </c>
      <c r="I67" s="74">
        <f t="shared" si="8"/>
        <v>-46</v>
      </c>
      <c r="J67" s="74">
        <f t="shared" si="8"/>
        <v>-40</v>
      </c>
      <c r="K67" s="74">
        <f t="shared" si="8"/>
        <v>-62</v>
      </c>
      <c r="L67" s="74">
        <f t="shared" si="8"/>
        <v>-82.6</v>
      </c>
      <c r="M67" s="74">
        <f t="shared" si="8"/>
        <v>-63.7</v>
      </c>
      <c r="N67" s="74">
        <f t="shared" si="8"/>
        <v>-49.1</v>
      </c>
      <c r="O67" s="74">
        <f t="shared" si="8"/>
        <v>-74.8</v>
      </c>
      <c r="P67" s="74">
        <f t="shared" si="8"/>
        <v>-70</v>
      </c>
      <c r="Q67" s="74">
        <f t="shared" si="8"/>
        <v>-40.9</v>
      </c>
      <c r="R67" s="74">
        <f t="shared" si="8"/>
        <v>-63.2</v>
      </c>
      <c r="S67" s="74">
        <f t="shared" si="8"/>
        <v>-65.8</v>
      </c>
      <c r="T67" s="74">
        <f t="shared" si="8"/>
        <v>-44.3</v>
      </c>
      <c r="U67" s="74">
        <f t="shared" si="8"/>
        <v>-39.4</v>
      </c>
      <c r="V67" s="74">
        <f t="shared" si="8"/>
        <v>-53</v>
      </c>
      <c r="W67" s="74">
        <f t="shared" si="8"/>
        <v>-57</v>
      </c>
      <c r="X67" s="74">
        <f t="shared" si="8"/>
        <v>-70</v>
      </c>
      <c r="Y67" s="74">
        <f t="shared" si="8"/>
        <v>-72.8</v>
      </c>
      <c r="Z67" s="74">
        <f t="shared" si="8"/>
        <v>-47</v>
      </c>
      <c r="AA67" s="74">
        <f t="shared" si="8"/>
        <v>-77.599999999999994</v>
      </c>
      <c r="AB67" s="74">
        <f t="shared" si="8"/>
        <v>-40</v>
      </c>
      <c r="AC67" s="74">
        <f t="shared" si="8"/>
        <v>-60.2</v>
      </c>
      <c r="AD67" s="74">
        <f t="shared" si="8"/>
        <v>-68.2</v>
      </c>
      <c r="AE67" s="74">
        <f t="shared" si="8"/>
        <v>-44</v>
      </c>
      <c r="AF67" s="74">
        <f t="shared" si="8"/>
        <v>-68</v>
      </c>
      <c r="AG67" s="79">
        <f>SUM(AG56:AG66)</f>
        <v>0</v>
      </c>
      <c r="AH67" s="56">
        <f t="shared" si="2"/>
        <v>-39.4</v>
      </c>
      <c r="AI67" s="57">
        <f t="shared" si="3"/>
        <v>-84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791.63999999999987</v>
      </c>
      <c r="C72" s="90">
        <f t="shared" ref="C72:AG72" si="10">C67+C55+C51+C37+C71</f>
        <v>769.2399999999999</v>
      </c>
      <c r="D72" s="90">
        <f t="shared" si="10"/>
        <v>783.53999999999985</v>
      </c>
      <c r="E72" s="90">
        <f t="shared" si="10"/>
        <v>806.63999999999987</v>
      </c>
      <c r="F72" s="90">
        <f t="shared" si="10"/>
        <v>846.53999999999985</v>
      </c>
      <c r="G72" s="90">
        <f t="shared" si="10"/>
        <v>910.13999999999987</v>
      </c>
      <c r="H72" s="90">
        <f t="shared" si="10"/>
        <v>1027.54</v>
      </c>
      <c r="I72" s="90">
        <f t="shared" si="10"/>
        <v>1078.54</v>
      </c>
      <c r="J72" s="90">
        <f t="shared" si="10"/>
        <v>1135.54</v>
      </c>
      <c r="K72" s="90">
        <f t="shared" si="10"/>
        <v>1143.54</v>
      </c>
      <c r="L72" s="90">
        <f t="shared" si="10"/>
        <v>1144.94</v>
      </c>
      <c r="M72" s="90">
        <f t="shared" si="10"/>
        <v>1121.54</v>
      </c>
      <c r="N72" s="90">
        <f t="shared" si="10"/>
        <v>1074.6399999999999</v>
      </c>
      <c r="O72" s="90">
        <f t="shared" si="10"/>
        <v>1031.54</v>
      </c>
      <c r="P72" s="90">
        <f t="shared" si="10"/>
        <v>996.24</v>
      </c>
      <c r="Q72" s="90">
        <f t="shared" si="10"/>
        <v>1015.8399999999999</v>
      </c>
      <c r="R72" s="90">
        <f t="shared" si="10"/>
        <v>1013.8399999999999</v>
      </c>
      <c r="S72" s="90">
        <f t="shared" si="10"/>
        <v>1000.8399999999999</v>
      </c>
      <c r="T72" s="90">
        <f t="shared" si="10"/>
        <v>1056.8399999999999</v>
      </c>
      <c r="U72" s="90">
        <f t="shared" si="10"/>
        <v>1137.6399999999999</v>
      </c>
      <c r="V72" s="90">
        <f t="shared" si="10"/>
        <v>1257.6400000000001</v>
      </c>
      <c r="W72" s="90">
        <f t="shared" si="10"/>
        <v>1384.64</v>
      </c>
      <c r="X72" s="90">
        <f t="shared" si="10"/>
        <v>1306.44</v>
      </c>
      <c r="Y72" s="90">
        <f t="shared" si="10"/>
        <v>1243.6400000000001</v>
      </c>
      <c r="Z72" s="90">
        <f t="shared" si="10"/>
        <v>1159.3399999999999</v>
      </c>
      <c r="AA72" s="90">
        <f t="shared" si="10"/>
        <v>1082.04</v>
      </c>
      <c r="AB72" s="90">
        <f t="shared" si="10"/>
        <v>1039.04</v>
      </c>
      <c r="AC72" s="90">
        <f t="shared" si="10"/>
        <v>936.43999999999994</v>
      </c>
      <c r="AD72" s="90">
        <f t="shared" si="10"/>
        <v>814.93999999999983</v>
      </c>
      <c r="AE72" s="90">
        <f t="shared" si="10"/>
        <v>753.83999999999992</v>
      </c>
      <c r="AF72" s="90">
        <f t="shared" si="10"/>
        <v>774.04</v>
      </c>
      <c r="AG72" s="90">
        <f t="shared" si="10"/>
        <v>2133.14</v>
      </c>
      <c r="AH72" s="56">
        <f t="shared" si="2"/>
        <v>1384.64</v>
      </c>
      <c r="AI72" s="57">
        <f t="shared" si="3"/>
        <v>753.83999999999992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791.63999999999987</v>
      </c>
      <c r="C74" s="90">
        <f t="shared" ref="C74:AF74" si="11">C71+C67+C55+C51+C37+C73</f>
        <v>769.2399999999999</v>
      </c>
      <c r="D74" s="90">
        <f t="shared" si="11"/>
        <v>783.53999999999985</v>
      </c>
      <c r="E74" s="90">
        <f t="shared" si="11"/>
        <v>806.63999999999987</v>
      </c>
      <c r="F74" s="90">
        <f t="shared" si="11"/>
        <v>846.53999999999985</v>
      </c>
      <c r="G74" s="90">
        <f t="shared" si="11"/>
        <v>910.13999999999987</v>
      </c>
      <c r="H74" s="90">
        <f t="shared" si="11"/>
        <v>1027.54</v>
      </c>
      <c r="I74" s="90">
        <f t="shared" si="11"/>
        <v>1078.54</v>
      </c>
      <c r="J74" s="90">
        <f t="shared" si="11"/>
        <v>1135.54</v>
      </c>
      <c r="K74" s="90">
        <f t="shared" si="11"/>
        <v>1143.54</v>
      </c>
      <c r="L74" s="90">
        <f t="shared" si="11"/>
        <v>1144.94</v>
      </c>
      <c r="M74" s="90">
        <f t="shared" si="11"/>
        <v>1121.54</v>
      </c>
      <c r="N74" s="90">
        <f t="shared" si="11"/>
        <v>1074.6399999999999</v>
      </c>
      <c r="O74" s="90">
        <f t="shared" si="11"/>
        <v>1031.54</v>
      </c>
      <c r="P74" s="90">
        <f t="shared" si="11"/>
        <v>996.24</v>
      </c>
      <c r="Q74" s="90">
        <f t="shared" si="11"/>
        <v>1015.8399999999999</v>
      </c>
      <c r="R74" s="90">
        <f t="shared" si="11"/>
        <v>1013.8399999999999</v>
      </c>
      <c r="S74" s="90">
        <f t="shared" si="11"/>
        <v>1000.8399999999999</v>
      </c>
      <c r="T74" s="90">
        <f t="shared" si="11"/>
        <v>1056.8399999999999</v>
      </c>
      <c r="U74" s="90">
        <f t="shared" si="11"/>
        <v>1137.6399999999999</v>
      </c>
      <c r="V74" s="90">
        <f t="shared" si="11"/>
        <v>1257.6400000000001</v>
      </c>
      <c r="W74" s="90">
        <f t="shared" si="11"/>
        <v>1384.64</v>
      </c>
      <c r="X74" s="90">
        <f t="shared" si="11"/>
        <v>1306.44</v>
      </c>
      <c r="Y74" s="90">
        <f t="shared" si="11"/>
        <v>1243.6400000000001</v>
      </c>
      <c r="Z74" s="90">
        <f t="shared" si="11"/>
        <v>1159.3399999999999</v>
      </c>
      <c r="AA74" s="90">
        <f t="shared" si="11"/>
        <v>1082.04</v>
      </c>
      <c r="AB74" s="90">
        <f t="shared" si="11"/>
        <v>1039.04</v>
      </c>
      <c r="AC74" s="90">
        <f t="shared" si="11"/>
        <v>936.43999999999994</v>
      </c>
      <c r="AD74" s="90">
        <f t="shared" si="11"/>
        <v>814.93999999999983</v>
      </c>
      <c r="AE74" s="90">
        <f t="shared" si="11"/>
        <v>753.83999999999992</v>
      </c>
      <c r="AF74" s="90">
        <f t="shared" si="11"/>
        <v>774.04</v>
      </c>
      <c r="AG74" s="79">
        <f>AG71+AG67+AG55+AG51+AG37+AG73</f>
        <v>2133.14</v>
      </c>
      <c r="AH74" s="56">
        <f t="shared" si="2"/>
        <v>1384.64</v>
      </c>
      <c r="AI74" s="57">
        <f t="shared" si="3"/>
        <v>753.83999999999992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84</v>
      </c>
      <c r="C78" s="60">
        <f t="shared" ref="C78:AF78" si="15">IF(C58&lt;0,C58*-1,0)</f>
        <v>64.5</v>
      </c>
      <c r="D78" s="60">
        <f t="shared" si="15"/>
        <v>71</v>
      </c>
      <c r="E78" s="60">
        <f t="shared" si="15"/>
        <v>52</v>
      </c>
      <c r="F78" s="60">
        <f t="shared" si="15"/>
        <v>65</v>
      </c>
      <c r="G78" s="60">
        <f t="shared" si="15"/>
        <v>55</v>
      </c>
      <c r="H78" s="60">
        <f t="shared" si="15"/>
        <v>42</v>
      </c>
      <c r="I78" s="60">
        <f t="shared" si="15"/>
        <v>46</v>
      </c>
      <c r="J78" s="60">
        <f t="shared" si="15"/>
        <v>40</v>
      </c>
      <c r="K78" s="60">
        <f t="shared" si="15"/>
        <v>62</v>
      </c>
      <c r="L78" s="60">
        <f t="shared" si="15"/>
        <v>82.6</v>
      </c>
      <c r="M78" s="60">
        <f t="shared" si="15"/>
        <v>63.7</v>
      </c>
      <c r="N78" s="60">
        <f t="shared" si="15"/>
        <v>49.1</v>
      </c>
      <c r="O78" s="60">
        <f t="shared" si="15"/>
        <v>74.8</v>
      </c>
      <c r="P78" s="60">
        <f t="shared" si="15"/>
        <v>70</v>
      </c>
      <c r="Q78" s="60">
        <f t="shared" si="15"/>
        <v>40.9</v>
      </c>
      <c r="R78" s="60">
        <f t="shared" si="15"/>
        <v>63.2</v>
      </c>
      <c r="S78" s="60">
        <f t="shared" si="15"/>
        <v>65.8</v>
      </c>
      <c r="T78" s="60">
        <f t="shared" si="15"/>
        <v>44.3</v>
      </c>
      <c r="U78" s="60">
        <f t="shared" si="15"/>
        <v>39.4</v>
      </c>
      <c r="V78" s="60">
        <f t="shared" si="15"/>
        <v>53</v>
      </c>
      <c r="W78" s="60">
        <f t="shared" si="15"/>
        <v>57</v>
      </c>
      <c r="X78" s="60">
        <f t="shared" si="15"/>
        <v>70</v>
      </c>
      <c r="Y78" s="60">
        <f t="shared" si="15"/>
        <v>72.8</v>
      </c>
      <c r="Z78" s="60">
        <f t="shared" si="15"/>
        <v>47</v>
      </c>
      <c r="AA78" s="60">
        <f t="shared" si="15"/>
        <v>77.599999999999994</v>
      </c>
      <c r="AB78" s="60">
        <f t="shared" si="15"/>
        <v>40</v>
      </c>
      <c r="AC78" s="60">
        <f t="shared" si="15"/>
        <v>60.2</v>
      </c>
      <c r="AD78" s="60">
        <f t="shared" si="15"/>
        <v>68.2</v>
      </c>
      <c r="AE78" s="60">
        <f t="shared" si="15"/>
        <v>44</v>
      </c>
      <c r="AF78" s="60">
        <f t="shared" si="15"/>
        <v>68</v>
      </c>
      <c r="AG78" s="93"/>
      <c r="AH78" s="56">
        <f t="shared" ref="AH78:AH90" si="16">MAX(B78:AF78)</f>
        <v>84</v>
      </c>
      <c r="AI78" s="57">
        <f t="shared" ref="AI78:AI90" si="17">MIN(B78:AF78)</f>
        <v>39.4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84</v>
      </c>
      <c r="C81" s="74">
        <f t="shared" si="19"/>
        <v>64.5</v>
      </c>
      <c r="D81" s="74">
        <f t="shared" si="19"/>
        <v>71</v>
      </c>
      <c r="E81" s="74">
        <f t="shared" si="19"/>
        <v>52</v>
      </c>
      <c r="F81" s="74">
        <f t="shared" si="19"/>
        <v>65</v>
      </c>
      <c r="G81" s="74">
        <f t="shared" si="19"/>
        <v>55</v>
      </c>
      <c r="H81" s="74">
        <f t="shared" si="19"/>
        <v>42</v>
      </c>
      <c r="I81" s="74">
        <f t="shared" si="19"/>
        <v>46</v>
      </c>
      <c r="J81" s="74">
        <f t="shared" si="19"/>
        <v>40</v>
      </c>
      <c r="K81" s="74">
        <f t="shared" si="19"/>
        <v>62</v>
      </c>
      <c r="L81" s="74">
        <f t="shared" si="19"/>
        <v>82.6</v>
      </c>
      <c r="M81" s="74">
        <f t="shared" si="19"/>
        <v>63.7</v>
      </c>
      <c r="N81" s="74">
        <f t="shared" si="19"/>
        <v>49.1</v>
      </c>
      <c r="O81" s="74">
        <f t="shared" si="19"/>
        <v>74.8</v>
      </c>
      <c r="P81" s="74">
        <f t="shared" si="19"/>
        <v>70</v>
      </c>
      <c r="Q81" s="74">
        <f t="shared" si="19"/>
        <v>40.9</v>
      </c>
      <c r="R81" s="74">
        <f t="shared" si="19"/>
        <v>63.2</v>
      </c>
      <c r="S81" s="74">
        <f t="shared" si="19"/>
        <v>65.8</v>
      </c>
      <c r="T81" s="74">
        <f t="shared" si="19"/>
        <v>44.3</v>
      </c>
      <c r="U81" s="74">
        <f t="shared" si="19"/>
        <v>39.4</v>
      </c>
      <c r="V81" s="74">
        <f t="shared" si="19"/>
        <v>53</v>
      </c>
      <c r="W81" s="74">
        <f t="shared" si="19"/>
        <v>57</v>
      </c>
      <c r="X81" s="74">
        <f t="shared" si="19"/>
        <v>70</v>
      </c>
      <c r="Y81" s="74">
        <f t="shared" si="19"/>
        <v>72.8</v>
      </c>
      <c r="Z81" s="74">
        <f t="shared" si="19"/>
        <v>47</v>
      </c>
      <c r="AA81" s="74">
        <f t="shared" si="19"/>
        <v>77.599999999999994</v>
      </c>
      <c r="AB81" s="74">
        <f t="shared" si="19"/>
        <v>40</v>
      </c>
      <c r="AC81" s="74">
        <f t="shared" si="19"/>
        <v>60.2</v>
      </c>
      <c r="AD81" s="74">
        <f t="shared" si="19"/>
        <v>68.2</v>
      </c>
      <c r="AE81" s="74">
        <f t="shared" si="19"/>
        <v>44</v>
      </c>
      <c r="AF81" s="74">
        <f t="shared" si="19"/>
        <v>68</v>
      </c>
      <c r="AG81" s="79">
        <f t="shared" si="19"/>
        <v>0</v>
      </c>
      <c r="AH81" s="56">
        <f t="shared" si="16"/>
        <v>84</v>
      </c>
      <c r="AI81" s="57">
        <f t="shared" si="17"/>
        <v>39.4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1751.2799999999997</v>
      </c>
      <c r="C82" s="74">
        <f t="shared" si="20"/>
        <v>1667.4799999999998</v>
      </c>
      <c r="D82" s="74">
        <f t="shared" si="20"/>
        <v>1709.0799999999997</v>
      </c>
      <c r="E82" s="74">
        <f t="shared" si="20"/>
        <v>1717.2799999999997</v>
      </c>
      <c r="F82" s="74">
        <f t="shared" si="20"/>
        <v>1823.0799999999997</v>
      </c>
      <c r="G82" s="74">
        <f t="shared" si="20"/>
        <v>1930.2799999999997</v>
      </c>
      <c r="H82" s="74">
        <f t="shared" si="20"/>
        <v>2139.08</v>
      </c>
      <c r="I82" s="74">
        <f t="shared" si="20"/>
        <v>2249.08</v>
      </c>
      <c r="J82" s="74">
        <f t="shared" si="20"/>
        <v>2351.08</v>
      </c>
      <c r="K82" s="74">
        <f t="shared" si="20"/>
        <v>2411.08</v>
      </c>
      <c r="L82" s="74">
        <f t="shared" si="20"/>
        <v>2455.08</v>
      </c>
      <c r="M82" s="74">
        <f t="shared" si="20"/>
        <v>2370.4799999999996</v>
      </c>
      <c r="N82" s="74">
        <f t="shared" si="20"/>
        <v>2247.4799999999996</v>
      </c>
      <c r="O82" s="74">
        <f t="shared" si="20"/>
        <v>2212.6800000000003</v>
      </c>
      <c r="P82" s="74">
        <f t="shared" si="20"/>
        <v>2132.48</v>
      </c>
      <c r="Q82" s="74">
        <f t="shared" si="20"/>
        <v>2113.48</v>
      </c>
      <c r="R82" s="74">
        <f t="shared" si="20"/>
        <v>2154.0799999999995</v>
      </c>
      <c r="S82" s="74">
        <f t="shared" si="20"/>
        <v>2133.2800000000002</v>
      </c>
      <c r="T82" s="74">
        <f t="shared" si="20"/>
        <v>2202.2800000000002</v>
      </c>
      <c r="U82" s="74">
        <f t="shared" si="20"/>
        <v>2354.08</v>
      </c>
      <c r="V82" s="74">
        <f t="shared" si="20"/>
        <v>2621.2800000000002</v>
      </c>
      <c r="W82" s="74">
        <f t="shared" si="20"/>
        <v>2883.28</v>
      </c>
      <c r="X82" s="74">
        <f t="shared" si="20"/>
        <v>2752.88</v>
      </c>
      <c r="Y82" s="74">
        <f t="shared" si="20"/>
        <v>2632.8800000000006</v>
      </c>
      <c r="Z82" s="74">
        <f t="shared" si="20"/>
        <v>2412.6799999999998</v>
      </c>
      <c r="AA82" s="74">
        <f t="shared" si="20"/>
        <v>2319.2799999999997</v>
      </c>
      <c r="AB82" s="74">
        <f t="shared" si="20"/>
        <v>2158.08</v>
      </c>
      <c r="AC82" s="74">
        <f t="shared" si="20"/>
        <v>1993.28</v>
      </c>
      <c r="AD82" s="74">
        <f t="shared" si="20"/>
        <v>1766.2799999999997</v>
      </c>
      <c r="AE82" s="74">
        <f t="shared" si="20"/>
        <v>1595.6799999999998</v>
      </c>
      <c r="AF82" s="74">
        <f t="shared" si="20"/>
        <v>1684.08</v>
      </c>
      <c r="AG82" s="79">
        <f t="shared" si="20"/>
        <v>4338.08</v>
      </c>
      <c r="AH82" s="56">
        <f t="shared" si="16"/>
        <v>2883.28</v>
      </c>
      <c r="AI82" s="57">
        <f t="shared" si="17"/>
        <v>1595.6799999999998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50.006999999999998</v>
      </c>
      <c r="C83" s="96">
        <v>49.927</v>
      </c>
      <c r="D83" s="96">
        <v>49.898000000000003</v>
      </c>
      <c r="E83" s="96">
        <v>49.933999999999997</v>
      </c>
      <c r="F83" s="96">
        <v>49.973999999999997</v>
      </c>
      <c r="G83" s="96">
        <v>50.033999999999999</v>
      </c>
      <c r="H83" s="96">
        <v>50.021000000000001</v>
      </c>
      <c r="I83" s="96">
        <v>50.01</v>
      </c>
      <c r="J83" s="96">
        <v>50.051000000000002</v>
      </c>
      <c r="K83" s="96">
        <v>49.889000000000003</v>
      </c>
      <c r="L83" s="96">
        <v>49.93</v>
      </c>
      <c r="M83" s="96">
        <v>50</v>
      </c>
      <c r="N83" s="96">
        <v>50.04</v>
      </c>
      <c r="O83" s="96">
        <v>50.033999999999999</v>
      </c>
      <c r="P83" s="96">
        <v>50.04</v>
      </c>
      <c r="Q83" s="96">
        <v>49.9</v>
      </c>
      <c r="R83" s="96">
        <v>49.844999999999999</v>
      </c>
      <c r="S83" s="96">
        <v>50.003999999999998</v>
      </c>
      <c r="T83" s="96">
        <v>50.018000000000001</v>
      </c>
      <c r="U83" s="96">
        <v>49.970999999999997</v>
      </c>
      <c r="V83" s="96">
        <v>50.06</v>
      </c>
      <c r="W83" s="96">
        <v>49.902999999999999</v>
      </c>
      <c r="X83" s="96">
        <v>49.972999999999999</v>
      </c>
      <c r="Y83" s="96">
        <v>49.999000000000002</v>
      </c>
      <c r="Z83" s="96">
        <v>49.972999999999999</v>
      </c>
      <c r="AA83" s="96">
        <v>49.98</v>
      </c>
      <c r="AB83" s="96">
        <v>50.064999999999998</v>
      </c>
      <c r="AC83" s="96">
        <v>49.954000000000001</v>
      </c>
      <c r="AD83" s="96">
        <v>50.043999999999997</v>
      </c>
      <c r="AE83" s="96">
        <v>50.017000000000003</v>
      </c>
      <c r="AF83" s="97">
        <v>50.030999999999999</v>
      </c>
      <c r="AG83" s="98"/>
      <c r="AH83" s="56">
        <f t="shared" si="16"/>
        <v>50.064999999999998</v>
      </c>
      <c r="AI83" s="57">
        <f t="shared" si="17"/>
        <v>49.844999999999999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128.1</v>
      </c>
      <c r="C84" s="52">
        <v>128.80000000000001</v>
      </c>
      <c r="D84" s="52">
        <v>128.1</v>
      </c>
      <c r="E84" s="52">
        <v>129.4</v>
      </c>
      <c r="F84" s="52">
        <v>127.3</v>
      </c>
      <c r="G84" s="52">
        <v>127.7</v>
      </c>
      <c r="H84" s="52">
        <v>125.3</v>
      </c>
      <c r="I84" s="52">
        <v>124.4</v>
      </c>
      <c r="J84" s="52">
        <v>123.6</v>
      </c>
      <c r="K84" s="52">
        <v>124.6</v>
      </c>
      <c r="L84" s="52">
        <v>124.9</v>
      </c>
      <c r="M84" s="52">
        <v>124.1</v>
      </c>
      <c r="N84" s="52">
        <v>123.4</v>
      </c>
      <c r="O84" s="52">
        <v>124</v>
      </c>
      <c r="P84" s="52">
        <v>123.3</v>
      </c>
      <c r="Q84" s="52">
        <v>123.3</v>
      </c>
      <c r="R84" s="52">
        <v>123.2</v>
      </c>
      <c r="S84" s="52">
        <v>123.8</v>
      </c>
      <c r="T84" s="100">
        <v>123.2</v>
      </c>
      <c r="U84" s="100">
        <v>124.5</v>
      </c>
      <c r="V84" s="100">
        <v>124.8</v>
      </c>
      <c r="W84" s="100">
        <v>124.5</v>
      </c>
      <c r="X84" s="100">
        <v>126</v>
      </c>
      <c r="Y84" s="100">
        <v>125.6</v>
      </c>
      <c r="Z84" s="100">
        <v>126</v>
      </c>
      <c r="AA84" s="52">
        <v>126</v>
      </c>
      <c r="AB84" s="52">
        <v>126.4</v>
      </c>
      <c r="AC84" s="52">
        <v>126.6</v>
      </c>
      <c r="AD84" s="52">
        <v>128.5</v>
      </c>
      <c r="AE84" s="52">
        <v>127.7</v>
      </c>
      <c r="AF84" s="101">
        <v>127.7</v>
      </c>
      <c r="AG84" s="102"/>
      <c r="AH84" s="56">
        <f t="shared" si="16"/>
        <v>129.4</v>
      </c>
      <c r="AI84" s="57">
        <f t="shared" si="17"/>
        <v>123.2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131.1</v>
      </c>
      <c r="C85" s="52">
        <v>131.6</v>
      </c>
      <c r="D85" s="52">
        <v>131.1</v>
      </c>
      <c r="E85" s="52">
        <v>131.9</v>
      </c>
      <c r="F85" s="52">
        <v>130.1</v>
      </c>
      <c r="G85" s="52">
        <v>130.19999999999999</v>
      </c>
      <c r="H85" s="52">
        <v>128.30000000000001</v>
      </c>
      <c r="I85" s="52">
        <v>127.1</v>
      </c>
      <c r="J85" s="52">
        <v>126.5</v>
      </c>
      <c r="K85" s="52">
        <v>127.1</v>
      </c>
      <c r="L85" s="52">
        <v>127.1</v>
      </c>
      <c r="M85" s="52">
        <v>127</v>
      </c>
      <c r="N85" s="52">
        <v>126.6</v>
      </c>
      <c r="O85" s="52">
        <v>126.7</v>
      </c>
      <c r="P85" s="52">
        <v>126.6</v>
      </c>
      <c r="Q85" s="52">
        <v>126.6</v>
      </c>
      <c r="R85" s="52">
        <v>126.5</v>
      </c>
      <c r="S85" s="52">
        <v>127.4</v>
      </c>
      <c r="T85" s="100">
        <v>126.4</v>
      </c>
      <c r="U85" s="100">
        <v>127.4</v>
      </c>
      <c r="V85" s="100">
        <v>127.3</v>
      </c>
      <c r="W85" s="100">
        <v>127.4</v>
      </c>
      <c r="X85" s="100">
        <v>128.5</v>
      </c>
      <c r="Y85" s="100">
        <v>128.19999999999999</v>
      </c>
      <c r="Z85" s="100">
        <v>128.5</v>
      </c>
      <c r="AA85" s="52">
        <v>128.69999999999999</v>
      </c>
      <c r="AB85" s="52">
        <v>129.1</v>
      </c>
      <c r="AC85" s="52">
        <v>129.5</v>
      </c>
      <c r="AD85" s="52">
        <v>131.6</v>
      </c>
      <c r="AE85" s="52">
        <v>130.5</v>
      </c>
      <c r="AF85" s="101">
        <v>130.9</v>
      </c>
      <c r="AG85" s="102"/>
      <c r="AH85" s="56">
        <f t="shared" si="16"/>
        <v>131.9</v>
      </c>
      <c r="AI85" s="57">
        <f t="shared" si="17"/>
        <v>126.4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128.69999999999999</v>
      </c>
      <c r="C86" s="52">
        <v>128.5</v>
      </c>
      <c r="D86" s="52">
        <v>128.30000000000001</v>
      </c>
      <c r="E86" s="52">
        <v>129.30000000000001</v>
      </c>
      <c r="F86" s="52">
        <v>128.5</v>
      </c>
      <c r="G86" s="52">
        <v>128.30000000000001</v>
      </c>
      <c r="H86" s="52">
        <v>126.8</v>
      </c>
      <c r="I86" s="52">
        <v>126.3</v>
      </c>
      <c r="J86" s="52">
        <v>127.3</v>
      </c>
      <c r="K86" s="52">
        <v>128.9</v>
      </c>
      <c r="L86" s="52">
        <v>126.1</v>
      </c>
      <c r="M86" s="52">
        <v>129.80000000000001</v>
      </c>
      <c r="N86" s="52">
        <v>128.9</v>
      </c>
      <c r="O86" s="52">
        <v>129.19999999999999</v>
      </c>
      <c r="P86" s="52">
        <v>130.4</v>
      </c>
      <c r="Q86" s="52">
        <v>130.4</v>
      </c>
      <c r="R86" s="52">
        <v>127.2</v>
      </c>
      <c r="S86" s="52">
        <v>128.1</v>
      </c>
      <c r="T86" s="52">
        <v>126.8</v>
      </c>
      <c r="U86" s="52">
        <v>126.8</v>
      </c>
      <c r="V86" s="52">
        <v>128.5</v>
      </c>
      <c r="W86" s="52">
        <v>126.8</v>
      </c>
      <c r="X86" s="100">
        <v>130</v>
      </c>
      <c r="Y86" s="100">
        <v>130.1</v>
      </c>
      <c r="Z86" s="100">
        <v>130</v>
      </c>
      <c r="AA86" s="52">
        <v>130.6</v>
      </c>
      <c r="AB86" s="52">
        <v>130.69999999999999</v>
      </c>
      <c r="AC86" s="52">
        <v>130.1</v>
      </c>
      <c r="AD86" s="52">
        <v>129.30000000000001</v>
      </c>
      <c r="AE86" s="52">
        <v>129.4</v>
      </c>
      <c r="AF86" s="101">
        <v>130.30000000000001</v>
      </c>
      <c r="AG86" s="102"/>
      <c r="AH86" s="56">
        <f t="shared" si="16"/>
        <v>130.69999999999999</v>
      </c>
      <c r="AI86" s="57">
        <f t="shared" si="17"/>
        <v>126.1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130.6</v>
      </c>
      <c r="C87" s="52">
        <v>130.69999999999999</v>
      </c>
      <c r="D87" s="52">
        <v>130.6</v>
      </c>
      <c r="E87" s="52">
        <v>131</v>
      </c>
      <c r="F87" s="52">
        <v>130.4</v>
      </c>
      <c r="G87" s="52">
        <v>130.69999999999999</v>
      </c>
      <c r="H87" s="52">
        <v>129.4</v>
      </c>
      <c r="I87" s="52">
        <v>128</v>
      </c>
      <c r="J87" s="52">
        <v>128</v>
      </c>
      <c r="K87" s="52">
        <v>129</v>
      </c>
      <c r="L87" s="52">
        <v>127</v>
      </c>
      <c r="M87" s="52">
        <v>133</v>
      </c>
      <c r="N87" s="52">
        <v>132.9</v>
      </c>
      <c r="O87" s="52">
        <v>133</v>
      </c>
      <c r="P87" s="52">
        <v>134.9</v>
      </c>
      <c r="Q87" s="52">
        <v>134.9</v>
      </c>
      <c r="R87" s="52">
        <v>130.80000000000001</v>
      </c>
      <c r="S87" s="52">
        <v>130.1</v>
      </c>
      <c r="T87" s="52">
        <v>129.4</v>
      </c>
      <c r="U87" s="52">
        <v>129.69999999999999</v>
      </c>
      <c r="V87" s="52">
        <v>132.6</v>
      </c>
      <c r="W87" s="52">
        <v>129.69999999999999</v>
      </c>
      <c r="X87" s="100">
        <v>135.69999999999999</v>
      </c>
      <c r="Y87" s="100">
        <v>135.30000000000001</v>
      </c>
      <c r="Z87" s="100">
        <v>135.69999999999999</v>
      </c>
      <c r="AA87" s="52">
        <v>131</v>
      </c>
      <c r="AB87" s="52">
        <v>135.4</v>
      </c>
      <c r="AC87" s="52">
        <v>134.69999999999999</v>
      </c>
      <c r="AD87" s="52">
        <v>132.6</v>
      </c>
      <c r="AE87" s="52">
        <v>132.9</v>
      </c>
      <c r="AF87" s="101">
        <v>133.1</v>
      </c>
      <c r="AG87" s="102"/>
      <c r="AH87" s="56">
        <f t="shared" si="16"/>
        <v>135.69999999999999</v>
      </c>
      <c r="AI87" s="57">
        <f t="shared" si="17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133.6</v>
      </c>
      <c r="C88" s="104">
        <v>130.9</v>
      </c>
      <c r="D88" s="104">
        <v>133.9</v>
      </c>
      <c r="E88" s="104">
        <v>131.6</v>
      </c>
      <c r="F88" s="104">
        <v>130</v>
      </c>
      <c r="G88" s="104">
        <v>136</v>
      </c>
      <c r="H88" s="104">
        <v>133.30000000000001</v>
      </c>
      <c r="I88" s="104">
        <v>134</v>
      </c>
      <c r="J88" s="104">
        <v>132.80000000000001</v>
      </c>
      <c r="K88" s="104">
        <v>133.1</v>
      </c>
      <c r="L88" s="104">
        <v>136.6</v>
      </c>
      <c r="M88" s="104">
        <v>134.5</v>
      </c>
      <c r="N88" s="104">
        <v>133.80000000000001</v>
      </c>
      <c r="O88" s="104">
        <v>134.80000000000001</v>
      </c>
      <c r="P88" s="104">
        <v>135</v>
      </c>
      <c r="Q88" s="104">
        <v>135</v>
      </c>
      <c r="R88" s="104">
        <v>132.5</v>
      </c>
      <c r="S88" s="104">
        <v>135.1</v>
      </c>
      <c r="T88" s="104">
        <v>135.30000000000001</v>
      </c>
      <c r="U88" s="104">
        <v>135.4</v>
      </c>
      <c r="V88" s="104">
        <v>135</v>
      </c>
      <c r="W88" s="104">
        <v>135.4</v>
      </c>
      <c r="X88" s="100">
        <v>134.6</v>
      </c>
      <c r="Y88" s="100">
        <v>133.1</v>
      </c>
      <c r="Z88" s="100">
        <v>134.6</v>
      </c>
      <c r="AA88" s="104">
        <v>134.5</v>
      </c>
      <c r="AB88" s="104">
        <v>134</v>
      </c>
      <c r="AC88" s="104">
        <v>131.9</v>
      </c>
      <c r="AD88" s="104">
        <v>133.80000000000001</v>
      </c>
      <c r="AE88" s="104">
        <v>133.30000000000001</v>
      </c>
      <c r="AF88" s="105">
        <v>132.9</v>
      </c>
      <c r="AG88" s="106"/>
      <c r="AH88" s="56">
        <f t="shared" si="16"/>
        <v>136.6</v>
      </c>
      <c r="AI88" s="57">
        <f t="shared" si="17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132.80000000000001</v>
      </c>
      <c r="C89" s="52">
        <v>130.9</v>
      </c>
      <c r="D89" s="52">
        <v>134.6</v>
      </c>
      <c r="E89" s="52">
        <v>128.9</v>
      </c>
      <c r="F89" s="52">
        <v>129.1</v>
      </c>
      <c r="G89" s="52">
        <v>131.19999999999999</v>
      </c>
      <c r="H89" s="52">
        <v>128.9</v>
      </c>
      <c r="I89" s="52">
        <v>130.80000000000001</v>
      </c>
      <c r="J89" s="52">
        <v>128.1</v>
      </c>
      <c r="K89" s="52">
        <v>128.5</v>
      </c>
      <c r="L89" s="52">
        <v>130</v>
      </c>
      <c r="M89" s="52">
        <v>129.9</v>
      </c>
      <c r="N89" s="52">
        <v>129.6</v>
      </c>
      <c r="O89" s="52">
        <v>132.30000000000001</v>
      </c>
      <c r="P89" s="52">
        <v>132.80000000000001</v>
      </c>
      <c r="Q89" s="52">
        <v>132.80000000000001</v>
      </c>
      <c r="R89" s="52">
        <v>127.7</v>
      </c>
      <c r="S89" s="52">
        <v>133.6</v>
      </c>
      <c r="T89" s="52">
        <v>133.6</v>
      </c>
      <c r="U89" s="52">
        <v>131.4</v>
      </c>
      <c r="V89" s="52">
        <v>132.6</v>
      </c>
      <c r="W89" s="52">
        <v>131.4</v>
      </c>
      <c r="X89" s="100">
        <v>137</v>
      </c>
      <c r="Y89" s="100">
        <v>134.19999999999999</v>
      </c>
      <c r="Z89" s="100">
        <v>137</v>
      </c>
      <c r="AA89" s="52">
        <v>135.19999999999999</v>
      </c>
      <c r="AB89" s="52">
        <v>134.19999999999999</v>
      </c>
      <c r="AC89" s="52">
        <v>134.30000000000001</v>
      </c>
      <c r="AD89" s="52">
        <v>134.69999999999999</v>
      </c>
      <c r="AE89" s="52">
        <v>134.6</v>
      </c>
      <c r="AF89" s="101">
        <v>134.30000000000001</v>
      </c>
      <c r="AG89" s="102"/>
      <c r="AH89" s="56">
        <f t="shared" si="16"/>
        <v>137</v>
      </c>
      <c r="AI89" s="57">
        <f t="shared" si="17"/>
        <v>127.7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67</v>
      </c>
      <c r="C90" s="107">
        <v>67.099999999999994</v>
      </c>
      <c r="D90" s="107">
        <v>66.599999999999994</v>
      </c>
      <c r="E90" s="107">
        <v>67</v>
      </c>
      <c r="F90" s="107">
        <v>66.3</v>
      </c>
      <c r="G90" s="107">
        <v>66.3</v>
      </c>
      <c r="H90" s="107">
        <v>65.2</v>
      </c>
      <c r="I90" s="107">
        <v>64.900000000000006</v>
      </c>
      <c r="J90" s="107">
        <v>64.400000000000006</v>
      </c>
      <c r="K90" s="107">
        <v>65.099999999999994</v>
      </c>
      <c r="L90" s="107">
        <v>65</v>
      </c>
      <c r="M90" s="107">
        <v>64.8</v>
      </c>
      <c r="N90" s="107">
        <v>64.5</v>
      </c>
      <c r="O90" s="107">
        <v>64.599999999999994</v>
      </c>
      <c r="P90" s="107">
        <v>64.599999999999994</v>
      </c>
      <c r="Q90" s="107">
        <v>64.599999999999994</v>
      </c>
      <c r="R90" s="107">
        <v>64.400000000000006</v>
      </c>
      <c r="S90" s="107">
        <v>64.900000000000006</v>
      </c>
      <c r="T90" s="107">
        <v>64.400000000000006</v>
      </c>
      <c r="U90" s="107">
        <v>64.900000000000006</v>
      </c>
      <c r="V90" s="107">
        <v>65.2</v>
      </c>
      <c r="W90" s="107">
        <v>64.900000000000006</v>
      </c>
      <c r="X90" s="107">
        <v>65.7</v>
      </c>
      <c r="Y90" s="107">
        <v>65.599999999999994</v>
      </c>
      <c r="Z90" s="107">
        <v>65.7</v>
      </c>
      <c r="AA90" s="107">
        <v>65.599999999999994</v>
      </c>
      <c r="AB90" s="107">
        <v>65.900000000000006</v>
      </c>
      <c r="AC90" s="107">
        <v>66</v>
      </c>
      <c r="AD90" s="107">
        <v>67.2</v>
      </c>
      <c r="AE90" s="107">
        <v>66.5</v>
      </c>
      <c r="AF90" s="108">
        <v>66.7</v>
      </c>
      <c r="AG90" s="109"/>
      <c r="AH90" s="56">
        <f t="shared" si="16"/>
        <v>67.2</v>
      </c>
      <c r="AI90" s="57">
        <f t="shared" si="17"/>
        <v>64.400000000000006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132.23999999999998</v>
      </c>
      <c r="C92" s="114">
        <f t="shared" ref="C92:AF92" si="21">SUM(C15,C18,C21:C22,C41,C43:C44,C46,C48,C93:C96,C101,C107,C113,C122,C124,C136,C143,C146:C147,C154,C156,C158,C162:C164,C166:C168,C173,C179:C180,C182:C184,C192,C197)</f>
        <v>130.53999999999996</v>
      </c>
      <c r="D92" s="114">
        <f t="shared" si="21"/>
        <v>128.83999999999995</v>
      </c>
      <c r="E92" s="114">
        <f t="shared" si="21"/>
        <v>153.94</v>
      </c>
      <c r="F92" s="115">
        <f t="shared" si="21"/>
        <v>160.44</v>
      </c>
      <c r="G92" s="115">
        <f t="shared" si="21"/>
        <v>206.33999999999997</v>
      </c>
      <c r="H92" s="115">
        <f t="shared" si="21"/>
        <v>230.64</v>
      </c>
      <c r="I92" s="115">
        <f t="shared" si="21"/>
        <v>277.74</v>
      </c>
      <c r="J92" s="115">
        <f t="shared" si="21"/>
        <v>292.74000000000007</v>
      </c>
      <c r="K92" s="115">
        <f t="shared" si="21"/>
        <v>307.44000000000005</v>
      </c>
      <c r="L92" s="115">
        <f t="shared" si="21"/>
        <v>298.94</v>
      </c>
      <c r="M92" s="115">
        <f t="shared" si="21"/>
        <v>281.64000000000004</v>
      </c>
      <c r="N92" s="115">
        <f t="shared" si="21"/>
        <v>276.44</v>
      </c>
      <c r="O92" s="115">
        <f t="shared" si="21"/>
        <v>262.54000000000002</v>
      </c>
      <c r="P92" s="115">
        <f t="shared" si="21"/>
        <v>253.93999999999997</v>
      </c>
      <c r="Q92" s="115">
        <f t="shared" si="21"/>
        <v>235.43999999999994</v>
      </c>
      <c r="R92" s="115">
        <f t="shared" si="21"/>
        <v>244.43999999999997</v>
      </c>
      <c r="S92" s="115">
        <f t="shared" si="21"/>
        <v>233.33999999999997</v>
      </c>
      <c r="T92" s="115">
        <f t="shared" si="21"/>
        <v>261.14000000000004</v>
      </c>
      <c r="U92" s="115">
        <f t="shared" si="21"/>
        <v>288.94</v>
      </c>
      <c r="V92" s="115">
        <f t="shared" si="21"/>
        <v>328.84000000000003</v>
      </c>
      <c r="W92" s="115">
        <f t="shared" si="21"/>
        <v>358.14000000000004</v>
      </c>
      <c r="X92" s="115">
        <f t="shared" si="21"/>
        <v>347.84000000000003</v>
      </c>
      <c r="Y92" s="115">
        <f t="shared" si="21"/>
        <v>325.04000000000002</v>
      </c>
      <c r="Z92" s="115">
        <f t="shared" si="21"/>
        <v>348.24000000000007</v>
      </c>
      <c r="AA92" s="115">
        <f t="shared" si="21"/>
        <v>286.74000000000007</v>
      </c>
      <c r="AB92" s="115">
        <f t="shared" si="21"/>
        <v>269.24</v>
      </c>
      <c r="AC92" s="115">
        <f t="shared" si="21"/>
        <v>238.33999999999995</v>
      </c>
      <c r="AD92" s="115">
        <f t="shared" si="21"/>
        <v>189.04000000000002</v>
      </c>
      <c r="AE92" s="115">
        <f t="shared" si="21"/>
        <v>153.23999999999998</v>
      </c>
      <c r="AF92" s="115">
        <f t="shared" si="21"/>
        <v>135.93999999999997</v>
      </c>
      <c r="AG92" s="116"/>
      <c r="AH92" s="56">
        <f>MAX(B92:AF92)</f>
        <v>358.14000000000004</v>
      </c>
      <c r="AI92" s="57">
        <f>MIN(B92:AF92)</f>
        <v>128.83999999999995</v>
      </c>
    </row>
    <row r="93" spans="1:88" x14ac:dyDescent="0.25">
      <c r="A93" s="117" t="s">
        <v>96</v>
      </c>
      <c r="B93" s="60">
        <v>20.399999999999999</v>
      </c>
      <c r="C93" s="60">
        <v>9.4</v>
      </c>
      <c r="D93" s="60">
        <v>20.6</v>
      </c>
      <c r="E93" s="60">
        <v>1.8</v>
      </c>
      <c r="F93" s="118">
        <v>11.4</v>
      </c>
      <c r="G93" s="118">
        <v>23.9</v>
      </c>
      <c r="H93" s="118">
        <v>28.2</v>
      </c>
      <c r="I93" s="118">
        <v>46</v>
      </c>
      <c r="J93" s="118">
        <v>43.9</v>
      </c>
      <c r="K93" s="118">
        <v>48.5</v>
      </c>
      <c r="L93" s="118">
        <v>48.5</v>
      </c>
      <c r="M93" s="118">
        <v>49.8</v>
      </c>
      <c r="N93" s="118">
        <v>52.3</v>
      </c>
      <c r="O93" s="118">
        <v>57.7</v>
      </c>
      <c r="P93" s="118">
        <v>58.4</v>
      </c>
      <c r="Q93" s="118">
        <v>46.8</v>
      </c>
      <c r="R93" s="118">
        <v>63.4</v>
      </c>
      <c r="S93" s="118">
        <v>59.9</v>
      </c>
      <c r="T93" s="54">
        <v>55.8</v>
      </c>
      <c r="U93" s="54">
        <v>45.2</v>
      </c>
      <c r="V93" s="54">
        <v>41.4</v>
      </c>
      <c r="W93" s="118">
        <v>24.3</v>
      </c>
      <c r="X93" s="118">
        <v>32.700000000000003</v>
      </c>
      <c r="Y93" s="118">
        <v>33.700000000000003</v>
      </c>
      <c r="Z93" s="118">
        <v>32.700000000000003</v>
      </c>
      <c r="AA93" s="54">
        <v>48.7</v>
      </c>
      <c r="AB93" s="54">
        <v>44.5</v>
      </c>
      <c r="AC93" s="54">
        <v>51.2</v>
      </c>
      <c r="AD93" s="54">
        <v>39.299999999999997</v>
      </c>
      <c r="AE93" s="54">
        <v>18.899999999999999</v>
      </c>
      <c r="AF93" s="119">
        <v>23.6</v>
      </c>
      <c r="AG93" s="120">
        <v>75</v>
      </c>
      <c r="AH93" s="56">
        <f t="shared" ref="AH93:AH98" si="22">IF(ABS(MAX(B93:AF93))&gt;ABS(MIN(B93:AF93)),MAX(B93:AF93),MIN(B93:AF93))</f>
        <v>63.4</v>
      </c>
      <c r="AI93" s="121">
        <f t="shared" ref="AI93:AI98" si="23">INDEX($B$9:$AF$9,1,MATCH(AH93,B93:AF93,0))</f>
        <v>0.58333333333333304</v>
      </c>
    </row>
    <row r="94" spans="1:88" x14ac:dyDescent="0.25">
      <c r="A94" s="122" t="s">
        <v>97</v>
      </c>
      <c r="B94" s="62">
        <v>-72.599999999999994</v>
      </c>
      <c r="C94" s="62">
        <v>-63.9</v>
      </c>
      <c r="D94" s="62">
        <v>-65.3</v>
      </c>
      <c r="E94" s="62">
        <v>-60</v>
      </c>
      <c r="F94" s="62">
        <v>-60</v>
      </c>
      <c r="G94" s="62">
        <v>-60.5</v>
      </c>
      <c r="H94" s="62">
        <v>-57</v>
      </c>
      <c r="I94" s="62">
        <v>-41</v>
      </c>
      <c r="J94" s="62">
        <v>-39.5</v>
      </c>
      <c r="K94" s="62">
        <v>-34.6</v>
      </c>
      <c r="L94" s="62">
        <f>-15-21.8</f>
        <v>-36.799999999999997</v>
      </c>
      <c r="M94" s="62">
        <f>-19-24.6</f>
        <v>-43.6</v>
      </c>
      <c r="N94" s="62">
        <f>-18.6-23.7</f>
        <v>-42.3</v>
      </c>
      <c r="O94" s="62">
        <v>-40.700000000000003</v>
      </c>
      <c r="P94" s="62">
        <f>-21.7-26.1</f>
        <v>-47.8</v>
      </c>
      <c r="Q94" s="62">
        <f>-22.6-29.3</f>
        <v>-51.900000000000006</v>
      </c>
      <c r="R94" s="62">
        <v>-51.5</v>
      </c>
      <c r="S94" s="62">
        <v>-55.9</v>
      </c>
      <c r="T94" s="62">
        <v>-51.7</v>
      </c>
      <c r="U94" s="62">
        <v>-40</v>
      </c>
      <c r="V94" s="62">
        <v>-28.6</v>
      </c>
      <c r="W94" s="62">
        <v>-10.7</v>
      </c>
      <c r="X94" s="62">
        <v>-19</v>
      </c>
      <c r="Y94" s="62">
        <v>-26.5</v>
      </c>
      <c r="Z94" s="62">
        <v>-19</v>
      </c>
      <c r="AA94" s="52">
        <v>-38</v>
      </c>
      <c r="AB94" s="52">
        <v>-44</v>
      </c>
      <c r="AC94" s="52">
        <v>-37</v>
      </c>
      <c r="AD94" s="52">
        <v>-45</v>
      </c>
      <c r="AE94" s="52">
        <v>-53</v>
      </c>
      <c r="AF94" s="123">
        <v>-72</v>
      </c>
      <c r="AG94" s="120">
        <v>240</v>
      </c>
      <c r="AH94" s="56">
        <f t="shared" si="22"/>
        <v>-72.599999999999994</v>
      </c>
      <c r="AI94" s="121">
        <f t="shared" si="23"/>
        <v>4.1666666666666664E-2</v>
      </c>
    </row>
    <row r="95" spans="1:88" x14ac:dyDescent="0.25">
      <c r="A95" s="122" t="s">
        <v>98</v>
      </c>
      <c r="B95" s="62">
        <v>-7.9</v>
      </c>
      <c r="C95" s="62">
        <v>-2.6</v>
      </c>
      <c r="D95" s="62">
        <v>-9</v>
      </c>
      <c r="E95" s="62">
        <v>-3.5</v>
      </c>
      <c r="F95" s="62">
        <v>-5.9</v>
      </c>
      <c r="G95" s="62">
        <v>1.1000000000000001</v>
      </c>
      <c r="H95" s="62">
        <v>-5.2</v>
      </c>
      <c r="I95" s="62">
        <v>-1.8</v>
      </c>
      <c r="J95" s="62">
        <v>3.4</v>
      </c>
      <c r="K95" s="62">
        <v>24.5</v>
      </c>
      <c r="L95" s="62">
        <v>18.399999999999999</v>
      </c>
      <c r="M95" s="62">
        <v>6.9</v>
      </c>
      <c r="N95" s="62">
        <v>4.2</v>
      </c>
      <c r="O95" s="62">
        <v>5.6</v>
      </c>
      <c r="P95" s="62">
        <v>0</v>
      </c>
      <c r="Q95" s="62">
        <v>0</v>
      </c>
      <c r="R95" s="62">
        <v>2.7</v>
      </c>
      <c r="S95" s="62">
        <v>0</v>
      </c>
      <c r="T95" s="62">
        <v>-0.4</v>
      </c>
      <c r="U95" s="62">
        <v>10.3</v>
      </c>
      <c r="V95" s="62">
        <v>23.6</v>
      </c>
      <c r="W95" s="62">
        <v>43.5</v>
      </c>
      <c r="X95" s="62">
        <v>39.4</v>
      </c>
      <c r="Y95" s="62">
        <v>21.3</v>
      </c>
      <c r="Z95" s="62">
        <v>39.4</v>
      </c>
      <c r="AA95" s="52">
        <v>5.8</v>
      </c>
      <c r="AB95" s="52">
        <v>4.3</v>
      </c>
      <c r="AC95" s="52">
        <v>4</v>
      </c>
      <c r="AD95" s="52">
        <v>6.3</v>
      </c>
      <c r="AE95" s="52">
        <v>-5.2</v>
      </c>
      <c r="AF95" s="123">
        <v>-7.1</v>
      </c>
      <c r="AG95" s="120">
        <v>60</v>
      </c>
      <c r="AH95" s="56">
        <f t="shared" si="22"/>
        <v>43.5</v>
      </c>
      <c r="AI95" s="121">
        <f t="shared" si="23"/>
        <v>0.75</v>
      </c>
    </row>
    <row r="96" spans="1:88" x14ac:dyDescent="0.25">
      <c r="A96" s="124" t="s">
        <v>99</v>
      </c>
      <c r="B96" s="65">
        <v>6</v>
      </c>
      <c r="C96" s="65">
        <v>12.4</v>
      </c>
      <c r="D96" s="65">
        <v>6.3</v>
      </c>
      <c r="E96" s="65">
        <v>20</v>
      </c>
      <c r="F96" s="65">
        <v>19.3</v>
      </c>
      <c r="G96" s="65">
        <v>25.6</v>
      </c>
      <c r="H96" s="65">
        <v>39</v>
      </c>
      <c r="I96" s="65">
        <v>48.9</v>
      </c>
      <c r="J96" s="65">
        <v>59.3</v>
      </c>
      <c r="K96" s="65">
        <v>43.4</v>
      </c>
      <c r="L96" s="65">
        <v>41.8</v>
      </c>
      <c r="M96" s="65">
        <v>46.7</v>
      </c>
      <c r="N96" s="65">
        <v>45.7</v>
      </c>
      <c r="O96" s="65">
        <v>36.799999999999997</v>
      </c>
      <c r="P96" s="65">
        <v>31.6</v>
      </c>
      <c r="Q96" s="65">
        <v>38.1</v>
      </c>
      <c r="R96" s="65">
        <v>26.4</v>
      </c>
      <c r="S96" s="65">
        <v>25.9</v>
      </c>
      <c r="T96" s="65">
        <v>36.1</v>
      </c>
      <c r="U96" s="65">
        <v>52.1</v>
      </c>
      <c r="V96" s="65">
        <v>71.099999999999994</v>
      </c>
      <c r="W96" s="65">
        <v>79.7</v>
      </c>
      <c r="X96" s="65">
        <v>73.400000000000006</v>
      </c>
      <c r="Y96" s="65">
        <v>75.2</v>
      </c>
      <c r="Z96" s="65">
        <v>73.400000000000006</v>
      </c>
      <c r="AA96" s="125">
        <v>48.5</v>
      </c>
      <c r="AB96" s="125">
        <v>42.7</v>
      </c>
      <c r="AC96" s="125">
        <v>34.1</v>
      </c>
      <c r="AD96" s="125">
        <v>16.3</v>
      </c>
      <c r="AE96" s="125">
        <v>20.6</v>
      </c>
      <c r="AF96" s="126">
        <v>0.1</v>
      </c>
      <c r="AG96" s="127">
        <v>120</v>
      </c>
      <c r="AH96" s="56">
        <f t="shared" si="22"/>
        <v>79.7</v>
      </c>
      <c r="AI96" s="121">
        <f t="shared" si="23"/>
        <v>0.75</v>
      </c>
    </row>
    <row r="97" spans="1:37" x14ac:dyDescent="0.25">
      <c r="A97" s="124" t="s">
        <v>100</v>
      </c>
      <c r="B97" s="65">
        <v>24</v>
      </c>
      <c r="C97" s="65">
        <v>27.8</v>
      </c>
      <c r="D97" s="65">
        <v>21.4</v>
      </c>
      <c r="E97" s="65">
        <v>34</v>
      </c>
      <c r="F97" s="65">
        <v>32.1</v>
      </c>
      <c r="G97" s="65">
        <v>32.299999999999997</v>
      </c>
      <c r="H97" s="65">
        <v>46</v>
      </c>
      <c r="I97" s="65">
        <v>48.3</v>
      </c>
      <c r="J97" s="65">
        <v>52.3</v>
      </c>
      <c r="K97" s="65">
        <v>37.299999999999997</v>
      </c>
      <c r="L97" s="65">
        <v>36.6</v>
      </c>
      <c r="M97" s="65">
        <v>45.6</v>
      </c>
      <c r="N97" s="65">
        <v>45.5</v>
      </c>
      <c r="O97" s="65">
        <v>38.1</v>
      </c>
      <c r="P97" s="65">
        <v>38.5</v>
      </c>
      <c r="Q97" s="65">
        <v>39.200000000000003</v>
      </c>
      <c r="R97" s="65">
        <v>34.200000000000003</v>
      </c>
      <c r="S97" s="65">
        <v>30.4</v>
      </c>
      <c r="T97" s="65">
        <v>36.1</v>
      </c>
      <c r="U97" s="65">
        <v>45.2</v>
      </c>
      <c r="V97" s="65">
        <v>53.1</v>
      </c>
      <c r="W97" s="65">
        <v>56.4</v>
      </c>
      <c r="X97" s="65">
        <v>55.9</v>
      </c>
      <c r="Y97" s="65">
        <v>61.1</v>
      </c>
      <c r="Z97" s="65">
        <v>55.9</v>
      </c>
      <c r="AA97" s="125">
        <v>42.5</v>
      </c>
      <c r="AB97" s="125">
        <v>41.1</v>
      </c>
      <c r="AC97" s="125">
        <v>35.1</v>
      </c>
      <c r="AD97" s="125">
        <v>24</v>
      </c>
      <c r="AE97" s="125">
        <v>33.9</v>
      </c>
      <c r="AF97" s="126">
        <v>16.600000000000001</v>
      </c>
      <c r="AG97" s="127"/>
      <c r="AH97" s="56">
        <f t="shared" si="22"/>
        <v>61.1</v>
      </c>
      <c r="AI97" s="121">
        <f t="shared" si="23"/>
        <v>0.79166666666666663</v>
      </c>
    </row>
    <row r="98" spans="1:37" ht="15.75" thickBot="1" x14ac:dyDescent="0.3">
      <c r="A98" s="124" t="s">
        <v>101</v>
      </c>
      <c r="B98" s="65">
        <v>41.7</v>
      </c>
      <c r="C98" s="65">
        <v>54.3</v>
      </c>
      <c r="D98" s="65">
        <v>46.1</v>
      </c>
      <c r="E98" s="65">
        <v>70</v>
      </c>
      <c r="F98" s="65">
        <v>71.3</v>
      </c>
      <c r="G98" s="65">
        <v>72</v>
      </c>
      <c r="H98" s="65">
        <v>64.5</v>
      </c>
      <c r="I98" s="65">
        <v>47.1</v>
      </c>
      <c r="J98" s="65">
        <v>43.9</v>
      </c>
      <c r="K98" s="65">
        <v>36.9</v>
      </c>
      <c r="L98" s="65">
        <v>28.1</v>
      </c>
      <c r="M98" s="65">
        <v>28.1</v>
      </c>
      <c r="N98" s="65">
        <v>24.2</v>
      </c>
      <c r="O98" s="65">
        <v>20.5</v>
      </c>
      <c r="P98" s="65">
        <v>15.6</v>
      </c>
      <c r="Q98" s="65">
        <v>20.100000000000001</v>
      </c>
      <c r="R98" s="65">
        <v>31.5</v>
      </c>
      <c r="S98" s="65">
        <v>19.899999999999999</v>
      </c>
      <c r="T98" s="65">
        <v>20.7</v>
      </c>
      <c r="U98" s="65">
        <v>37.6</v>
      </c>
      <c r="V98" s="65">
        <v>41.9</v>
      </c>
      <c r="W98" s="65">
        <v>60</v>
      </c>
      <c r="X98" s="65">
        <v>55.2</v>
      </c>
      <c r="Y98" s="65">
        <v>53.5</v>
      </c>
      <c r="Z98" s="65">
        <v>55.2</v>
      </c>
      <c r="AA98" s="125">
        <v>28</v>
      </c>
      <c r="AB98" s="125">
        <v>28</v>
      </c>
      <c r="AC98" s="125">
        <v>22.8</v>
      </c>
      <c r="AD98" s="125">
        <v>27.2</v>
      </c>
      <c r="AE98" s="125">
        <v>35.9</v>
      </c>
      <c r="AF98" s="126">
        <v>39.6</v>
      </c>
      <c r="AG98" s="128"/>
      <c r="AH98" s="56">
        <f t="shared" si="22"/>
        <v>72</v>
      </c>
      <c r="AI98" s="121">
        <f t="shared" si="23"/>
        <v>0.22916666666666666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1144.94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29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2078/07/29)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2078/07/29)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791.63999999999987</v>
      </c>
      <c r="U212" s="173">
        <f t="shared" si="52"/>
        <v>769.2399999999999</v>
      </c>
      <c r="V212" s="173">
        <f t="shared" si="52"/>
        <v>783.53999999999985</v>
      </c>
      <c r="W212" s="173">
        <f t="shared" si="52"/>
        <v>806.63999999999987</v>
      </c>
      <c r="X212" s="173">
        <f t="shared" si="52"/>
        <v>846.53999999999985</v>
      </c>
      <c r="Y212" s="173">
        <f t="shared" si="52"/>
        <v>910.13999999999987</v>
      </c>
      <c r="Z212" s="173">
        <f t="shared" si="52"/>
        <v>1027.54</v>
      </c>
      <c r="AA212" s="173">
        <f t="shared" si="52"/>
        <v>1078.54</v>
      </c>
      <c r="AB212" s="173">
        <f t="shared" si="52"/>
        <v>1135.54</v>
      </c>
      <c r="AC212" s="173">
        <f t="shared" si="52"/>
        <v>1143.54</v>
      </c>
      <c r="AD212" s="173">
        <f t="shared" si="52"/>
        <v>1144.94</v>
      </c>
      <c r="AE212" s="173">
        <f t="shared" si="52"/>
        <v>1121.54</v>
      </c>
      <c r="AF212" s="173">
        <f t="shared" si="52"/>
        <v>1074.6399999999999</v>
      </c>
      <c r="AG212" s="173">
        <f t="shared" si="52"/>
        <v>1031.54</v>
      </c>
      <c r="AH212" s="173">
        <f t="shared" si="52"/>
        <v>996.24</v>
      </c>
      <c r="AI212" s="173">
        <f t="shared" si="52"/>
        <v>1015.8399999999999</v>
      </c>
      <c r="AJ212" s="173">
        <f t="shared" si="52"/>
        <v>1013.8399999999999</v>
      </c>
      <c r="AK212" s="173">
        <f t="shared" si="52"/>
        <v>1000.8399999999999</v>
      </c>
      <c r="AL212" s="173">
        <f t="shared" si="52"/>
        <v>1056.8399999999999</v>
      </c>
      <c r="AM212" s="173">
        <f t="shared" si="52"/>
        <v>1137.6399999999999</v>
      </c>
      <c r="AN212" s="173">
        <f t="shared" si="52"/>
        <v>1257.6400000000001</v>
      </c>
      <c r="AO212" s="173">
        <f t="shared" si="52"/>
        <v>1384.64</v>
      </c>
      <c r="AP212" s="173">
        <f t="shared" si="52"/>
        <v>1306.44</v>
      </c>
      <c r="AQ212" s="173">
        <f t="shared" si="52"/>
        <v>1243.6400000000001</v>
      </c>
      <c r="AR212" s="173">
        <f t="shared" si="52"/>
        <v>1159.3399999999999</v>
      </c>
      <c r="AS212" s="173">
        <f t="shared" si="52"/>
        <v>1082.04</v>
      </c>
      <c r="AT212" s="173">
        <f t="shared" si="52"/>
        <v>1039.04</v>
      </c>
      <c r="AU212" s="173">
        <f t="shared" si="52"/>
        <v>936.43999999999994</v>
      </c>
      <c r="AV212" s="173">
        <f t="shared" si="52"/>
        <v>814.93999999999983</v>
      </c>
      <c r="AW212" s="173">
        <f t="shared" si="52"/>
        <v>753.83999999999992</v>
      </c>
      <c r="AX212" s="173">
        <f t="shared" si="52"/>
        <v>774.04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96" priority="450">
      <formula>S$9&gt;=20/24</formula>
    </cfRule>
    <cfRule type="expression" dxfId="995" priority="451">
      <formula>AND(S$9&gt;=14/24,S$9&lt;20/24)</formula>
    </cfRule>
    <cfRule type="expression" dxfId="994" priority="452">
      <formula>AND(S$9&gt;=8/24,S$9&lt;14/24)</formula>
    </cfRule>
    <cfRule type="expression" dxfId="993" priority="453">
      <formula>S$9&lt;8/24</formula>
    </cfRule>
  </conditionalFormatting>
  <conditionalFormatting sqref="B8:AF10 AA80:AF80 B80:Q80 B55:AF55 B81:AF81 C192:AF198 B67:AF71 T211:AX211 X84:Y90 AA83:AF90 B73:AF77 B79:AF79 D56:N60 O36:Q36 O38:Q41 R39:U40 L12:T13 T41:U41 L11:AD11 O44:V47 O57:V66 V39:AD39 AB40:AD42 V40:AA41 AA12:AF13 W18:AF30 L52:AF54 AE56:AF58">
    <cfRule type="expression" dxfId="992" priority="446">
      <formula>B$9&gt;=20/24</formula>
    </cfRule>
    <cfRule type="expression" dxfId="991" priority="447">
      <formula>AND(B$9&gt;=14/24,B$9&lt;20/24)</formula>
    </cfRule>
    <cfRule type="expression" dxfId="990" priority="448">
      <formula>AND(B$9&gt;=8/24,B$9&lt;14/24)</formula>
    </cfRule>
    <cfRule type="expression" dxfId="989" priority="449">
      <formula>B$9&lt;8/24</formula>
    </cfRule>
  </conditionalFormatting>
  <conditionalFormatting sqref="B190:AF190">
    <cfRule type="expression" dxfId="988" priority="442">
      <formula>B$9&gt;=20/24</formula>
    </cfRule>
    <cfRule type="expression" dxfId="987" priority="443">
      <formula>AND(B$9&gt;=14/24,B$9&lt;20/24)</formula>
    </cfRule>
    <cfRule type="expression" dxfId="986" priority="444">
      <formula>AND(B$9&gt;=8/24,B$9&lt;14/24)</formula>
    </cfRule>
    <cfRule type="expression" dxfId="985" priority="445">
      <formula>B$9&lt;8/24</formula>
    </cfRule>
  </conditionalFormatting>
  <conditionalFormatting sqref="AL4:AL6">
    <cfRule type="iconSet" priority="441">
      <iconSet iconSet="3TrafficLights2" reverse="1">
        <cfvo type="percent" val="0"/>
        <cfvo type="num" val="1"/>
        <cfvo type="num" val="1"/>
      </iconSet>
    </cfRule>
  </conditionalFormatting>
  <conditionalFormatting sqref="O56:R56">
    <cfRule type="expression" dxfId="984" priority="437">
      <formula>O$9&gt;=20/24</formula>
    </cfRule>
    <cfRule type="expression" dxfId="983" priority="438">
      <formula>AND(O$9&gt;=14/24,O$9&lt;20/24)</formula>
    </cfRule>
    <cfRule type="expression" dxfId="982" priority="439">
      <formula>AND(O$9&gt;=8/24,O$9&lt;14/24)</formula>
    </cfRule>
    <cfRule type="expression" dxfId="981" priority="440">
      <formula>O$9&lt;8/24</formula>
    </cfRule>
  </conditionalFormatting>
  <conditionalFormatting sqref="O42:Q42">
    <cfRule type="expression" dxfId="980" priority="433">
      <formula>O$9&gt;=20/24</formula>
    </cfRule>
    <cfRule type="expression" dxfId="979" priority="434">
      <formula>AND(O$9&gt;=14/24,O$9&lt;20/24)</formula>
    </cfRule>
    <cfRule type="expression" dxfId="978" priority="435">
      <formula>AND(O$9&gt;=8/24,O$9&lt;14/24)</formula>
    </cfRule>
    <cfRule type="expression" dxfId="977" priority="436">
      <formula>O$9&lt;8/24</formula>
    </cfRule>
  </conditionalFormatting>
  <conditionalFormatting sqref="R38:AD38">
    <cfRule type="expression" dxfId="976" priority="425">
      <formula>R$9&gt;=20/24</formula>
    </cfRule>
    <cfRule type="expression" dxfId="975" priority="426">
      <formula>AND(R$9&gt;=14/24,R$9&lt;20/24)</formula>
    </cfRule>
    <cfRule type="expression" dxfId="974" priority="427">
      <formula>AND(R$9&gt;=8/24,R$9&lt;14/24)</formula>
    </cfRule>
    <cfRule type="expression" dxfId="973" priority="428">
      <formula>R$9&lt;8/24</formula>
    </cfRule>
  </conditionalFormatting>
  <conditionalFormatting sqref="S56:AD56">
    <cfRule type="expression" dxfId="972" priority="421">
      <formula>S$9&gt;=20/24</formula>
    </cfRule>
    <cfRule type="expression" dxfId="971" priority="422">
      <formula>AND(S$9&gt;=14/24,S$9&lt;20/24)</formula>
    </cfRule>
    <cfRule type="expression" dxfId="970" priority="423">
      <formula>AND(S$9&gt;=8/24,S$9&lt;14/24)</formula>
    </cfRule>
    <cfRule type="expression" dxfId="969" priority="424">
      <formula>S$9&lt;8/24</formula>
    </cfRule>
  </conditionalFormatting>
  <conditionalFormatting sqref="R80:Z80">
    <cfRule type="expression" dxfId="968" priority="417">
      <formula>R$9&gt;=20/24</formula>
    </cfRule>
    <cfRule type="expression" dxfId="967" priority="418">
      <formula>AND(R$9&gt;=14/24,R$9&lt;20/24)</formula>
    </cfRule>
    <cfRule type="expression" dxfId="966" priority="419">
      <formula>AND(R$9&gt;=8/24,R$9&lt;14/24)</formula>
    </cfRule>
    <cfRule type="expression" dxfId="965" priority="420">
      <formula>R$9&lt;8/24</formula>
    </cfRule>
  </conditionalFormatting>
  <conditionalFormatting sqref="T83:Y83">
    <cfRule type="expression" dxfId="964" priority="413">
      <formula>T$9&gt;=20/24</formula>
    </cfRule>
    <cfRule type="expression" dxfId="963" priority="414">
      <formula>AND(T$9&gt;=14/24,T$9&lt;20/24)</formula>
    </cfRule>
    <cfRule type="expression" dxfId="962" priority="415">
      <formula>AND(T$9&gt;=8/24,T$9&lt;14/24)</formula>
    </cfRule>
    <cfRule type="expression" dxfId="961" priority="416">
      <formula>T$9&lt;8/24</formula>
    </cfRule>
  </conditionalFormatting>
  <conditionalFormatting sqref="O48:V48">
    <cfRule type="expression" dxfId="960" priority="405">
      <formula>O$9&gt;=20/24</formula>
    </cfRule>
    <cfRule type="expression" dxfId="959" priority="406">
      <formula>AND(O$9&gt;=14/24,O$9&lt;20/24)</formula>
    </cfRule>
    <cfRule type="expression" dxfId="958" priority="407">
      <formula>AND(O$9&gt;=8/24,O$9&lt;14/24)</formula>
    </cfRule>
    <cfRule type="expression" dxfId="957" priority="408">
      <formula>O$9&lt;8/24</formula>
    </cfRule>
  </conditionalFormatting>
  <conditionalFormatting sqref="O49:V49">
    <cfRule type="expression" dxfId="956" priority="401">
      <formula>O$9&gt;=20/24</formula>
    </cfRule>
    <cfRule type="expression" dxfId="955" priority="402">
      <formula>AND(O$9&gt;=14/24,O$9&lt;20/24)</formula>
    </cfRule>
    <cfRule type="expression" dxfId="954" priority="403">
      <formula>AND(O$9&gt;=8/24,O$9&lt;14/24)</formula>
    </cfRule>
    <cfRule type="expression" dxfId="953" priority="404">
      <formula>O$9&lt;8/24</formula>
    </cfRule>
  </conditionalFormatting>
  <conditionalFormatting sqref="O44:V47">
    <cfRule type="expression" dxfId="952" priority="397">
      <formula>O$9&gt;=20/24</formula>
    </cfRule>
    <cfRule type="expression" dxfId="951" priority="398">
      <formula>AND(O$9&gt;=14/24,O$9&lt;20/24)</formula>
    </cfRule>
    <cfRule type="expression" dxfId="950" priority="399">
      <formula>AND(O$9&gt;=8/24,O$9&lt;14/24)</formula>
    </cfRule>
    <cfRule type="expression" dxfId="949" priority="400">
      <formula>O$9&lt;8/24</formula>
    </cfRule>
  </conditionalFormatting>
  <conditionalFormatting sqref="R36:AD36">
    <cfRule type="expression" dxfId="948" priority="393">
      <formula>R$9&gt;=20/24</formula>
    </cfRule>
    <cfRule type="expression" dxfId="947" priority="394">
      <formula>AND(R$9&gt;=14/24,R$9&lt;20/24)</formula>
    </cfRule>
    <cfRule type="expression" dxfId="946" priority="395">
      <formula>AND(R$9&gt;=8/24,R$9&lt;14/24)</formula>
    </cfRule>
    <cfRule type="expression" dxfId="945" priority="396">
      <formula>R$9&lt;8/24</formula>
    </cfRule>
  </conditionalFormatting>
  <conditionalFormatting sqref="W31:AF32 W34:AF34">
    <cfRule type="expression" dxfId="944" priority="389">
      <formula>W$9&gt;=20/24</formula>
    </cfRule>
    <cfRule type="expression" dxfId="943" priority="390">
      <formula>AND(W$9&gt;=14/24,W$9&lt;20/24)</formula>
    </cfRule>
    <cfRule type="expression" dxfId="942" priority="391">
      <formula>AND(W$9&gt;=8/24,W$9&lt;14/24)</formula>
    </cfRule>
    <cfRule type="expression" dxfId="941" priority="392">
      <formula>W$9&lt;8/24</formula>
    </cfRule>
  </conditionalFormatting>
  <conditionalFormatting sqref="R41:S42 T42:AA42 W44:AD47">
    <cfRule type="expression" dxfId="940" priority="385">
      <formula>R$9&gt;=20/24</formula>
    </cfRule>
    <cfRule type="expression" dxfId="939" priority="386">
      <formula>AND(R$9&gt;=14/24,R$9&lt;20/24)</formula>
    </cfRule>
    <cfRule type="expression" dxfId="938" priority="387">
      <formula>AND(R$9&gt;=8/24,R$9&lt;14/24)</formula>
    </cfRule>
    <cfRule type="expression" dxfId="937" priority="388">
      <formula>R$9&lt;8/24</formula>
    </cfRule>
  </conditionalFormatting>
  <conditionalFormatting sqref="W48:AD48">
    <cfRule type="expression" dxfId="936" priority="381">
      <formula>W$9&gt;=20/24</formula>
    </cfRule>
    <cfRule type="expression" dxfId="935" priority="382">
      <formula>AND(W$9&gt;=14/24,W$9&lt;20/24)</formula>
    </cfRule>
    <cfRule type="expression" dxfId="934" priority="383">
      <formula>AND(W$9&gt;=8/24,W$9&lt;14/24)</formula>
    </cfRule>
    <cfRule type="expression" dxfId="933" priority="384">
      <formula>W$9&lt;8/24</formula>
    </cfRule>
  </conditionalFormatting>
  <conditionalFormatting sqref="W49:AD49">
    <cfRule type="expression" dxfId="932" priority="377">
      <formula>W$9&gt;=20/24</formula>
    </cfRule>
    <cfRule type="expression" dxfId="931" priority="378">
      <formula>AND(W$9&gt;=14/24,W$9&lt;20/24)</formula>
    </cfRule>
    <cfRule type="expression" dxfId="930" priority="379">
      <formula>AND(W$9&gt;=8/24,W$9&lt;14/24)</formula>
    </cfRule>
    <cfRule type="expression" dxfId="929" priority="380">
      <formula>W$9&lt;8/24</formula>
    </cfRule>
  </conditionalFormatting>
  <conditionalFormatting sqref="W59:AF66">
    <cfRule type="expression" dxfId="928" priority="373">
      <formula>W$9&gt;=20/24</formula>
    </cfRule>
    <cfRule type="expression" dxfId="927" priority="374">
      <formula>AND(W$9&gt;=14/24,W$9&lt;20/24)</formula>
    </cfRule>
    <cfRule type="expression" dxfId="926" priority="375">
      <formula>AND(W$9&gt;=8/24,W$9&lt;14/24)</formula>
    </cfRule>
    <cfRule type="expression" dxfId="925" priority="376">
      <formula>W$9&lt;8/24</formula>
    </cfRule>
  </conditionalFormatting>
  <conditionalFormatting sqref="AA93:AF96">
    <cfRule type="expression" dxfId="924" priority="369">
      <formula>AA$9&gt;=20/24</formula>
    </cfRule>
    <cfRule type="expression" dxfId="923" priority="370">
      <formula>AND(AA$9&gt;=14/24,AA$9&lt;20/24)</formula>
    </cfRule>
    <cfRule type="expression" dxfId="922" priority="371">
      <formula>AND(AA$9&gt;=8/24,AA$9&lt;14/24)</formula>
    </cfRule>
    <cfRule type="expression" dxfId="921" priority="372">
      <formula>AA$9&lt;8/24</formula>
    </cfRule>
  </conditionalFormatting>
  <conditionalFormatting sqref="D61:H61 H62:H66 I61:N66">
    <cfRule type="expression" dxfId="920" priority="365">
      <formula>D$9&gt;=20/24</formula>
    </cfRule>
    <cfRule type="expression" dxfId="919" priority="366">
      <formula>AND(D$9&gt;=14/24,D$9&lt;20/24)</formula>
    </cfRule>
    <cfRule type="expression" dxfId="918" priority="367">
      <formula>AND(D$9&gt;=8/24,D$9&lt;14/24)</formula>
    </cfRule>
    <cfRule type="expression" dxfId="917" priority="368">
      <formula>D$9&lt;8/24</formula>
    </cfRule>
  </conditionalFormatting>
  <conditionalFormatting sqref="T93:Y96">
    <cfRule type="expression" dxfId="916" priority="361">
      <formula>T$9&gt;=20/24</formula>
    </cfRule>
    <cfRule type="expression" dxfId="915" priority="362">
      <formula>AND(T$9&gt;=14/24,T$9&lt;20/24)</formula>
    </cfRule>
    <cfRule type="expression" dxfId="914" priority="363">
      <formula>AND(T$9&gt;=8/24,T$9&lt;14/24)</formula>
    </cfRule>
    <cfRule type="expression" dxfId="913" priority="364">
      <formula>T$9&lt;8/24</formula>
    </cfRule>
  </conditionalFormatting>
  <conditionalFormatting sqref="B37:AF37 C50:K50 O35:S36 D44:K49 C38:K42 B51:K51 T51:AF51 T50:AG50 G12:T13 F11:AE11 T35:V35 T36:AF36 O38:AF42 AA12:AE13 AF11:AF13 W18:AF32 W34:AF35 O44:AF49 B52:AF55">
    <cfRule type="expression" dxfId="912" priority="360">
      <formula>B11&gt;$AG11</formula>
    </cfRule>
  </conditionalFormatting>
  <conditionalFormatting sqref="A99:A155 A83:A96 A11:A14 A16:A32 A44:A71 A79:A81 A73:A77 A34:A42 A168:A199">
    <cfRule type="expression" dxfId="911" priority="359">
      <formula>$AH11=0</formula>
    </cfRule>
  </conditionalFormatting>
  <conditionalFormatting sqref="AA97:AF97">
    <cfRule type="expression" dxfId="910" priority="355">
      <formula>AA$9&gt;=20/24</formula>
    </cfRule>
    <cfRule type="expression" dxfId="909" priority="356">
      <formula>AND(AA$9&gt;=14/24,AA$9&lt;20/24)</formula>
    </cfRule>
    <cfRule type="expression" dxfId="908" priority="357">
      <formula>AND(AA$9&gt;=8/24,AA$9&lt;14/24)</formula>
    </cfRule>
    <cfRule type="expression" dxfId="907" priority="358">
      <formula>AA$9&lt;8/24</formula>
    </cfRule>
  </conditionalFormatting>
  <conditionalFormatting sqref="T97:Y97">
    <cfRule type="expression" dxfId="906" priority="351">
      <formula>T$9&gt;=20/24</formula>
    </cfRule>
    <cfRule type="expression" dxfId="905" priority="352">
      <formula>AND(T$9&gt;=14/24,T$9&lt;20/24)</formula>
    </cfRule>
    <cfRule type="expression" dxfId="904" priority="353">
      <formula>AND(T$9&gt;=8/24,T$9&lt;14/24)</formula>
    </cfRule>
    <cfRule type="expression" dxfId="903" priority="354">
      <formula>T$9&lt;8/24</formula>
    </cfRule>
  </conditionalFormatting>
  <conditionalFormatting sqref="A97">
    <cfRule type="expression" dxfId="902" priority="350">
      <formula>$AH97=0</formula>
    </cfRule>
  </conditionalFormatting>
  <conditionalFormatting sqref="O35:AF35">
    <cfRule type="expression" dxfId="901" priority="346">
      <formula>O$9&gt;=20/24</formula>
    </cfRule>
    <cfRule type="expression" dxfId="900" priority="347">
      <formula>AND(O$9&gt;=14/24,O$9&lt;20/24)</formula>
    </cfRule>
    <cfRule type="expression" dxfId="899" priority="348">
      <formula>AND(O$9&gt;=8/24,O$9&lt;14/24)</formula>
    </cfRule>
    <cfRule type="expression" dxfId="898" priority="349">
      <formula>O$9&lt;8/24</formula>
    </cfRule>
  </conditionalFormatting>
  <conditionalFormatting sqref="W35:AF35">
    <cfRule type="expression" dxfId="897" priority="342">
      <formula>W$9&gt;=20/24</formula>
    </cfRule>
    <cfRule type="expression" dxfId="896" priority="343">
      <formula>AND(W$9&gt;=14/24,W$9&lt;20/24)</formula>
    </cfRule>
    <cfRule type="expression" dxfId="895" priority="344">
      <formula>AND(W$9&gt;=8/24,W$9&lt;14/24)</formula>
    </cfRule>
    <cfRule type="expression" dxfId="894" priority="345">
      <formula>W$9&lt;8/24</formula>
    </cfRule>
  </conditionalFormatting>
  <conditionalFormatting sqref="D62:G66">
    <cfRule type="expression" dxfId="893" priority="334">
      <formula>D$9&gt;=20/24</formula>
    </cfRule>
    <cfRule type="expression" dxfId="892" priority="335">
      <formula>AND(D$9&gt;=14/24,D$9&lt;20/24)</formula>
    </cfRule>
    <cfRule type="expression" dxfId="891" priority="336">
      <formula>AND(D$9&gt;=8/24,D$9&lt;14/24)</formula>
    </cfRule>
    <cfRule type="expression" dxfId="890" priority="337">
      <formula>D$9&lt;8/24</formula>
    </cfRule>
  </conditionalFormatting>
  <conditionalFormatting sqref="AL32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W33:AF33">
    <cfRule type="expression" dxfId="889" priority="317">
      <formula>W$9&gt;=20/24</formula>
    </cfRule>
    <cfRule type="expression" dxfId="888" priority="318">
      <formula>AND(W$9&gt;=14/24,W$9&lt;20/24)</formula>
    </cfRule>
    <cfRule type="expression" dxfId="887" priority="319">
      <formula>AND(W$9&gt;=8/24,W$9&lt;14/24)</formula>
    </cfRule>
    <cfRule type="expression" dxfId="886" priority="320">
      <formula>W$9&lt;8/24</formula>
    </cfRule>
  </conditionalFormatting>
  <conditionalFormatting sqref="W33:AF33">
    <cfRule type="expression" dxfId="885" priority="316">
      <formula>W33&gt;$AG33</formula>
    </cfRule>
  </conditionalFormatting>
  <conditionalFormatting sqref="A33">
    <cfRule type="expression" dxfId="884" priority="315">
      <formula>$AH33=0</formula>
    </cfRule>
  </conditionalFormatting>
  <conditionalFormatting sqref="B82:AF82">
    <cfRule type="expression" dxfId="883" priority="311">
      <formula>B$9&gt;=20/24</formula>
    </cfRule>
    <cfRule type="expression" dxfId="882" priority="312">
      <formula>AND(B$9&gt;=14/24,B$9&lt;20/24)</formula>
    </cfRule>
    <cfRule type="expression" dxfId="881" priority="313">
      <formula>AND(B$9&gt;=8/24,B$9&lt;14/24)</formula>
    </cfRule>
    <cfRule type="expression" dxfId="880" priority="314">
      <formula>B$9&lt;8/24</formula>
    </cfRule>
  </conditionalFormatting>
  <conditionalFormatting sqref="A82">
    <cfRule type="expression" dxfId="879" priority="310">
      <formula>$AH82=0</formula>
    </cfRule>
  </conditionalFormatting>
  <conditionalFormatting sqref="A15">
    <cfRule type="expression" dxfId="878" priority="300">
      <formula>$AH15=0</formula>
    </cfRule>
  </conditionalFormatting>
  <conditionalFormatting sqref="A162:A167">
    <cfRule type="expression" dxfId="877" priority="299">
      <formula>$AH162=0</formula>
    </cfRule>
  </conditionalFormatting>
  <conditionalFormatting sqref="A156:A161">
    <cfRule type="expression" dxfId="876" priority="298">
      <formula>$AH156=0</formula>
    </cfRule>
  </conditionalFormatting>
  <conditionalFormatting sqref="AC43:AD43">
    <cfRule type="expression" dxfId="875" priority="294">
      <formula>AC$9&gt;=20/24</formula>
    </cfRule>
    <cfRule type="expression" dxfId="874" priority="295">
      <formula>AND(AC$9&gt;=14/24,AC$9&lt;20/24)</formula>
    </cfRule>
    <cfRule type="expression" dxfId="873" priority="296">
      <formula>AND(AC$9&gt;=8/24,AC$9&lt;14/24)</formula>
    </cfRule>
    <cfRule type="expression" dxfId="872" priority="297">
      <formula>AC$9&lt;8/24</formula>
    </cfRule>
  </conditionalFormatting>
  <conditionalFormatting sqref="O43:V43">
    <cfRule type="expression" dxfId="871" priority="290">
      <formula>O$9&gt;=20/24</formula>
    </cfRule>
    <cfRule type="expression" dxfId="870" priority="291">
      <formula>AND(O$9&gt;=14/24,O$9&lt;20/24)</formula>
    </cfRule>
    <cfRule type="expression" dxfId="869" priority="292">
      <formula>AND(O$9&gt;=8/24,O$9&lt;14/24)</formula>
    </cfRule>
    <cfRule type="expression" dxfId="868" priority="293">
      <formula>O$9&lt;8/24</formula>
    </cfRule>
  </conditionalFormatting>
  <conditionalFormatting sqref="W43:AB43">
    <cfRule type="expression" dxfId="867" priority="286">
      <formula>W$9&gt;=20/24</formula>
    </cfRule>
    <cfRule type="expression" dxfId="866" priority="287">
      <formula>AND(W$9&gt;=14/24,W$9&lt;20/24)</formula>
    </cfRule>
    <cfRule type="expression" dxfId="865" priority="288">
      <formula>AND(W$9&gt;=8/24,W$9&lt;14/24)</formula>
    </cfRule>
    <cfRule type="expression" dxfId="864" priority="289">
      <formula>W$9&lt;8/24</formula>
    </cfRule>
  </conditionalFormatting>
  <conditionalFormatting sqref="D43:K43 O43:AF43">
    <cfRule type="expression" dxfId="863" priority="285">
      <formula>D43&gt;$AG43</formula>
    </cfRule>
  </conditionalFormatting>
  <conditionalFormatting sqref="A43">
    <cfRule type="expression" dxfId="862" priority="284">
      <formula>$AH43=0</formula>
    </cfRule>
  </conditionalFormatting>
  <conditionalFormatting sqref="B78:AF78">
    <cfRule type="expression" dxfId="861" priority="280">
      <formula>B$9&gt;=20/24</formula>
    </cfRule>
    <cfRule type="expression" dxfId="860" priority="281">
      <formula>AND(B$9&gt;=14/24,B$9&lt;20/24)</formula>
    </cfRule>
    <cfRule type="expression" dxfId="859" priority="282">
      <formula>AND(B$9&gt;=8/24,B$9&lt;14/24)</formula>
    </cfRule>
    <cfRule type="expression" dxfId="858" priority="283">
      <formula>B$9&lt;8/24</formula>
    </cfRule>
  </conditionalFormatting>
  <conditionalFormatting sqref="A78">
    <cfRule type="expression" dxfId="857" priority="279">
      <formula>$AH78=0</formula>
    </cfRule>
  </conditionalFormatting>
  <conditionalFormatting sqref="B72:AG72">
    <cfRule type="expression" dxfId="856" priority="275">
      <formula>B$9&gt;=20/24</formula>
    </cfRule>
    <cfRule type="expression" dxfId="855" priority="276">
      <formula>AND(B$9&gt;=14/24,B$9&lt;20/24)</formula>
    </cfRule>
    <cfRule type="expression" dxfId="854" priority="277">
      <formula>AND(B$9&gt;=8/24,B$9&lt;14/24)</formula>
    </cfRule>
    <cfRule type="expression" dxfId="853" priority="278">
      <formula>B$9&lt;8/24</formula>
    </cfRule>
  </conditionalFormatting>
  <conditionalFormatting sqref="A72">
    <cfRule type="expression" dxfId="852" priority="274">
      <formula>$AH72=0</formula>
    </cfRule>
  </conditionalFormatting>
  <conditionalFormatting sqref="AL33:AL34 AL7:AL31">
    <cfRule type="iconSet" priority="456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851" priority="266">
      <formula>T$9&gt;=20/24</formula>
    </cfRule>
    <cfRule type="expression" dxfId="850" priority="267">
      <formula>AND(T$9&gt;=14/24,T$9&lt;20/24)</formula>
    </cfRule>
    <cfRule type="expression" dxfId="849" priority="268">
      <formula>AND(T$9&gt;=8/24,T$9&lt;14/24)</formula>
    </cfRule>
    <cfRule type="expression" dxfId="848" priority="269">
      <formula>T$9&lt;8/24</formula>
    </cfRule>
  </conditionalFormatting>
  <conditionalFormatting sqref="R84:S90 B83:Q90">
    <cfRule type="expression" dxfId="847" priority="262">
      <formula>B$9&gt;=20/24</formula>
    </cfRule>
    <cfRule type="expression" dxfId="846" priority="263">
      <formula>AND(B$9&gt;=14/24,B$9&lt;20/24)</formula>
    </cfRule>
    <cfRule type="expression" dxfId="845" priority="264">
      <formula>AND(B$9&gt;=8/24,B$9&lt;14/24)</formula>
    </cfRule>
    <cfRule type="expression" dxfId="844" priority="265">
      <formula>B$9&lt;8/24</formula>
    </cfRule>
  </conditionalFormatting>
  <conditionalFormatting sqref="R83:S83">
    <cfRule type="expression" dxfId="843" priority="258">
      <formula>R$9&gt;=20/24</formula>
    </cfRule>
    <cfRule type="expression" dxfId="842" priority="259">
      <formula>AND(R$9&gt;=14/24,R$9&lt;20/24)</formula>
    </cfRule>
    <cfRule type="expression" dxfId="841" priority="260">
      <formula>AND(R$9&gt;=8/24,R$9&lt;14/24)</formula>
    </cfRule>
    <cfRule type="expression" dxfId="840" priority="261">
      <formula>R$9&lt;8/24</formula>
    </cfRule>
  </conditionalFormatting>
  <conditionalFormatting sqref="B93:E93 B94:N96">
    <cfRule type="expression" dxfId="839" priority="254">
      <formula>B$9&gt;=20/24</formula>
    </cfRule>
    <cfRule type="expression" dxfId="838" priority="255">
      <formula>AND(B$9&gt;=14/24,B$9&lt;20/24)</formula>
    </cfRule>
    <cfRule type="expression" dxfId="837" priority="256">
      <formula>AND(B$9&gt;=8/24,B$9&lt;14/24)</formula>
    </cfRule>
    <cfRule type="expression" dxfId="836" priority="257">
      <formula>B$9&lt;8/24</formula>
    </cfRule>
  </conditionalFormatting>
  <conditionalFormatting sqref="O93:Q96">
    <cfRule type="expression" dxfId="835" priority="250">
      <formula>O$9&gt;=20/24</formula>
    </cfRule>
    <cfRule type="expression" dxfId="834" priority="251">
      <formula>AND(O$9&gt;=14/24,O$9&lt;20/24)</formula>
    </cfRule>
    <cfRule type="expression" dxfId="833" priority="252">
      <formula>AND(O$9&gt;=8/24,O$9&lt;14/24)</formula>
    </cfRule>
    <cfRule type="expression" dxfId="832" priority="253">
      <formula>O$9&lt;8/24</formula>
    </cfRule>
  </conditionalFormatting>
  <conditionalFormatting sqref="R93:S96">
    <cfRule type="expression" dxfId="831" priority="246">
      <formula>R$9&gt;=20/24</formula>
    </cfRule>
    <cfRule type="expression" dxfId="830" priority="247">
      <formula>AND(R$9&gt;=14/24,R$9&lt;20/24)</formula>
    </cfRule>
    <cfRule type="expression" dxfId="829" priority="248">
      <formula>AND(R$9&gt;=8/24,R$9&lt;14/24)</formula>
    </cfRule>
    <cfRule type="expression" dxfId="828" priority="249">
      <formula>R$9&lt;8/24</formula>
    </cfRule>
  </conditionalFormatting>
  <conditionalFormatting sqref="B97:N97">
    <cfRule type="expression" dxfId="827" priority="242">
      <formula>B$9&gt;=20/24</formula>
    </cfRule>
    <cfRule type="expression" dxfId="826" priority="243">
      <formula>AND(B$9&gt;=14/24,B$9&lt;20/24)</formula>
    </cfRule>
    <cfRule type="expression" dxfId="825" priority="244">
      <formula>AND(B$9&gt;=8/24,B$9&lt;14/24)</formula>
    </cfRule>
    <cfRule type="expression" dxfId="824" priority="245">
      <formula>B$9&lt;8/24</formula>
    </cfRule>
  </conditionalFormatting>
  <conditionalFormatting sqref="O97:Q97">
    <cfRule type="expression" dxfId="823" priority="238">
      <formula>O$9&gt;=20/24</formula>
    </cfRule>
    <cfRule type="expression" dxfId="822" priority="239">
      <formula>AND(O$9&gt;=14/24,O$9&lt;20/24)</formula>
    </cfRule>
    <cfRule type="expression" dxfId="821" priority="240">
      <formula>AND(O$9&gt;=8/24,O$9&lt;14/24)</formula>
    </cfRule>
    <cfRule type="expression" dxfId="820" priority="241">
      <formula>O$9&lt;8/24</formula>
    </cfRule>
  </conditionalFormatting>
  <conditionalFormatting sqref="R97:S97">
    <cfRule type="expression" dxfId="819" priority="234">
      <formula>R$9&gt;=20/24</formula>
    </cfRule>
    <cfRule type="expression" dxfId="818" priority="235">
      <formula>AND(R$9&gt;=14/24,R$9&lt;20/24)</formula>
    </cfRule>
    <cfRule type="expression" dxfId="817" priority="236">
      <formula>AND(R$9&gt;=8/24,R$9&lt;14/24)</formula>
    </cfRule>
    <cfRule type="expression" dxfId="816" priority="237">
      <formula>R$9&lt;8/24</formula>
    </cfRule>
  </conditionalFormatting>
  <conditionalFormatting sqref="F93:N93">
    <cfRule type="expression" dxfId="815" priority="226">
      <formula>F$9&gt;=20/24</formula>
    </cfRule>
    <cfRule type="expression" dxfId="814" priority="227">
      <formula>AND(F$9&gt;=14/24,F$9&lt;20/24)</formula>
    </cfRule>
    <cfRule type="expression" dxfId="813" priority="228">
      <formula>AND(F$9&gt;=8/24,F$9&lt;14/24)</formula>
    </cfRule>
    <cfRule type="expression" dxfId="812" priority="229">
      <formula>F$9&lt;8/24</formula>
    </cfRule>
  </conditionalFormatting>
  <conditionalFormatting sqref="T93:V93">
    <cfRule type="expression" dxfId="811" priority="222">
      <formula>T$9&gt;=20/24</formula>
    </cfRule>
    <cfRule type="expression" dxfId="810" priority="223">
      <formula>AND(T$9&gt;=14/24,T$9&lt;20/24)</formula>
    </cfRule>
    <cfRule type="expression" dxfId="809" priority="224">
      <formula>AND(T$9&gt;=8/24,T$9&lt;14/24)</formula>
    </cfRule>
    <cfRule type="expression" dxfId="808" priority="225">
      <formula>T$9&lt;8/24</formula>
    </cfRule>
  </conditionalFormatting>
  <conditionalFormatting sqref="O93:S93">
    <cfRule type="expression" dxfId="807" priority="218">
      <formula>O$9&gt;=20/24</formula>
    </cfRule>
    <cfRule type="expression" dxfId="806" priority="219">
      <formula>AND(O$9&gt;=14/24,O$9&lt;20/24)</formula>
    </cfRule>
    <cfRule type="expression" dxfId="805" priority="220">
      <formula>AND(O$9&gt;=8/24,O$9&lt;14/24)</formula>
    </cfRule>
    <cfRule type="expression" dxfId="804" priority="221">
      <formula>O$9&lt;8/24</formula>
    </cfRule>
  </conditionalFormatting>
  <conditionalFormatting sqref="AA98:AF98">
    <cfRule type="expression" dxfId="803" priority="214">
      <formula>AA$9&gt;=20/24</formula>
    </cfRule>
    <cfRule type="expression" dxfId="802" priority="215">
      <formula>AND(AA$9&gt;=14/24,AA$9&lt;20/24)</formula>
    </cfRule>
    <cfRule type="expression" dxfId="801" priority="216">
      <formula>AND(AA$9&gt;=8/24,AA$9&lt;14/24)</formula>
    </cfRule>
    <cfRule type="expression" dxfId="800" priority="217">
      <formula>AA$9&lt;8/24</formula>
    </cfRule>
  </conditionalFormatting>
  <conditionalFormatting sqref="T98:Y98">
    <cfRule type="expression" dxfId="799" priority="210">
      <formula>T$9&gt;=20/24</formula>
    </cfRule>
    <cfRule type="expression" dxfId="798" priority="211">
      <formula>AND(T$9&gt;=14/24,T$9&lt;20/24)</formula>
    </cfRule>
    <cfRule type="expression" dxfId="797" priority="212">
      <formula>AND(T$9&gt;=8/24,T$9&lt;14/24)</formula>
    </cfRule>
    <cfRule type="expression" dxfId="796" priority="213">
      <formula>T$9&lt;8/24</formula>
    </cfRule>
  </conditionalFormatting>
  <conditionalFormatting sqref="A98">
    <cfRule type="expression" dxfId="795" priority="209">
      <formula>$AH98=0</formula>
    </cfRule>
  </conditionalFormatting>
  <conditionalFormatting sqref="B98:N98">
    <cfRule type="expression" dxfId="794" priority="205">
      <formula>B$9&gt;=20/24</formula>
    </cfRule>
    <cfRule type="expression" dxfId="793" priority="206">
      <formula>AND(B$9&gt;=14/24,B$9&lt;20/24)</formula>
    </cfRule>
    <cfRule type="expression" dxfId="792" priority="207">
      <formula>AND(B$9&gt;=8/24,B$9&lt;14/24)</formula>
    </cfRule>
    <cfRule type="expression" dxfId="791" priority="208">
      <formula>B$9&lt;8/24</formula>
    </cfRule>
  </conditionalFormatting>
  <conditionalFormatting sqref="O98:Q98">
    <cfRule type="expression" dxfId="790" priority="201">
      <formula>O$9&gt;=20/24</formula>
    </cfRule>
    <cfRule type="expression" dxfId="789" priority="202">
      <formula>AND(O$9&gt;=14/24,O$9&lt;20/24)</formula>
    </cfRule>
    <cfRule type="expression" dxfId="788" priority="203">
      <formula>AND(O$9&gt;=8/24,O$9&lt;14/24)</formula>
    </cfRule>
    <cfRule type="expression" dxfId="787" priority="204">
      <formula>O$9&lt;8/24</formula>
    </cfRule>
  </conditionalFormatting>
  <conditionalFormatting sqref="R98:S98">
    <cfRule type="expression" dxfId="786" priority="197">
      <formula>R$9&gt;=20/24</formula>
    </cfRule>
    <cfRule type="expression" dxfId="785" priority="198">
      <formula>AND(R$9&gt;=14/24,R$9&lt;20/24)</formula>
    </cfRule>
    <cfRule type="expression" dxfId="784" priority="199">
      <formula>AND(R$9&gt;=8/24,R$9&lt;14/24)</formula>
    </cfRule>
    <cfRule type="expression" dxfId="783" priority="200">
      <formula>R$9&lt;8/24</formula>
    </cfRule>
  </conditionalFormatting>
  <conditionalFormatting sqref="U12:V13 W12:Z16 AA14:AF16">
    <cfRule type="expression" dxfId="782" priority="193">
      <formula>U$9&gt;=20/24</formula>
    </cfRule>
    <cfRule type="expression" dxfId="781" priority="194">
      <formula>AND(U$9&gt;=14/24,U$9&lt;20/24)</formula>
    </cfRule>
    <cfRule type="expression" dxfId="780" priority="195">
      <formula>AND(U$9&gt;=8/24,U$9&lt;14/24)</formula>
    </cfRule>
    <cfRule type="expression" dxfId="779" priority="196">
      <formula>U$9&lt;8/24</formula>
    </cfRule>
  </conditionalFormatting>
  <conditionalFormatting sqref="W17:AF17">
    <cfRule type="expression" dxfId="778" priority="189">
      <formula>W$9&gt;=20/24</formula>
    </cfRule>
    <cfRule type="expression" dxfId="777" priority="190">
      <formula>AND(W$9&gt;=14/24,W$9&lt;20/24)</formula>
    </cfRule>
    <cfRule type="expression" dxfId="776" priority="191">
      <formula>AND(W$9&gt;=8/24,W$9&lt;14/24)</formula>
    </cfRule>
    <cfRule type="expression" dxfId="775" priority="192">
      <formula>W$9&lt;8/24</formula>
    </cfRule>
  </conditionalFormatting>
  <conditionalFormatting sqref="U12:Z13">
    <cfRule type="expression" dxfId="774" priority="185">
      <formula>U$9&gt;=20/24</formula>
    </cfRule>
    <cfRule type="expression" dxfId="773" priority="186">
      <formula>AND(U$9&gt;=14/24,U$9&lt;20/24)</formula>
    </cfRule>
    <cfRule type="expression" dxfId="772" priority="187">
      <formula>AND(U$9&gt;=8/24,U$9&lt;14/24)</formula>
    </cfRule>
    <cfRule type="expression" dxfId="771" priority="188">
      <formula>U$9&lt;8/24</formula>
    </cfRule>
  </conditionalFormatting>
  <conditionalFormatting sqref="AA57:AD58">
    <cfRule type="expression" dxfId="770" priority="181">
      <formula>AA$9&gt;=20/24</formula>
    </cfRule>
    <cfRule type="expression" dxfId="769" priority="182">
      <formula>AND(AA$9&gt;=14/24,AA$9&lt;20/24)</formula>
    </cfRule>
    <cfRule type="expression" dxfId="768" priority="183">
      <formula>AND(AA$9&gt;=8/24,AA$9&lt;14/24)</formula>
    </cfRule>
    <cfRule type="expression" dxfId="767" priority="184">
      <formula>AA$9&lt;8/24</formula>
    </cfRule>
  </conditionalFormatting>
  <conditionalFormatting sqref="B19:N19">
    <cfRule type="expression" dxfId="766" priority="177">
      <formula>B$9&gt;=20/24</formula>
    </cfRule>
    <cfRule type="expression" dxfId="765" priority="178">
      <formula>AND(B$9&gt;=14/24,B$9&lt;20/24)</formula>
    </cfRule>
    <cfRule type="expression" dxfId="764" priority="179">
      <formula>AND(B$9&gt;=8/24,B$9&lt;14/24)</formula>
    </cfRule>
    <cfRule type="expression" dxfId="763" priority="180">
      <formula>B$9&lt;8/24</formula>
    </cfRule>
  </conditionalFormatting>
  <conditionalFormatting sqref="B11:E11 B36:K36 B19:N19">
    <cfRule type="expression" dxfId="762" priority="176">
      <formula>B11&gt;$AG11</formula>
    </cfRule>
  </conditionalFormatting>
  <conditionalFormatting sqref="B12:F14 G14:N14">
    <cfRule type="expression" dxfId="761" priority="172">
      <formula>B$9&gt;=20/24</formula>
    </cfRule>
    <cfRule type="expression" dxfId="760" priority="173">
      <formula>AND(B$9&gt;=14/24,B$9&lt;20/24)</formula>
    </cfRule>
    <cfRule type="expression" dxfId="759" priority="174">
      <formula>AND(B$9&gt;=8/24,B$9&lt;14/24)</formula>
    </cfRule>
    <cfRule type="expression" dxfId="758" priority="175">
      <formula>B$9&lt;8/24</formula>
    </cfRule>
  </conditionalFormatting>
  <conditionalFormatting sqref="B12:F13">
    <cfRule type="expression" dxfId="757" priority="168">
      <formula>B$9&gt;=20/24</formula>
    </cfRule>
    <cfRule type="expression" dxfId="756" priority="169">
      <formula>AND(B$9&gt;=14/24,B$9&lt;20/24)</formula>
    </cfRule>
    <cfRule type="expression" dxfId="755" priority="170">
      <formula>AND(B$9&gt;=8/24,B$9&lt;14/24)</formula>
    </cfRule>
    <cfRule type="expression" dxfId="754" priority="171">
      <formula>B$9&lt;8/24</formula>
    </cfRule>
  </conditionalFormatting>
  <conditionalFormatting sqref="B22:N22">
    <cfRule type="expression" dxfId="753" priority="164">
      <formula>B$9&gt;=20/24</formula>
    </cfRule>
    <cfRule type="expression" dxfId="752" priority="165">
      <formula>AND(B$9&gt;=14/24,B$9&lt;20/24)</formula>
    </cfRule>
    <cfRule type="expression" dxfId="751" priority="166">
      <formula>AND(B$9&gt;=8/24,B$9&lt;14/24)</formula>
    </cfRule>
    <cfRule type="expression" dxfId="750" priority="167">
      <formula>B$9&lt;8/24</formula>
    </cfRule>
  </conditionalFormatting>
  <conditionalFormatting sqref="B22:N22">
    <cfRule type="expression" dxfId="749" priority="163">
      <formula>B22&gt;$AG22</formula>
    </cfRule>
  </conditionalFormatting>
  <conditionalFormatting sqref="B15:N15">
    <cfRule type="expression" dxfId="748" priority="159">
      <formula>B$9&gt;=20/24</formula>
    </cfRule>
    <cfRule type="expression" dxfId="747" priority="160">
      <formula>AND(B$9&gt;=14/24,B$9&lt;20/24)</formula>
    </cfRule>
    <cfRule type="expression" dxfId="746" priority="161">
      <formula>AND(B$9&gt;=8/24,B$9&lt;14/24)</formula>
    </cfRule>
    <cfRule type="expression" dxfId="745" priority="162">
      <formula>B$9&lt;8/24</formula>
    </cfRule>
  </conditionalFormatting>
  <conditionalFormatting sqref="B26:N26 B28:N28">
    <cfRule type="expression" dxfId="744" priority="155">
      <formula>B$9&gt;=20/24</formula>
    </cfRule>
    <cfRule type="expression" dxfId="743" priority="156">
      <formula>AND(B$9&gt;=14/24,B$9&lt;20/24)</formula>
    </cfRule>
    <cfRule type="expression" dxfId="742" priority="157">
      <formula>AND(B$9&gt;=8/24,B$9&lt;14/24)</formula>
    </cfRule>
    <cfRule type="expression" dxfId="741" priority="158">
      <formula>B$9&lt;8/24</formula>
    </cfRule>
  </conditionalFormatting>
  <conditionalFormatting sqref="B26:N26 B28:N28">
    <cfRule type="expression" dxfId="740" priority="154">
      <formula>B26&gt;$AG26</formula>
    </cfRule>
  </conditionalFormatting>
  <conditionalFormatting sqref="B33:N33">
    <cfRule type="expression" dxfId="739" priority="150">
      <formula>B$9&gt;=20/24</formula>
    </cfRule>
    <cfRule type="expression" dxfId="738" priority="151">
      <formula>AND(B$9&gt;=14/24,B$9&lt;20/24)</formula>
    </cfRule>
    <cfRule type="expression" dxfId="737" priority="152">
      <formula>AND(B$9&gt;=8/24,B$9&lt;14/24)</formula>
    </cfRule>
    <cfRule type="expression" dxfId="736" priority="153">
      <formula>B$9&lt;8/24</formula>
    </cfRule>
  </conditionalFormatting>
  <conditionalFormatting sqref="B33:N33">
    <cfRule type="expression" dxfId="735" priority="149">
      <formula>B33&gt;$AG33</formula>
    </cfRule>
  </conditionalFormatting>
  <conditionalFormatting sqref="B17:N18 B20:N21 B23:N25 B27:N27 B29:N32">
    <cfRule type="expression" dxfId="734" priority="145">
      <formula>B$9&gt;=20/24</formula>
    </cfRule>
    <cfRule type="expression" dxfId="733" priority="146">
      <formula>AND(B$9&gt;=14/24,B$9&lt;20/24)</formula>
    </cfRule>
    <cfRule type="expression" dxfId="732" priority="147">
      <formula>AND(B$9&gt;=8/24,B$9&lt;14/24)</formula>
    </cfRule>
    <cfRule type="expression" dxfId="731" priority="148">
      <formula>B$9&lt;8/24</formula>
    </cfRule>
  </conditionalFormatting>
  <conditionalFormatting sqref="B34:N34">
    <cfRule type="expression" dxfId="730" priority="141">
      <formula>B$9&gt;=20/24</formula>
    </cfRule>
    <cfRule type="expression" dxfId="729" priority="142">
      <formula>AND(B$9&gt;=14/24,B$9&lt;20/24)</formula>
    </cfRule>
    <cfRule type="expression" dxfId="728" priority="143">
      <formula>AND(B$9&gt;=8/24,B$9&lt;14/24)</formula>
    </cfRule>
    <cfRule type="expression" dxfId="727" priority="144">
      <formula>B$9&lt;8/24</formula>
    </cfRule>
  </conditionalFormatting>
  <conditionalFormatting sqref="B17:N18 B20:N21 B23:N25 B27:N27 B29:N32 B34:N35">
    <cfRule type="expression" dxfId="726" priority="140">
      <formula>B17&gt;$AG17</formula>
    </cfRule>
  </conditionalFormatting>
  <conditionalFormatting sqref="B35:N35">
    <cfRule type="expression" dxfId="725" priority="136">
      <formula>B$9&gt;=20/24</formula>
    </cfRule>
    <cfRule type="expression" dxfId="724" priority="137">
      <formula>AND(B$9&gt;=14/24,B$9&lt;20/24)</formula>
    </cfRule>
    <cfRule type="expression" dxfId="723" priority="138">
      <formula>AND(B$9&gt;=8/24,B$9&lt;14/24)</formula>
    </cfRule>
    <cfRule type="expression" dxfId="722" priority="139">
      <formula>B$9&lt;8/24</formula>
    </cfRule>
  </conditionalFormatting>
  <conditionalFormatting sqref="B16:N16">
    <cfRule type="expression" dxfId="721" priority="132">
      <formula>B$9&gt;=20/24</formula>
    </cfRule>
    <cfRule type="expression" dxfId="720" priority="133">
      <formula>AND(B$9&gt;=14/24,B$9&lt;20/24)</formula>
    </cfRule>
    <cfRule type="expression" dxfId="719" priority="134">
      <formula>AND(B$9&gt;=8/24,B$9&lt;14/24)</formula>
    </cfRule>
    <cfRule type="expression" dxfId="718" priority="135">
      <formula>B$9&lt;8/24</formula>
    </cfRule>
  </conditionalFormatting>
  <conditionalFormatting sqref="B48:C48">
    <cfRule type="expression" dxfId="717" priority="128">
      <formula>B$9&gt;=20/24</formula>
    </cfRule>
    <cfRule type="expression" dxfId="716" priority="129">
      <formula>AND(B$9&gt;=14/24,B$9&lt;20/24)</formula>
    </cfRule>
    <cfRule type="expression" dxfId="715" priority="130">
      <formula>AND(B$9&gt;=8/24,B$9&lt;14/24)</formula>
    </cfRule>
    <cfRule type="expression" dxfId="714" priority="131">
      <formula>B$9&lt;8/24</formula>
    </cfRule>
  </conditionalFormatting>
  <conditionalFormatting sqref="B44:C47">
    <cfRule type="expression" dxfId="713" priority="124">
      <formula>B$9&gt;=20/24</formula>
    </cfRule>
    <cfRule type="expression" dxfId="712" priority="125">
      <formula>AND(B$9&gt;=14/24,B$9&lt;20/24)</formula>
    </cfRule>
    <cfRule type="expression" dxfId="711" priority="126">
      <formula>AND(B$9&gt;=8/24,B$9&lt;14/24)</formula>
    </cfRule>
    <cfRule type="expression" dxfId="710" priority="127">
      <formula>B$9&lt;8/24</formula>
    </cfRule>
  </conditionalFormatting>
  <conditionalFormatting sqref="B48:C48">
    <cfRule type="expression" dxfId="709" priority="120">
      <formula>B$9&gt;=20/24</formula>
    </cfRule>
    <cfRule type="expression" dxfId="708" priority="121">
      <formula>AND(B$9&gt;=14/24,B$9&lt;20/24)</formula>
    </cfRule>
    <cfRule type="expression" dxfId="707" priority="122">
      <formula>AND(B$9&gt;=8/24,B$9&lt;14/24)</formula>
    </cfRule>
    <cfRule type="expression" dxfId="706" priority="123">
      <formula>B$9&lt;8/24</formula>
    </cfRule>
  </conditionalFormatting>
  <conditionalFormatting sqref="B49:C49">
    <cfRule type="expression" dxfId="705" priority="116">
      <formula>B$9&gt;=20/24</formula>
    </cfRule>
    <cfRule type="expression" dxfId="704" priority="117">
      <formula>AND(B$9&gt;=14/24,B$9&lt;20/24)</formula>
    </cfRule>
    <cfRule type="expression" dxfId="703" priority="118">
      <formula>AND(B$9&gt;=8/24,B$9&lt;14/24)</formula>
    </cfRule>
    <cfRule type="expression" dxfId="702" priority="119">
      <formula>B$9&lt;8/24</formula>
    </cfRule>
  </conditionalFormatting>
  <conditionalFormatting sqref="B38:B42 B44:B50 C44:C49">
    <cfRule type="expression" dxfId="701" priority="115">
      <formula>B38&gt;$AG38</formula>
    </cfRule>
  </conditionalFormatting>
  <conditionalFormatting sqref="B43:C43">
    <cfRule type="expression" dxfId="700" priority="111">
      <formula>B$9&gt;=20/24</formula>
    </cfRule>
    <cfRule type="expression" dxfId="699" priority="112">
      <formula>AND(B$9&gt;=14/24,B$9&lt;20/24)</formula>
    </cfRule>
    <cfRule type="expression" dxfId="698" priority="113">
      <formula>AND(B$9&gt;=8/24,B$9&lt;14/24)</formula>
    </cfRule>
    <cfRule type="expression" dxfId="697" priority="114">
      <formula>B$9&lt;8/24</formula>
    </cfRule>
  </conditionalFormatting>
  <conditionalFormatting sqref="B43:C43">
    <cfRule type="expression" dxfId="696" priority="110">
      <formula>B43&gt;$AG43</formula>
    </cfRule>
  </conditionalFormatting>
  <conditionalFormatting sqref="B56:C59">
    <cfRule type="expression" dxfId="695" priority="106">
      <formula>B$9&gt;=20/24</formula>
    </cfRule>
    <cfRule type="expression" dxfId="694" priority="107">
      <formula>AND(B$9&gt;=14/24,B$9&lt;20/24)</formula>
    </cfRule>
    <cfRule type="expression" dxfId="693" priority="108">
      <formula>AND(B$9&gt;=8/24,B$9&lt;14/24)</formula>
    </cfRule>
    <cfRule type="expression" dxfId="692" priority="109">
      <formula>B$9&lt;8/24</formula>
    </cfRule>
  </conditionalFormatting>
  <conditionalFormatting sqref="B60:C66">
    <cfRule type="expression" dxfId="691" priority="102">
      <formula>B$9&gt;=20/24</formula>
    </cfRule>
    <cfRule type="expression" dxfId="690" priority="103">
      <formula>AND(B$9&gt;=14/24,B$9&lt;20/24)</formula>
    </cfRule>
    <cfRule type="expression" dxfId="689" priority="104">
      <formula>AND(B$9&gt;=8/24,B$9&lt;14/24)</formula>
    </cfRule>
    <cfRule type="expression" dxfId="688" priority="105">
      <formula>B$9&lt;8/24</formula>
    </cfRule>
  </conditionalFormatting>
  <conditionalFormatting sqref="O19:V19">
    <cfRule type="expression" dxfId="687" priority="98">
      <formula>O$9&gt;=20/24</formula>
    </cfRule>
    <cfRule type="expression" dxfId="686" priority="99">
      <formula>AND(O$9&gt;=14/24,O$9&lt;20/24)</formula>
    </cfRule>
    <cfRule type="expression" dxfId="685" priority="100">
      <formula>AND(O$9&gt;=8/24,O$9&lt;14/24)</formula>
    </cfRule>
    <cfRule type="expression" dxfId="684" priority="101">
      <formula>O$9&lt;8/24</formula>
    </cfRule>
  </conditionalFormatting>
  <conditionalFormatting sqref="O19:V19">
    <cfRule type="expression" dxfId="683" priority="97">
      <formula>O19&gt;$AG19</formula>
    </cfRule>
  </conditionalFormatting>
  <conditionalFormatting sqref="O14:V14">
    <cfRule type="expression" dxfId="682" priority="93">
      <formula>O$9&gt;=20/24</formula>
    </cfRule>
    <cfRule type="expression" dxfId="681" priority="94">
      <formula>AND(O$9&gt;=14/24,O$9&lt;20/24)</formula>
    </cfRule>
    <cfRule type="expression" dxfId="680" priority="95">
      <formula>AND(O$9&gt;=8/24,O$9&lt;14/24)</formula>
    </cfRule>
    <cfRule type="expression" dxfId="679" priority="96">
      <formula>O$9&lt;8/24</formula>
    </cfRule>
  </conditionalFormatting>
  <conditionalFormatting sqref="O22:V22">
    <cfRule type="expression" dxfId="678" priority="89">
      <formula>O$9&gt;=20/24</formula>
    </cfRule>
    <cfRule type="expression" dxfId="677" priority="90">
      <formula>AND(O$9&gt;=14/24,O$9&lt;20/24)</formula>
    </cfRule>
    <cfRule type="expression" dxfId="676" priority="91">
      <formula>AND(O$9&gt;=8/24,O$9&lt;14/24)</formula>
    </cfRule>
    <cfRule type="expression" dxfId="675" priority="92">
      <formula>O$9&lt;8/24</formula>
    </cfRule>
  </conditionalFormatting>
  <conditionalFormatting sqref="O22:V22">
    <cfRule type="expression" dxfId="674" priority="88">
      <formula>O22&gt;$AG22</formula>
    </cfRule>
  </conditionalFormatting>
  <conditionalFormatting sqref="O15:V15">
    <cfRule type="expression" dxfId="673" priority="84">
      <formula>O$9&gt;=20/24</formula>
    </cfRule>
    <cfRule type="expression" dxfId="672" priority="85">
      <formula>AND(O$9&gt;=14/24,O$9&lt;20/24)</formula>
    </cfRule>
    <cfRule type="expression" dxfId="671" priority="86">
      <formula>AND(O$9&gt;=8/24,O$9&lt;14/24)</formula>
    </cfRule>
    <cfRule type="expression" dxfId="670" priority="87">
      <formula>O$9&lt;8/24</formula>
    </cfRule>
  </conditionalFormatting>
  <conditionalFormatting sqref="O26:V26 O28:V28">
    <cfRule type="expression" dxfId="669" priority="80">
      <formula>O$9&gt;=20/24</formula>
    </cfRule>
    <cfRule type="expression" dxfId="668" priority="81">
      <formula>AND(O$9&gt;=14/24,O$9&lt;20/24)</formula>
    </cfRule>
    <cfRule type="expression" dxfId="667" priority="82">
      <formula>AND(O$9&gt;=8/24,O$9&lt;14/24)</formula>
    </cfRule>
    <cfRule type="expression" dxfId="666" priority="83">
      <formula>O$9&lt;8/24</formula>
    </cfRule>
  </conditionalFormatting>
  <conditionalFormatting sqref="O26:V26 O28:V28">
    <cfRule type="expression" dxfId="665" priority="79">
      <formula>O26&gt;$AG26</formula>
    </cfRule>
  </conditionalFormatting>
  <conditionalFormatting sqref="O33:V33">
    <cfRule type="expression" dxfId="664" priority="75">
      <formula>O$9&gt;=20/24</formula>
    </cfRule>
    <cfRule type="expression" dxfId="663" priority="76">
      <formula>AND(O$9&gt;=14/24,O$9&lt;20/24)</formula>
    </cfRule>
    <cfRule type="expression" dxfId="662" priority="77">
      <formula>AND(O$9&gt;=8/24,O$9&lt;14/24)</formula>
    </cfRule>
    <cfRule type="expression" dxfId="661" priority="78">
      <formula>O$9&lt;8/24</formula>
    </cfRule>
  </conditionalFormatting>
  <conditionalFormatting sqref="O33:V33">
    <cfRule type="expression" dxfId="660" priority="74">
      <formula>O33&gt;$AG33</formula>
    </cfRule>
  </conditionalFormatting>
  <conditionalFormatting sqref="O17:V18 O20:V21 O23:V25 O27:V27 O29:V32">
    <cfRule type="expression" dxfId="659" priority="70">
      <formula>O$9&gt;=20/24</formula>
    </cfRule>
    <cfRule type="expression" dxfId="658" priority="71">
      <formula>AND(O$9&gt;=14/24,O$9&lt;20/24)</formula>
    </cfRule>
    <cfRule type="expression" dxfId="657" priority="72">
      <formula>AND(O$9&gt;=8/24,O$9&lt;14/24)</formula>
    </cfRule>
    <cfRule type="expression" dxfId="656" priority="73">
      <formula>O$9&lt;8/24</formula>
    </cfRule>
  </conditionalFormatting>
  <conditionalFormatting sqref="O34:V34">
    <cfRule type="expression" dxfId="655" priority="66">
      <formula>O$9&gt;=20/24</formula>
    </cfRule>
    <cfRule type="expression" dxfId="654" priority="67">
      <formula>AND(O$9&gt;=14/24,O$9&lt;20/24)</formula>
    </cfRule>
    <cfRule type="expression" dxfId="653" priority="68">
      <formula>AND(O$9&gt;=8/24,O$9&lt;14/24)</formula>
    </cfRule>
    <cfRule type="expression" dxfId="652" priority="69">
      <formula>O$9&lt;8/24</formula>
    </cfRule>
  </conditionalFormatting>
  <conditionalFormatting sqref="O17:V18 O20:V21 O23:V25 O27:V27 O29:V32 O34:V34">
    <cfRule type="expression" dxfId="651" priority="65">
      <formula>O17&gt;$AG17</formula>
    </cfRule>
  </conditionalFormatting>
  <conditionalFormatting sqref="O16:V16">
    <cfRule type="expression" dxfId="650" priority="61">
      <formula>O$9&gt;=20/24</formula>
    </cfRule>
    <cfRule type="expression" dxfId="649" priority="62">
      <formula>AND(O$9&gt;=14/24,O$9&lt;20/24)</formula>
    </cfRule>
    <cfRule type="expression" dxfId="648" priority="63">
      <formula>AND(O$9&gt;=8/24,O$9&lt;14/24)</formula>
    </cfRule>
    <cfRule type="expression" dxfId="647" priority="64">
      <formula>O$9&lt;8/24</formula>
    </cfRule>
  </conditionalFormatting>
  <conditionalFormatting sqref="L36:N36">
    <cfRule type="expression" dxfId="646" priority="57">
      <formula>L$9&gt;=20/24</formula>
    </cfRule>
    <cfRule type="expression" dxfId="645" priority="58">
      <formula>AND(L$9&gt;=14/24,L$9&lt;20/24)</formula>
    </cfRule>
    <cfRule type="expression" dxfId="644" priority="59">
      <formula>AND(L$9&gt;=8/24,L$9&lt;14/24)</formula>
    </cfRule>
    <cfRule type="expression" dxfId="643" priority="60">
      <formula>L$9&lt;8/24</formula>
    </cfRule>
  </conditionalFormatting>
  <conditionalFormatting sqref="L36:N36">
    <cfRule type="expression" dxfId="642" priority="56">
      <formula>L36&gt;$AG36</formula>
    </cfRule>
  </conditionalFormatting>
  <conditionalFormatting sqref="L38:N41 L50:N51 L44:N47">
    <cfRule type="expression" dxfId="641" priority="52">
      <formula>L$9&gt;=20/24</formula>
    </cfRule>
    <cfRule type="expression" dxfId="640" priority="53">
      <formula>AND(L$9&gt;=14/24,L$9&lt;20/24)</formula>
    </cfRule>
    <cfRule type="expression" dxfId="639" priority="54">
      <formula>AND(L$9&gt;=8/24,L$9&lt;14/24)</formula>
    </cfRule>
    <cfRule type="expression" dxfId="638" priority="55">
      <formula>L$9&lt;8/24</formula>
    </cfRule>
  </conditionalFormatting>
  <conditionalFormatting sqref="L42:N42">
    <cfRule type="expression" dxfId="637" priority="48">
      <formula>L$9&gt;=20/24</formula>
    </cfRule>
    <cfRule type="expression" dxfId="636" priority="49">
      <formula>AND(L$9&gt;=14/24,L$9&lt;20/24)</formula>
    </cfRule>
    <cfRule type="expression" dxfId="635" priority="50">
      <formula>AND(L$9&gt;=8/24,L$9&lt;14/24)</formula>
    </cfRule>
    <cfRule type="expression" dxfId="634" priority="51">
      <formula>L$9&lt;8/24</formula>
    </cfRule>
  </conditionalFormatting>
  <conditionalFormatting sqref="L48:N48">
    <cfRule type="expression" dxfId="633" priority="44">
      <formula>L$9&gt;=20/24</formula>
    </cfRule>
    <cfRule type="expression" dxfId="632" priority="45">
      <formula>AND(L$9&gt;=14/24,L$9&lt;20/24)</formula>
    </cfRule>
    <cfRule type="expression" dxfId="631" priority="46">
      <formula>AND(L$9&gt;=8/24,L$9&lt;14/24)</formula>
    </cfRule>
    <cfRule type="expression" dxfId="630" priority="47">
      <formula>L$9&lt;8/24</formula>
    </cfRule>
  </conditionalFormatting>
  <conditionalFormatting sqref="L49:N49">
    <cfRule type="expression" dxfId="629" priority="40">
      <formula>L$9&gt;=20/24</formula>
    </cfRule>
    <cfRule type="expression" dxfId="628" priority="41">
      <formula>AND(L$9&gt;=14/24,L$9&lt;20/24)</formula>
    </cfRule>
    <cfRule type="expression" dxfId="627" priority="42">
      <formula>AND(L$9&gt;=8/24,L$9&lt;14/24)</formula>
    </cfRule>
    <cfRule type="expression" dxfId="626" priority="43">
      <formula>L$9&lt;8/24</formula>
    </cfRule>
  </conditionalFormatting>
  <conditionalFormatting sqref="L44:N47">
    <cfRule type="expression" dxfId="625" priority="36">
      <formula>L$9&gt;=20/24</formula>
    </cfRule>
    <cfRule type="expression" dxfId="624" priority="37">
      <formula>AND(L$9&gt;=14/24,L$9&lt;20/24)</formula>
    </cfRule>
    <cfRule type="expression" dxfId="623" priority="38">
      <formula>AND(L$9&gt;=8/24,L$9&lt;14/24)</formula>
    </cfRule>
    <cfRule type="expression" dxfId="622" priority="39">
      <formula>L$9&lt;8/24</formula>
    </cfRule>
  </conditionalFormatting>
  <conditionalFormatting sqref="L38:N42 L44:N51">
    <cfRule type="expression" dxfId="621" priority="35">
      <formula>L38&gt;$AG38</formula>
    </cfRule>
  </conditionalFormatting>
  <conditionalFormatting sqref="L43:N43">
    <cfRule type="expression" dxfId="620" priority="31">
      <formula>L$9&gt;=20/24</formula>
    </cfRule>
    <cfRule type="expression" dxfId="619" priority="32">
      <formula>AND(L$9&gt;=14/24,L$9&lt;20/24)</formula>
    </cfRule>
    <cfRule type="expression" dxfId="618" priority="33">
      <formula>AND(L$9&gt;=8/24,L$9&lt;14/24)</formula>
    </cfRule>
    <cfRule type="expression" dxfId="617" priority="34">
      <formula>L$9&lt;8/24</formula>
    </cfRule>
  </conditionalFormatting>
  <conditionalFormatting sqref="L43:N43">
    <cfRule type="expression" dxfId="616" priority="30">
      <formula>L43&gt;$AG43</formula>
    </cfRule>
  </conditionalFormatting>
  <conditionalFormatting sqref="O50:S51">
    <cfRule type="expression" dxfId="615" priority="26">
      <formula>O$9&gt;=20/24</formula>
    </cfRule>
    <cfRule type="expression" dxfId="614" priority="27">
      <formula>AND(O$9&gt;=14/24,O$9&lt;20/24)</formula>
    </cfRule>
    <cfRule type="expression" dxfId="613" priority="28">
      <formula>AND(O$9&gt;=8/24,O$9&lt;14/24)</formula>
    </cfRule>
    <cfRule type="expression" dxfId="612" priority="29">
      <formula>O$9&lt;8/24</formula>
    </cfRule>
  </conditionalFormatting>
  <conditionalFormatting sqref="O50:S51">
    <cfRule type="expression" dxfId="611" priority="25">
      <formula>O50&gt;$AG50</formula>
    </cfRule>
  </conditionalFormatting>
  <conditionalFormatting sqref="W84:W90">
    <cfRule type="expression" dxfId="610" priority="21">
      <formula>W$9&gt;=20/24</formula>
    </cfRule>
    <cfRule type="expression" dxfId="609" priority="22">
      <formula>AND(W$9&gt;=14/24,W$9&lt;20/24)</formula>
    </cfRule>
    <cfRule type="expression" dxfId="608" priority="23">
      <formula>AND(W$9&gt;=8/24,W$9&lt;14/24)</formula>
    </cfRule>
    <cfRule type="expression" dxfId="607" priority="24">
      <formula>W$9&lt;8/24</formula>
    </cfRule>
  </conditionalFormatting>
  <conditionalFormatting sqref="Z84:Z90">
    <cfRule type="expression" dxfId="606" priority="17">
      <formula>Z$9&gt;=20/24</formula>
    </cfRule>
    <cfRule type="expression" dxfId="605" priority="18">
      <formula>AND(Z$9&gt;=14/24,Z$9&lt;20/24)</formula>
    </cfRule>
    <cfRule type="expression" dxfId="604" priority="19">
      <formula>AND(Z$9&gt;=8/24,Z$9&lt;14/24)</formula>
    </cfRule>
    <cfRule type="expression" dxfId="603" priority="20">
      <formula>Z$9&lt;8/24</formula>
    </cfRule>
  </conditionalFormatting>
  <conditionalFormatting sqref="Z83">
    <cfRule type="expression" dxfId="602" priority="13">
      <formula>Z$9&gt;=20/24</formula>
    </cfRule>
    <cfRule type="expression" dxfId="601" priority="14">
      <formula>AND(Z$9&gt;=14/24,Z$9&lt;20/24)</formula>
    </cfRule>
    <cfRule type="expression" dxfId="600" priority="15">
      <formula>AND(Z$9&gt;=8/24,Z$9&lt;14/24)</formula>
    </cfRule>
    <cfRule type="expression" dxfId="599" priority="16">
      <formula>Z$9&lt;8/24</formula>
    </cfRule>
  </conditionalFormatting>
  <conditionalFormatting sqref="Z93:Z96">
    <cfRule type="expression" dxfId="598" priority="9">
      <formula>Z$9&gt;=20/24</formula>
    </cfRule>
    <cfRule type="expression" dxfId="597" priority="10">
      <formula>AND(Z$9&gt;=14/24,Z$9&lt;20/24)</formula>
    </cfRule>
    <cfRule type="expression" dxfId="596" priority="11">
      <formula>AND(Z$9&gt;=8/24,Z$9&lt;14/24)</formula>
    </cfRule>
    <cfRule type="expression" dxfId="595" priority="12">
      <formula>Z$9&lt;8/24</formula>
    </cfRule>
  </conditionalFormatting>
  <conditionalFormatting sqref="Z97">
    <cfRule type="expression" dxfId="594" priority="5">
      <formula>Z$9&gt;=20/24</formula>
    </cfRule>
    <cfRule type="expression" dxfId="593" priority="6">
      <formula>AND(Z$9&gt;=14/24,Z$9&lt;20/24)</formula>
    </cfRule>
    <cfRule type="expression" dxfId="592" priority="7">
      <formula>AND(Z$9&gt;=8/24,Z$9&lt;14/24)</formula>
    </cfRule>
    <cfRule type="expression" dxfId="591" priority="8">
      <formula>Z$9&lt;8/24</formula>
    </cfRule>
  </conditionalFormatting>
  <conditionalFormatting sqref="Z98">
    <cfRule type="expression" dxfId="590" priority="1">
      <formula>Z$9&gt;=20/24</formula>
    </cfRule>
    <cfRule type="expression" dxfId="589" priority="2">
      <formula>AND(Z$9&gt;=14/24,Z$9&lt;20/24)</formula>
    </cfRule>
    <cfRule type="expression" dxfId="588" priority="3">
      <formula>AND(Z$9&gt;=8/24,Z$9&lt;14/24)</formula>
    </cfRule>
    <cfRule type="expression" dxfId="587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19" sqref="AL1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str">
        <f ca="1">"2078/"&amp;"07/"&amp;INT(MID(CELL("filename",D6),FIND("]",CELL("filename",D6))+1,200))</f>
        <v>2078/07/30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-83</v>
      </c>
      <c r="C5" s="32">
        <f t="shared" ref="C5:AF5" si="0">C67</f>
        <v>-39.4</v>
      </c>
      <c r="D5" s="32">
        <f t="shared" si="0"/>
        <v>-64.7</v>
      </c>
      <c r="E5" s="32">
        <f t="shared" si="0"/>
        <v>-76.099999999999994</v>
      </c>
      <c r="F5" s="32">
        <f t="shared" si="0"/>
        <v>-63.6</v>
      </c>
      <c r="G5" s="32">
        <f t="shared" si="0"/>
        <v>-66.2</v>
      </c>
      <c r="H5" s="32">
        <f t="shared" si="0"/>
        <v>-58</v>
      </c>
      <c r="I5" s="32">
        <f t="shared" si="0"/>
        <v>-58</v>
      </c>
      <c r="J5" s="32">
        <f t="shared" si="0"/>
        <v>-92</v>
      </c>
      <c r="K5" s="32">
        <f t="shared" si="0"/>
        <v>-57.6</v>
      </c>
      <c r="L5" s="32">
        <f t="shared" si="0"/>
        <v>-45</v>
      </c>
      <c r="M5" s="32">
        <f t="shared" si="0"/>
        <v>-68.8</v>
      </c>
      <c r="N5" s="32">
        <f t="shared" si="0"/>
        <v>-64</v>
      </c>
      <c r="O5" s="32">
        <f t="shared" si="0"/>
        <v>-54.9</v>
      </c>
      <c r="P5" s="32">
        <f t="shared" si="0"/>
        <v>-65.900000000000006</v>
      </c>
      <c r="Q5" s="32">
        <f t="shared" si="0"/>
        <v>-52.1</v>
      </c>
      <c r="R5" s="32">
        <f t="shared" si="0"/>
        <v>-46.7</v>
      </c>
      <c r="S5" s="32">
        <f t="shared" si="0"/>
        <v>-78.900000000000006</v>
      </c>
      <c r="T5" s="32">
        <f t="shared" si="0"/>
        <v>-52.4</v>
      </c>
      <c r="U5" s="32">
        <f t="shared" si="0"/>
        <v>-50.9</v>
      </c>
      <c r="V5" s="32">
        <f t="shared" si="0"/>
        <v>-43.6</v>
      </c>
      <c r="W5" s="32">
        <f t="shared" si="0"/>
        <v>-89.5</v>
      </c>
      <c r="X5" s="32">
        <f t="shared" si="0"/>
        <v>-85</v>
      </c>
      <c r="Y5" s="32">
        <f t="shared" si="0"/>
        <v>-63.5</v>
      </c>
      <c r="Z5" s="32">
        <f t="shared" si="0"/>
        <v>-58.1</v>
      </c>
      <c r="AA5" s="32">
        <f t="shared" si="0"/>
        <v>57.5</v>
      </c>
      <c r="AB5" s="32">
        <f t="shared" si="0"/>
        <v>-71</v>
      </c>
      <c r="AC5" s="32">
        <f t="shared" si="0"/>
        <v>-51.3</v>
      </c>
      <c r="AD5" s="32">
        <f t="shared" si="0"/>
        <v>-70</v>
      </c>
      <c r="AE5" s="32">
        <f t="shared" si="0"/>
        <v>-58</v>
      </c>
      <c r="AF5" s="32">
        <f t="shared" si="0"/>
        <v>-57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1134MW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Load=755</v>
      </c>
      <c r="B7" s="37">
        <f t="shared" ref="B7:AF7" si="1">B74</f>
        <v>779.04</v>
      </c>
      <c r="C7" s="37">
        <f t="shared" si="1"/>
        <v>776.7399999999999</v>
      </c>
      <c r="D7" s="37">
        <f t="shared" si="1"/>
        <v>756.64</v>
      </c>
      <c r="E7" s="37">
        <f t="shared" si="1"/>
        <v>754.94</v>
      </c>
      <c r="F7" s="37">
        <f t="shared" si="1"/>
        <v>802.04</v>
      </c>
      <c r="G7" s="37">
        <f t="shared" si="1"/>
        <v>857.54</v>
      </c>
      <c r="H7" s="37">
        <f t="shared" si="1"/>
        <v>934.14</v>
      </c>
      <c r="I7" s="37">
        <f t="shared" si="1"/>
        <v>958.24</v>
      </c>
      <c r="J7" s="37">
        <f t="shared" si="1"/>
        <v>1082.94</v>
      </c>
      <c r="K7" s="37">
        <f t="shared" si="1"/>
        <v>1127.6399999999999</v>
      </c>
      <c r="L7" s="37">
        <f>L74</f>
        <v>1134.24</v>
      </c>
      <c r="M7" s="37">
        <f t="shared" si="1"/>
        <v>1111.8400000000001</v>
      </c>
      <c r="N7" s="37">
        <f t="shared" si="1"/>
        <v>1080.94</v>
      </c>
      <c r="O7" s="37">
        <f t="shared" si="1"/>
        <v>1024.5400000000002</v>
      </c>
      <c r="P7" s="37">
        <f t="shared" si="1"/>
        <v>1032.74</v>
      </c>
      <c r="Q7" s="37">
        <f t="shared" si="1"/>
        <v>999.94</v>
      </c>
      <c r="R7" s="37">
        <f t="shared" si="1"/>
        <v>1014.74</v>
      </c>
      <c r="S7" s="37">
        <f t="shared" si="1"/>
        <v>1031.3400000000001</v>
      </c>
      <c r="T7" s="37">
        <f t="shared" si="1"/>
        <v>1035.8400000000001</v>
      </c>
      <c r="U7" s="37">
        <f t="shared" si="1"/>
        <v>1121.8400000000001</v>
      </c>
      <c r="V7" s="37">
        <f t="shared" si="1"/>
        <v>1297.1400000000001</v>
      </c>
      <c r="W7" s="37">
        <f t="shared" si="1"/>
        <v>1358.3400000000001</v>
      </c>
      <c r="X7" s="37">
        <f t="shared" si="1"/>
        <v>1241.54</v>
      </c>
      <c r="Y7" s="37">
        <f t="shared" si="1"/>
        <v>1201.04</v>
      </c>
      <c r="Z7" s="37">
        <f t="shared" si="1"/>
        <v>1169.24</v>
      </c>
      <c r="AA7" s="37">
        <f t="shared" si="1"/>
        <v>1185.74</v>
      </c>
      <c r="AB7" s="37">
        <f t="shared" si="1"/>
        <v>1002.74</v>
      </c>
      <c r="AC7" s="37">
        <f t="shared" si="1"/>
        <v>945.54</v>
      </c>
      <c r="AD7" s="37">
        <f t="shared" si="1"/>
        <v>824.04</v>
      </c>
      <c r="AE7" s="37">
        <f t="shared" si="1"/>
        <v>796.43999999999983</v>
      </c>
      <c r="AF7" s="37">
        <f t="shared" si="1"/>
        <v>791.33999999999992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>
        <v>90</v>
      </c>
      <c r="C11" s="49">
        <v>90</v>
      </c>
      <c r="D11" s="49">
        <v>90</v>
      </c>
      <c r="E11" s="49">
        <v>90</v>
      </c>
      <c r="F11" s="49">
        <v>90</v>
      </c>
      <c r="G11" s="49">
        <v>110</v>
      </c>
      <c r="H11" s="49">
        <v>113</v>
      </c>
      <c r="I11" s="49">
        <v>130</v>
      </c>
      <c r="J11" s="49">
        <v>200</v>
      </c>
      <c r="K11" s="49">
        <v>200</v>
      </c>
      <c r="L11" s="50">
        <v>200</v>
      </c>
      <c r="M11" s="50">
        <v>205</v>
      </c>
      <c r="N11" s="50">
        <v>200</v>
      </c>
      <c r="O11" s="50">
        <v>160</v>
      </c>
      <c r="P11" s="50">
        <v>170</v>
      </c>
      <c r="Q11" s="51">
        <v>150</v>
      </c>
      <c r="R11" s="52">
        <v>130</v>
      </c>
      <c r="S11" s="52">
        <v>150</v>
      </c>
      <c r="T11" s="52">
        <v>150</v>
      </c>
      <c r="U11" s="52">
        <v>200</v>
      </c>
      <c r="V11" s="52">
        <v>320</v>
      </c>
      <c r="W11" s="52">
        <v>360</v>
      </c>
      <c r="X11" s="52">
        <v>280</v>
      </c>
      <c r="Y11" s="52">
        <v>240</v>
      </c>
      <c r="Z11" s="54">
        <v>240</v>
      </c>
      <c r="AA11" s="54">
        <v>200</v>
      </c>
      <c r="AB11" s="54">
        <v>180</v>
      </c>
      <c r="AC11" s="54">
        <v>130</v>
      </c>
      <c r="AD11" s="54">
        <v>80</v>
      </c>
      <c r="AE11" s="54">
        <v>80</v>
      </c>
      <c r="AF11" s="54">
        <v>80</v>
      </c>
      <c r="AG11" s="55">
        <v>456</v>
      </c>
      <c r="AH11" s="56">
        <f>MAX(B11:AF11)</f>
        <v>360</v>
      </c>
      <c r="AI11" s="57">
        <f>MIN(B11:AF11)</f>
        <v>80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>
        <v>60</v>
      </c>
      <c r="C12" s="49">
        <v>60</v>
      </c>
      <c r="D12" s="49">
        <v>60</v>
      </c>
      <c r="E12" s="49">
        <v>60</v>
      </c>
      <c r="F12" s="49">
        <v>60</v>
      </c>
      <c r="G12" s="49">
        <v>60</v>
      </c>
      <c r="H12" s="49">
        <v>60</v>
      </c>
      <c r="I12" s="49">
        <v>60</v>
      </c>
      <c r="J12" s="49">
        <v>60</v>
      </c>
      <c r="K12" s="49">
        <v>60</v>
      </c>
      <c r="L12" s="49">
        <v>60</v>
      </c>
      <c r="M12" s="49">
        <v>60</v>
      </c>
      <c r="N12" s="49">
        <v>60</v>
      </c>
      <c r="O12" s="49">
        <v>60</v>
      </c>
      <c r="P12" s="49">
        <v>60</v>
      </c>
      <c r="Q12" s="49">
        <v>60</v>
      </c>
      <c r="R12" s="49">
        <v>60</v>
      </c>
      <c r="S12" s="49">
        <v>60</v>
      </c>
      <c r="T12" s="60">
        <v>60</v>
      </c>
      <c r="U12" s="60">
        <v>60</v>
      </c>
      <c r="V12" s="60">
        <v>60</v>
      </c>
      <c r="W12" s="60">
        <v>60</v>
      </c>
      <c r="X12" s="60">
        <v>60</v>
      </c>
      <c r="Y12" s="60">
        <v>60</v>
      </c>
      <c r="Z12" s="60">
        <v>60</v>
      </c>
      <c r="AA12" s="60">
        <v>60</v>
      </c>
      <c r="AB12" s="60">
        <v>60</v>
      </c>
      <c r="AC12" s="60">
        <v>60</v>
      </c>
      <c r="AD12" s="60">
        <v>60</v>
      </c>
      <c r="AE12" s="60">
        <v>40</v>
      </c>
      <c r="AF12" s="60">
        <v>40</v>
      </c>
      <c r="AG12" s="61">
        <v>60</v>
      </c>
      <c r="AH12" s="56">
        <f t="shared" ref="AH12:AH77" si="2">MAX(B12:AF12)</f>
        <v>60</v>
      </c>
      <c r="AI12" s="57">
        <f t="shared" ref="AI12:AI77" si="3">MIN(B12:AF12)</f>
        <v>40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>
        <v>24</v>
      </c>
      <c r="C13" s="49">
        <v>24</v>
      </c>
      <c r="D13" s="49">
        <v>24</v>
      </c>
      <c r="E13" s="49">
        <v>24</v>
      </c>
      <c r="F13" s="49">
        <v>24</v>
      </c>
      <c r="G13" s="49">
        <v>24</v>
      </c>
      <c r="H13" s="49">
        <v>24</v>
      </c>
      <c r="I13" s="49">
        <v>24</v>
      </c>
      <c r="J13" s="49">
        <v>24</v>
      </c>
      <c r="K13" s="49">
        <v>36</v>
      </c>
      <c r="L13" s="49">
        <v>36</v>
      </c>
      <c r="M13" s="49">
        <v>36</v>
      </c>
      <c r="N13" s="49">
        <v>36</v>
      </c>
      <c r="O13" s="49">
        <v>36</v>
      </c>
      <c r="P13" s="49">
        <v>36</v>
      </c>
      <c r="Q13" s="49">
        <v>36</v>
      </c>
      <c r="R13" s="49">
        <v>36</v>
      </c>
      <c r="S13" s="49">
        <v>36</v>
      </c>
      <c r="T13" s="60">
        <v>32</v>
      </c>
      <c r="U13" s="60">
        <v>32</v>
      </c>
      <c r="V13" s="60">
        <v>32</v>
      </c>
      <c r="W13" s="60">
        <v>32</v>
      </c>
      <c r="X13" s="60">
        <v>32</v>
      </c>
      <c r="Y13" s="60">
        <v>32</v>
      </c>
      <c r="Z13" s="60">
        <v>32</v>
      </c>
      <c r="AA13" s="60">
        <v>32</v>
      </c>
      <c r="AB13" s="60">
        <v>32</v>
      </c>
      <c r="AC13" s="60">
        <v>32</v>
      </c>
      <c r="AD13" s="60">
        <v>32</v>
      </c>
      <c r="AE13" s="60">
        <v>32</v>
      </c>
      <c r="AF13" s="60">
        <v>32</v>
      </c>
      <c r="AG13" s="61">
        <v>52.4</v>
      </c>
      <c r="AH13" s="56">
        <f>MAX(B13:AF13)</f>
        <v>36</v>
      </c>
      <c r="AI13" s="57">
        <f>MIN(B13:AF13)</f>
        <v>24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>
        <v>25.4</v>
      </c>
      <c r="C14" s="49">
        <v>25.4</v>
      </c>
      <c r="D14" s="49">
        <v>25.7</v>
      </c>
      <c r="E14" s="49">
        <v>25.4</v>
      </c>
      <c r="F14" s="49">
        <v>25.3</v>
      </c>
      <c r="G14" s="49">
        <v>25.3</v>
      </c>
      <c r="H14" s="49">
        <v>25.3</v>
      </c>
      <c r="I14" s="49">
        <v>25.3</v>
      </c>
      <c r="J14" s="49">
        <v>25.3</v>
      </c>
      <c r="K14" s="49">
        <v>25.3</v>
      </c>
      <c r="L14" s="50">
        <v>25.3</v>
      </c>
      <c r="M14" s="50">
        <v>25.3</v>
      </c>
      <c r="N14" s="50">
        <v>25.3</v>
      </c>
      <c r="O14" s="50">
        <v>25.3</v>
      </c>
      <c r="P14" s="50">
        <v>25.3</v>
      </c>
      <c r="Q14" s="50">
        <v>25.3</v>
      </c>
      <c r="R14" s="50">
        <v>25.3</v>
      </c>
      <c r="S14" s="50">
        <v>25.3</v>
      </c>
      <c r="T14" s="50">
        <v>25.3</v>
      </c>
      <c r="U14" s="50">
        <v>25.3</v>
      </c>
      <c r="V14" s="50">
        <v>25.3</v>
      </c>
      <c r="W14" s="62">
        <v>25.3</v>
      </c>
      <c r="X14" s="50">
        <v>25.3</v>
      </c>
      <c r="Y14" s="50">
        <v>25.3</v>
      </c>
      <c r="Z14" s="50">
        <v>25.3</v>
      </c>
      <c r="AA14" s="50">
        <v>25.2</v>
      </c>
      <c r="AB14" s="50">
        <v>25.2</v>
      </c>
      <c r="AC14" s="50">
        <v>25.2</v>
      </c>
      <c r="AD14" s="50">
        <v>25.6</v>
      </c>
      <c r="AE14" s="50">
        <v>25.4</v>
      </c>
      <c r="AF14" s="50">
        <v>25.3</v>
      </c>
      <c r="AG14" s="61">
        <v>50</v>
      </c>
      <c r="AH14" s="56">
        <f t="shared" si="2"/>
        <v>25.7</v>
      </c>
      <c r="AI14" s="57">
        <f t="shared" si="3"/>
        <v>25.2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>
        <v>37.5</v>
      </c>
      <c r="C15" s="63">
        <v>37.5</v>
      </c>
      <c r="D15" s="63">
        <v>39.200000000000003</v>
      </c>
      <c r="E15" s="63">
        <v>39.299999999999997</v>
      </c>
      <c r="F15" s="63">
        <v>39.299999999999997</v>
      </c>
      <c r="G15" s="63">
        <v>39.299999999999997</v>
      </c>
      <c r="H15" s="63">
        <v>39.299999999999997</v>
      </c>
      <c r="I15" s="63">
        <v>39.299999999999997</v>
      </c>
      <c r="J15" s="63">
        <v>39.299999999999997</v>
      </c>
      <c r="K15" s="63">
        <v>37.200000000000003</v>
      </c>
      <c r="L15" s="50">
        <v>37.200000000000003</v>
      </c>
      <c r="M15" s="50">
        <v>37.200000000000003</v>
      </c>
      <c r="N15" s="50">
        <v>37.200000000000003</v>
      </c>
      <c r="O15" s="50">
        <v>37.200000000000003</v>
      </c>
      <c r="P15" s="50">
        <v>37.200000000000003</v>
      </c>
      <c r="Q15" s="50">
        <v>37.200000000000003</v>
      </c>
      <c r="R15" s="50">
        <v>37.200000000000003</v>
      </c>
      <c r="S15" s="50">
        <v>37.200000000000003</v>
      </c>
      <c r="T15" s="50">
        <v>37.200000000000003</v>
      </c>
      <c r="U15" s="50">
        <v>37.200000000000003</v>
      </c>
      <c r="V15" s="50">
        <v>37.200000000000003</v>
      </c>
      <c r="W15" s="62">
        <v>37.200000000000003</v>
      </c>
      <c r="X15" s="50">
        <v>37.200000000000003</v>
      </c>
      <c r="Y15" s="50">
        <v>37.200000000000003</v>
      </c>
      <c r="Z15" s="50">
        <v>37.200000000000003</v>
      </c>
      <c r="AA15" s="50">
        <v>39.9</v>
      </c>
      <c r="AB15" s="50">
        <v>39.9</v>
      </c>
      <c r="AC15" s="50">
        <v>41</v>
      </c>
      <c r="AD15" s="50">
        <v>41</v>
      </c>
      <c r="AE15" s="50">
        <v>41</v>
      </c>
      <c r="AF15" s="50">
        <v>36</v>
      </c>
      <c r="AG15" s="64">
        <v>45</v>
      </c>
      <c r="AH15" s="56">
        <f t="shared" si="2"/>
        <v>41</v>
      </c>
      <c r="AI15" s="57">
        <f t="shared" si="3"/>
        <v>36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>
        <v>23</v>
      </c>
      <c r="C16" s="49">
        <v>23</v>
      </c>
      <c r="D16" s="49">
        <v>23</v>
      </c>
      <c r="E16" s="49">
        <v>23</v>
      </c>
      <c r="F16" s="49">
        <v>23</v>
      </c>
      <c r="G16" s="49">
        <v>23</v>
      </c>
      <c r="H16" s="49">
        <v>23</v>
      </c>
      <c r="I16" s="49">
        <v>23</v>
      </c>
      <c r="J16" s="49">
        <v>23</v>
      </c>
      <c r="K16" s="49">
        <v>23</v>
      </c>
      <c r="L16" s="50">
        <v>23</v>
      </c>
      <c r="M16" s="50">
        <v>23</v>
      </c>
      <c r="N16" s="50">
        <v>23</v>
      </c>
      <c r="O16" s="50">
        <v>23</v>
      </c>
      <c r="P16" s="50">
        <v>23</v>
      </c>
      <c r="Q16" s="50">
        <v>23</v>
      </c>
      <c r="R16" s="50">
        <v>23</v>
      </c>
      <c r="S16" s="50">
        <v>23</v>
      </c>
      <c r="T16" s="50">
        <v>23</v>
      </c>
      <c r="U16" s="50">
        <v>23</v>
      </c>
      <c r="V16" s="50">
        <v>23</v>
      </c>
      <c r="W16" s="65">
        <v>23</v>
      </c>
      <c r="X16" s="50">
        <v>23</v>
      </c>
      <c r="Y16" s="50">
        <v>23</v>
      </c>
      <c r="Z16" s="50">
        <v>23</v>
      </c>
      <c r="AA16" s="50">
        <v>23</v>
      </c>
      <c r="AB16" s="50">
        <v>23</v>
      </c>
      <c r="AC16" s="50">
        <v>23</v>
      </c>
      <c r="AD16" s="50">
        <v>23</v>
      </c>
      <c r="AE16" s="50">
        <v>23</v>
      </c>
      <c r="AF16" s="50">
        <v>23</v>
      </c>
      <c r="AG16" s="61">
        <v>45</v>
      </c>
      <c r="AH16" s="56">
        <f t="shared" si="2"/>
        <v>23</v>
      </c>
      <c r="AI16" s="57">
        <f t="shared" si="3"/>
        <v>23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>
        <v>23</v>
      </c>
      <c r="C17" s="49">
        <v>23</v>
      </c>
      <c r="D17" s="49">
        <v>23</v>
      </c>
      <c r="E17" s="49">
        <v>23</v>
      </c>
      <c r="F17" s="49">
        <v>23</v>
      </c>
      <c r="G17" s="49">
        <v>23</v>
      </c>
      <c r="H17" s="49">
        <v>23</v>
      </c>
      <c r="I17" s="49">
        <v>23</v>
      </c>
      <c r="J17" s="49">
        <v>23</v>
      </c>
      <c r="K17" s="49">
        <v>23</v>
      </c>
      <c r="L17" s="50">
        <v>23</v>
      </c>
      <c r="M17" s="50">
        <v>23</v>
      </c>
      <c r="N17" s="50">
        <v>23</v>
      </c>
      <c r="O17" s="50">
        <v>23</v>
      </c>
      <c r="P17" s="50">
        <v>23</v>
      </c>
      <c r="Q17" s="50">
        <v>23</v>
      </c>
      <c r="R17" s="50">
        <v>23</v>
      </c>
      <c r="S17" s="50">
        <v>23</v>
      </c>
      <c r="T17" s="50">
        <v>23</v>
      </c>
      <c r="U17" s="50">
        <v>23</v>
      </c>
      <c r="V17" s="50">
        <v>23</v>
      </c>
      <c r="W17" s="62">
        <v>23</v>
      </c>
      <c r="X17" s="50">
        <v>23</v>
      </c>
      <c r="Y17" s="50">
        <v>23</v>
      </c>
      <c r="Z17" s="50">
        <v>23</v>
      </c>
      <c r="AA17" s="50">
        <v>23</v>
      </c>
      <c r="AB17" s="50">
        <v>23</v>
      </c>
      <c r="AC17" s="50">
        <v>23</v>
      </c>
      <c r="AD17" s="50">
        <v>23</v>
      </c>
      <c r="AE17" s="50">
        <v>23</v>
      </c>
      <c r="AF17" s="50">
        <v>23</v>
      </c>
      <c r="AG17" s="61">
        <v>42</v>
      </c>
      <c r="AH17" s="56">
        <f t="shared" si="2"/>
        <v>23</v>
      </c>
      <c r="AI17" s="57">
        <f t="shared" si="3"/>
        <v>23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>
        <v>20</v>
      </c>
      <c r="C18" s="49">
        <v>20</v>
      </c>
      <c r="D18" s="49">
        <v>20</v>
      </c>
      <c r="E18" s="49">
        <v>20</v>
      </c>
      <c r="F18" s="49">
        <v>20</v>
      </c>
      <c r="G18" s="49">
        <v>20</v>
      </c>
      <c r="H18" s="49">
        <v>20</v>
      </c>
      <c r="I18" s="49">
        <v>20</v>
      </c>
      <c r="J18" s="49">
        <v>20</v>
      </c>
      <c r="K18" s="49">
        <v>20</v>
      </c>
      <c r="L18" s="50">
        <v>20</v>
      </c>
      <c r="M18" s="50">
        <v>20</v>
      </c>
      <c r="N18" s="50">
        <v>20</v>
      </c>
      <c r="O18" s="50">
        <v>20</v>
      </c>
      <c r="P18" s="50">
        <v>20</v>
      </c>
      <c r="Q18" s="50">
        <v>20</v>
      </c>
      <c r="R18" s="50">
        <v>20</v>
      </c>
      <c r="S18" s="50">
        <v>20</v>
      </c>
      <c r="T18" s="50">
        <v>20</v>
      </c>
      <c r="U18" s="50">
        <v>20</v>
      </c>
      <c r="V18" s="50">
        <v>20</v>
      </c>
      <c r="W18" s="50">
        <v>20</v>
      </c>
      <c r="X18" s="50">
        <v>20</v>
      </c>
      <c r="Y18" s="50">
        <v>20</v>
      </c>
      <c r="Z18" s="50">
        <v>20</v>
      </c>
      <c r="AA18" s="50">
        <v>20</v>
      </c>
      <c r="AB18" s="50">
        <v>20</v>
      </c>
      <c r="AC18" s="50">
        <v>20</v>
      </c>
      <c r="AD18" s="50">
        <v>20</v>
      </c>
      <c r="AE18" s="50">
        <v>20</v>
      </c>
      <c r="AF18" s="50">
        <v>20</v>
      </c>
      <c r="AG18" s="61">
        <v>36</v>
      </c>
      <c r="AH18" s="56">
        <f t="shared" si="2"/>
        <v>20</v>
      </c>
      <c r="AI18" s="57">
        <f t="shared" si="3"/>
        <v>20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>
        <v>23.7</v>
      </c>
      <c r="C19" s="49">
        <v>23.7</v>
      </c>
      <c r="D19" s="49">
        <v>22.3</v>
      </c>
      <c r="E19" s="49">
        <v>22.3</v>
      </c>
      <c r="F19" s="49">
        <v>22</v>
      </c>
      <c r="G19" s="49">
        <v>22</v>
      </c>
      <c r="H19" s="49">
        <v>22</v>
      </c>
      <c r="I19" s="49">
        <v>22</v>
      </c>
      <c r="J19" s="49">
        <v>22</v>
      </c>
      <c r="K19" s="49">
        <v>22</v>
      </c>
      <c r="L19" s="50">
        <v>22</v>
      </c>
      <c r="M19" s="50">
        <v>22</v>
      </c>
      <c r="N19" s="50">
        <v>22</v>
      </c>
      <c r="O19" s="50">
        <v>22</v>
      </c>
      <c r="P19" s="50">
        <v>22</v>
      </c>
      <c r="Q19" s="50">
        <v>22</v>
      </c>
      <c r="R19" s="50">
        <v>22</v>
      </c>
      <c r="S19" s="50">
        <v>22</v>
      </c>
      <c r="T19" s="50">
        <v>22</v>
      </c>
      <c r="U19" s="50">
        <v>22</v>
      </c>
      <c r="V19" s="50">
        <v>22</v>
      </c>
      <c r="W19" s="50">
        <v>22</v>
      </c>
      <c r="X19" s="50">
        <v>22</v>
      </c>
      <c r="Y19" s="50">
        <v>22</v>
      </c>
      <c r="Z19" s="50">
        <v>22</v>
      </c>
      <c r="AA19" s="50">
        <v>21.5</v>
      </c>
      <c r="AB19" s="50">
        <v>21.5</v>
      </c>
      <c r="AC19" s="50">
        <v>21.5</v>
      </c>
      <c r="AD19" s="50">
        <v>21.5</v>
      </c>
      <c r="AE19" s="50">
        <v>21.5</v>
      </c>
      <c r="AF19" s="50">
        <v>21.4</v>
      </c>
      <c r="AG19" s="61">
        <v>30</v>
      </c>
      <c r="AH19" s="56">
        <f t="shared" si="2"/>
        <v>23.7</v>
      </c>
      <c r="AI19" s="57">
        <f t="shared" si="3"/>
        <v>21.4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61">
        <v>27</v>
      </c>
      <c r="AH20" s="56">
        <f t="shared" si="2"/>
        <v>6.2</v>
      </c>
      <c r="AI20" s="57">
        <f t="shared" si="3"/>
        <v>6.2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>
        <v>11</v>
      </c>
      <c r="C21" s="49">
        <v>11</v>
      </c>
      <c r="D21" s="49">
        <v>11</v>
      </c>
      <c r="E21" s="49">
        <v>11</v>
      </c>
      <c r="F21" s="49">
        <v>11</v>
      </c>
      <c r="G21" s="49">
        <v>11</v>
      </c>
      <c r="H21" s="49">
        <v>11</v>
      </c>
      <c r="I21" s="49">
        <v>11</v>
      </c>
      <c r="J21" s="49">
        <v>11</v>
      </c>
      <c r="K21" s="49">
        <v>11</v>
      </c>
      <c r="L21" s="50">
        <v>11</v>
      </c>
      <c r="M21" s="50">
        <v>11</v>
      </c>
      <c r="N21" s="50">
        <v>11</v>
      </c>
      <c r="O21" s="50">
        <v>11</v>
      </c>
      <c r="P21" s="50">
        <v>11</v>
      </c>
      <c r="Q21" s="50">
        <v>11</v>
      </c>
      <c r="R21" s="50">
        <v>11</v>
      </c>
      <c r="S21" s="50">
        <v>11</v>
      </c>
      <c r="T21" s="50">
        <v>11</v>
      </c>
      <c r="U21" s="50">
        <v>11</v>
      </c>
      <c r="V21" s="50">
        <v>11</v>
      </c>
      <c r="W21" s="50">
        <v>11</v>
      </c>
      <c r="X21" s="50">
        <v>11</v>
      </c>
      <c r="Y21" s="50">
        <v>11</v>
      </c>
      <c r="Z21" s="50">
        <v>11</v>
      </c>
      <c r="AA21" s="50">
        <v>11</v>
      </c>
      <c r="AB21" s="50">
        <v>11</v>
      </c>
      <c r="AC21" s="50">
        <v>11</v>
      </c>
      <c r="AD21" s="50">
        <v>11</v>
      </c>
      <c r="AE21" s="50">
        <v>11</v>
      </c>
      <c r="AF21" s="50">
        <v>11</v>
      </c>
      <c r="AG21" s="61">
        <v>25</v>
      </c>
      <c r="AH21" s="56">
        <f t="shared" si="2"/>
        <v>11</v>
      </c>
      <c r="AI21" s="57">
        <f t="shared" si="3"/>
        <v>11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>
        <v>22</v>
      </c>
      <c r="C22" s="49">
        <v>22</v>
      </c>
      <c r="D22" s="49">
        <v>22</v>
      </c>
      <c r="E22" s="49">
        <v>22</v>
      </c>
      <c r="F22" s="49">
        <v>22</v>
      </c>
      <c r="G22" s="49">
        <v>22</v>
      </c>
      <c r="H22" s="49">
        <v>22</v>
      </c>
      <c r="I22" s="49">
        <v>22</v>
      </c>
      <c r="J22" s="49">
        <v>22</v>
      </c>
      <c r="K22" s="49">
        <v>22</v>
      </c>
      <c r="L22" s="50">
        <v>22</v>
      </c>
      <c r="M22" s="50">
        <v>22</v>
      </c>
      <c r="N22" s="50">
        <v>22</v>
      </c>
      <c r="O22" s="50">
        <v>22</v>
      </c>
      <c r="P22" s="50">
        <v>22</v>
      </c>
      <c r="Q22" s="50">
        <v>22</v>
      </c>
      <c r="R22" s="50">
        <v>22</v>
      </c>
      <c r="S22" s="50">
        <v>22</v>
      </c>
      <c r="T22" s="50">
        <v>22</v>
      </c>
      <c r="U22" s="50">
        <v>22</v>
      </c>
      <c r="V22" s="50">
        <v>22</v>
      </c>
      <c r="W22" s="50">
        <v>22</v>
      </c>
      <c r="X22" s="50">
        <v>22</v>
      </c>
      <c r="Y22" s="50">
        <v>22</v>
      </c>
      <c r="Z22" s="50">
        <v>22</v>
      </c>
      <c r="AA22" s="50">
        <v>22</v>
      </c>
      <c r="AB22" s="50">
        <v>22</v>
      </c>
      <c r="AC22" s="50">
        <v>22</v>
      </c>
      <c r="AD22" s="50">
        <v>22</v>
      </c>
      <c r="AE22" s="50">
        <v>22</v>
      </c>
      <c r="AF22" s="50">
        <v>22</v>
      </c>
      <c r="AG22" s="61">
        <v>25</v>
      </c>
      <c r="AH22" s="56">
        <f t="shared" si="2"/>
        <v>22</v>
      </c>
      <c r="AI22" s="57">
        <f t="shared" si="3"/>
        <v>22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61">
        <v>25</v>
      </c>
      <c r="AH23" s="56">
        <f t="shared" si="2"/>
        <v>8</v>
      </c>
      <c r="AI23" s="57">
        <f t="shared" si="3"/>
        <v>8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>
        <v>16</v>
      </c>
      <c r="C24" s="49">
        <v>16</v>
      </c>
      <c r="D24" s="49">
        <v>16</v>
      </c>
      <c r="E24" s="49">
        <v>16</v>
      </c>
      <c r="F24" s="49">
        <v>16</v>
      </c>
      <c r="G24" s="49">
        <v>16</v>
      </c>
      <c r="H24" s="49">
        <v>16</v>
      </c>
      <c r="I24" s="49">
        <v>16</v>
      </c>
      <c r="J24" s="49">
        <v>16</v>
      </c>
      <c r="K24" s="49">
        <v>16</v>
      </c>
      <c r="L24" s="50">
        <v>16</v>
      </c>
      <c r="M24" s="50">
        <v>16</v>
      </c>
      <c r="N24" s="50">
        <v>16</v>
      </c>
      <c r="O24" s="50">
        <v>16</v>
      </c>
      <c r="P24" s="50">
        <v>16</v>
      </c>
      <c r="Q24" s="50">
        <v>16</v>
      </c>
      <c r="R24" s="50">
        <v>16</v>
      </c>
      <c r="S24" s="50">
        <v>16</v>
      </c>
      <c r="T24" s="50">
        <v>16</v>
      </c>
      <c r="U24" s="50">
        <v>16</v>
      </c>
      <c r="V24" s="50">
        <v>16</v>
      </c>
      <c r="W24" s="50">
        <v>16</v>
      </c>
      <c r="X24" s="50">
        <v>16</v>
      </c>
      <c r="Y24" s="50">
        <v>16</v>
      </c>
      <c r="Z24" s="50">
        <v>16</v>
      </c>
      <c r="AA24" s="50">
        <v>16</v>
      </c>
      <c r="AB24" s="50">
        <v>16</v>
      </c>
      <c r="AC24" s="50">
        <v>16</v>
      </c>
      <c r="AD24" s="50">
        <v>16</v>
      </c>
      <c r="AE24" s="50">
        <v>16</v>
      </c>
      <c r="AF24" s="50">
        <v>16</v>
      </c>
      <c r="AG24" s="61">
        <v>25</v>
      </c>
      <c r="AH24" s="56">
        <f t="shared" si="2"/>
        <v>16</v>
      </c>
      <c r="AI24" s="57">
        <f t="shared" si="3"/>
        <v>16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>
        <v>10</v>
      </c>
      <c r="C25" s="49">
        <v>10</v>
      </c>
      <c r="D25" s="49">
        <v>10</v>
      </c>
      <c r="E25" s="49">
        <v>10</v>
      </c>
      <c r="F25" s="49">
        <v>10</v>
      </c>
      <c r="G25" s="49">
        <v>10</v>
      </c>
      <c r="H25" s="49">
        <v>10</v>
      </c>
      <c r="I25" s="49">
        <v>10</v>
      </c>
      <c r="J25" s="49">
        <v>10</v>
      </c>
      <c r="K25" s="49">
        <v>10</v>
      </c>
      <c r="L25" s="50">
        <v>10</v>
      </c>
      <c r="M25" s="50">
        <v>10</v>
      </c>
      <c r="N25" s="50">
        <v>10</v>
      </c>
      <c r="O25" s="50">
        <v>10</v>
      </c>
      <c r="P25" s="50">
        <v>10</v>
      </c>
      <c r="Q25" s="50">
        <v>10</v>
      </c>
      <c r="R25" s="50">
        <v>10</v>
      </c>
      <c r="S25" s="50">
        <v>10</v>
      </c>
      <c r="T25" s="50">
        <v>10</v>
      </c>
      <c r="U25" s="50">
        <v>10</v>
      </c>
      <c r="V25" s="50">
        <v>10</v>
      </c>
      <c r="W25" s="50">
        <v>10</v>
      </c>
      <c r="X25" s="50">
        <v>20</v>
      </c>
      <c r="Y25" s="50">
        <v>20</v>
      </c>
      <c r="Z25" s="50">
        <v>20</v>
      </c>
      <c r="AA25" s="50">
        <v>20</v>
      </c>
      <c r="AB25" s="50">
        <v>20</v>
      </c>
      <c r="AC25" s="50">
        <v>20</v>
      </c>
      <c r="AD25" s="50">
        <v>20</v>
      </c>
      <c r="AE25" s="50">
        <v>20</v>
      </c>
      <c r="AF25" s="50">
        <v>20</v>
      </c>
      <c r="AG25" s="61">
        <v>24.2</v>
      </c>
      <c r="AH25" s="56">
        <f t="shared" si="2"/>
        <v>20</v>
      </c>
      <c r="AI25" s="57">
        <f t="shared" si="3"/>
        <v>10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>
        <v>4</v>
      </c>
      <c r="C26" s="49">
        <v>4</v>
      </c>
      <c r="D26" s="49">
        <v>4</v>
      </c>
      <c r="E26" s="49">
        <v>4</v>
      </c>
      <c r="F26" s="49">
        <v>4</v>
      </c>
      <c r="G26" s="49">
        <v>4</v>
      </c>
      <c r="H26" s="49">
        <v>4</v>
      </c>
      <c r="I26" s="49">
        <v>4</v>
      </c>
      <c r="J26" s="49">
        <v>4</v>
      </c>
      <c r="K26" s="49">
        <v>4</v>
      </c>
      <c r="L26" s="50">
        <v>4</v>
      </c>
      <c r="M26" s="50">
        <v>4</v>
      </c>
      <c r="N26" s="50">
        <v>4</v>
      </c>
      <c r="O26" s="50">
        <v>4</v>
      </c>
      <c r="P26" s="50">
        <v>4</v>
      </c>
      <c r="Q26" s="50">
        <v>4</v>
      </c>
      <c r="R26" s="50">
        <v>4</v>
      </c>
      <c r="S26" s="50">
        <v>4</v>
      </c>
      <c r="T26" s="50">
        <v>4</v>
      </c>
      <c r="U26" s="50">
        <v>4</v>
      </c>
      <c r="V26" s="50">
        <v>4</v>
      </c>
      <c r="W26" s="50">
        <v>4</v>
      </c>
      <c r="X26" s="50">
        <v>4</v>
      </c>
      <c r="Y26" s="50">
        <v>4</v>
      </c>
      <c r="Z26" s="50">
        <v>4</v>
      </c>
      <c r="AA26" s="50">
        <v>4</v>
      </c>
      <c r="AB26" s="50">
        <v>4</v>
      </c>
      <c r="AC26" s="50">
        <v>4</v>
      </c>
      <c r="AD26" s="50">
        <v>4</v>
      </c>
      <c r="AE26" s="50">
        <v>4</v>
      </c>
      <c r="AF26" s="50">
        <v>4</v>
      </c>
      <c r="AG26" s="61">
        <v>20</v>
      </c>
      <c r="AH26" s="56">
        <f>MAX(B26:AF26)</f>
        <v>4</v>
      </c>
      <c r="AI26" s="57">
        <f>MIN(B26:AF26)</f>
        <v>4</v>
      </c>
      <c r="AK26" s="58"/>
      <c r="AL26" s="30">
        <v>4160.3630000000003</v>
      </c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>
        <v>9</v>
      </c>
      <c r="C27" s="49">
        <v>9</v>
      </c>
      <c r="D27" s="49">
        <v>9</v>
      </c>
      <c r="E27" s="49">
        <v>9</v>
      </c>
      <c r="F27" s="49">
        <v>9</v>
      </c>
      <c r="G27" s="49">
        <v>9</v>
      </c>
      <c r="H27" s="49">
        <v>9</v>
      </c>
      <c r="I27" s="49">
        <v>9</v>
      </c>
      <c r="J27" s="49">
        <v>9</v>
      </c>
      <c r="K27" s="49">
        <v>9</v>
      </c>
      <c r="L27" s="50">
        <v>9</v>
      </c>
      <c r="M27" s="50">
        <v>9</v>
      </c>
      <c r="N27" s="50">
        <v>9</v>
      </c>
      <c r="O27" s="50">
        <v>9</v>
      </c>
      <c r="P27" s="50">
        <v>9</v>
      </c>
      <c r="Q27" s="50">
        <v>9</v>
      </c>
      <c r="R27" s="50">
        <v>9</v>
      </c>
      <c r="S27" s="50">
        <v>9</v>
      </c>
      <c r="T27" s="50">
        <v>9</v>
      </c>
      <c r="U27" s="50">
        <v>9</v>
      </c>
      <c r="V27" s="50">
        <v>9</v>
      </c>
      <c r="W27" s="50">
        <v>9</v>
      </c>
      <c r="X27" s="50">
        <v>9</v>
      </c>
      <c r="Y27" s="50">
        <v>9</v>
      </c>
      <c r="Z27" s="50">
        <v>9</v>
      </c>
      <c r="AA27" s="50">
        <v>9</v>
      </c>
      <c r="AB27" s="50">
        <v>9</v>
      </c>
      <c r="AC27" s="50">
        <v>9</v>
      </c>
      <c r="AD27" s="50">
        <v>9</v>
      </c>
      <c r="AE27" s="50">
        <v>9</v>
      </c>
      <c r="AF27" s="50">
        <v>9</v>
      </c>
      <c r="AG27" s="61">
        <v>23.5</v>
      </c>
      <c r="AH27" s="56">
        <f t="shared" si="2"/>
        <v>9</v>
      </c>
      <c r="AI27" s="57">
        <f t="shared" si="3"/>
        <v>9</v>
      </c>
      <c r="AK27" s="58"/>
      <c r="AL27" s="30">
        <f>AL26/24</f>
        <v>173.34845833333335</v>
      </c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>
        <v>5</v>
      </c>
      <c r="C28" s="49">
        <v>5</v>
      </c>
      <c r="D28" s="49">
        <v>5</v>
      </c>
      <c r="E28" s="49">
        <v>5</v>
      </c>
      <c r="F28" s="49">
        <v>5</v>
      </c>
      <c r="G28" s="49">
        <v>5</v>
      </c>
      <c r="H28" s="49">
        <v>5</v>
      </c>
      <c r="I28" s="49">
        <v>5</v>
      </c>
      <c r="J28" s="49">
        <v>5</v>
      </c>
      <c r="K28" s="49">
        <v>5</v>
      </c>
      <c r="L28" s="50">
        <v>5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5</v>
      </c>
      <c r="T28" s="50">
        <v>5</v>
      </c>
      <c r="U28" s="50">
        <v>5</v>
      </c>
      <c r="V28" s="50">
        <v>5</v>
      </c>
      <c r="W28" s="50">
        <v>5</v>
      </c>
      <c r="X28" s="50">
        <v>5</v>
      </c>
      <c r="Y28" s="50">
        <v>5</v>
      </c>
      <c r="Z28" s="50">
        <v>5</v>
      </c>
      <c r="AA28" s="50">
        <v>5</v>
      </c>
      <c r="AB28" s="50">
        <v>5</v>
      </c>
      <c r="AC28" s="50">
        <v>5</v>
      </c>
      <c r="AD28" s="50">
        <v>5</v>
      </c>
      <c r="AE28" s="50">
        <v>5</v>
      </c>
      <c r="AF28" s="50">
        <v>5</v>
      </c>
      <c r="AG28" s="61">
        <v>22.2</v>
      </c>
      <c r="AH28" s="56">
        <f t="shared" si="2"/>
        <v>5</v>
      </c>
      <c r="AI28" s="57">
        <f t="shared" si="3"/>
        <v>5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61">
        <v>22.1</v>
      </c>
      <c r="AH30" s="56">
        <f t="shared" si="2"/>
        <v>12</v>
      </c>
      <c r="AI30" s="57">
        <f t="shared" si="3"/>
        <v>12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>
        <v>9</v>
      </c>
      <c r="C33" s="63">
        <v>9</v>
      </c>
      <c r="D33" s="63">
        <v>9</v>
      </c>
      <c r="E33" s="63">
        <v>9</v>
      </c>
      <c r="F33" s="63">
        <v>9</v>
      </c>
      <c r="G33" s="63">
        <v>9</v>
      </c>
      <c r="H33" s="63">
        <v>9</v>
      </c>
      <c r="I33" s="63">
        <v>9</v>
      </c>
      <c r="J33" s="63">
        <v>9</v>
      </c>
      <c r="K33" s="63">
        <v>9</v>
      </c>
      <c r="L33" s="50">
        <v>9</v>
      </c>
      <c r="M33" s="50">
        <v>9</v>
      </c>
      <c r="N33" s="50">
        <v>9</v>
      </c>
      <c r="O33" s="50">
        <v>9</v>
      </c>
      <c r="P33" s="50">
        <v>9</v>
      </c>
      <c r="Q33" s="50">
        <v>9</v>
      </c>
      <c r="R33" s="50">
        <v>9</v>
      </c>
      <c r="S33" s="50">
        <v>9</v>
      </c>
      <c r="T33" s="50">
        <v>9</v>
      </c>
      <c r="U33" s="50">
        <v>9</v>
      </c>
      <c r="V33" s="50">
        <v>9</v>
      </c>
      <c r="W33" s="50">
        <v>9</v>
      </c>
      <c r="X33" s="50">
        <v>9</v>
      </c>
      <c r="Y33" s="50">
        <v>9</v>
      </c>
      <c r="Z33" s="50">
        <v>9</v>
      </c>
      <c r="AA33" s="50">
        <v>9</v>
      </c>
      <c r="AB33" s="50">
        <v>9</v>
      </c>
      <c r="AC33" s="50">
        <v>9</v>
      </c>
      <c r="AD33" s="50">
        <v>9</v>
      </c>
      <c r="AE33" s="50">
        <v>9</v>
      </c>
      <c r="AF33" s="50">
        <v>9</v>
      </c>
      <c r="AG33" s="69">
        <v>20</v>
      </c>
      <c r="AH33" s="56">
        <f t="shared" si="2"/>
        <v>9</v>
      </c>
      <c r="AI33" s="57">
        <f t="shared" si="3"/>
        <v>9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>
        <v>220</v>
      </c>
      <c r="C35" s="63">
        <v>220</v>
      </c>
      <c r="D35" s="63">
        <v>220</v>
      </c>
      <c r="E35" s="63">
        <v>220</v>
      </c>
      <c r="F35" s="63">
        <v>220</v>
      </c>
      <c r="G35" s="63">
        <v>220</v>
      </c>
      <c r="H35" s="63">
        <v>220</v>
      </c>
      <c r="I35" s="63">
        <v>220</v>
      </c>
      <c r="J35" s="63">
        <v>220</v>
      </c>
      <c r="K35" s="63">
        <v>220</v>
      </c>
      <c r="L35" s="63">
        <v>220</v>
      </c>
      <c r="M35" s="63">
        <v>220</v>
      </c>
      <c r="N35" s="63">
        <v>220</v>
      </c>
      <c r="O35" s="63">
        <v>220</v>
      </c>
      <c r="P35" s="63">
        <v>220</v>
      </c>
      <c r="Q35" s="63">
        <v>220</v>
      </c>
      <c r="R35" s="63">
        <v>220</v>
      </c>
      <c r="S35" s="63">
        <v>220</v>
      </c>
      <c r="T35" s="63">
        <v>220</v>
      </c>
      <c r="U35" s="63">
        <v>220</v>
      </c>
      <c r="V35" s="63">
        <v>220</v>
      </c>
      <c r="W35" s="63">
        <v>220</v>
      </c>
      <c r="X35" s="63">
        <v>220</v>
      </c>
      <c r="Y35" s="63">
        <v>220</v>
      </c>
      <c r="Z35" s="63">
        <v>220</v>
      </c>
      <c r="AA35" s="63">
        <v>220</v>
      </c>
      <c r="AB35" s="63">
        <v>220</v>
      </c>
      <c r="AC35" s="63">
        <v>220</v>
      </c>
      <c r="AD35" s="63">
        <v>220</v>
      </c>
      <c r="AE35" s="63">
        <v>220</v>
      </c>
      <c r="AF35" s="63">
        <v>220</v>
      </c>
      <c r="AG35" s="69">
        <v>85</v>
      </c>
      <c r="AH35" s="56">
        <f t="shared" si="2"/>
        <v>220</v>
      </c>
      <c r="AI35" s="57">
        <f t="shared" si="3"/>
        <v>220</v>
      </c>
      <c r="AK35" s="58"/>
    </row>
    <row r="36" spans="1:88" ht="15.75" thickBot="1" x14ac:dyDescent="0.3">
      <c r="A36" s="71" t="s">
        <v>43</v>
      </c>
      <c r="B36" s="63">
        <v>109</v>
      </c>
      <c r="C36" s="63">
        <v>109</v>
      </c>
      <c r="D36" s="63">
        <v>109</v>
      </c>
      <c r="E36" s="63">
        <v>109</v>
      </c>
      <c r="F36" s="63">
        <v>109</v>
      </c>
      <c r="G36" s="63">
        <v>109</v>
      </c>
      <c r="H36" s="63">
        <v>109</v>
      </c>
      <c r="I36" s="63">
        <v>109</v>
      </c>
      <c r="J36" s="63">
        <v>109</v>
      </c>
      <c r="K36" s="63">
        <v>106</v>
      </c>
      <c r="L36" s="72">
        <v>107</v>
      </c>
      <c r="M36" s="72">
        <f>60.8+46.3</f>
        <v>107.1</v>
      </c>
      <c r="N36" s="72">
        <f>60.9+47</f>
        <v>107.9</v>
      </c>
      <c r="O36" s="72">
        <f>61.5+46.4</f>
        <v>107.9</v>
      </c>
      <c r="P36" s="72">
        <f>38+60.6</f>
        <v>98.6</v>
      </c>
      <c r="Q36" s="72">
        <f>37.8+56.1</f>
        <v>93.9</v>
      </c>
      <c r="R36" s="72">
        <v>93.1</v>
      </c>
      <c r="S36" s="72">
        <v>88.1</v>
      </c>
      <c r="T36" s="72">
        <v>87.5</v>
      </c>
      <c r="U36" s="72">
        <v>86.2</v>
      </c>
      <c r="V36" s="72">
        <v>82.9</v>
      </c>
      <c r="W36" s="72">
        <v>82.1</v>
      </c>
      <c r="X36" s="72">
        <v>82.9</v>
      </c>
      <c r="Y36" s="72">
        <v>102.1</v>
      </c>
      <c r="Z36" s="72">
        <v>102.1</v>
      </c>
      <c r="AA36" s="72">
        <f>44.4+58.9</f>
        <v>103.3</v>
      </c>
      <c r="AB36" s="72">
        <f>44.4+58.9</f>
        <v>103.3</v>
      </c>
      <c r="AC36" s="72">
        <f>44.8+58.3</f>
        <v>103.1</v>
      </c>
      <c r="AD36" s="72">
        <f>44.9+59.4</f>
        <v>104.3</v>
      </c>
      <c r="AE36" s="72">
        <f>44.3+60</f>
        <v>104.3</v>
      </c>
      <c r="AF36" s="72">
        <f>44.7+60.1</f>
        <v>104.80000000000001</v>
      </c>
      <c r="AG36" s="69">
        <v>240</v>
      </c>
      <c r="AH36" s="56">
        <f t="shared" si="2"/>
        <v>109</v>
      </c>
      <c r="AI36" s="57">
        <f t="shared" si="3"/>
        <v>82.1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658.8</v>
      </c>
      <c r="C37" s="74">
        <f t="shared" si="4"/>
        <v>658.8</v>
      </c>
      <c r="D37" s="74">
        <f t="shared" si="4"/>
        <v>659.4</v>
      </c>
      <c r="E37" s="74">
        <f t="shared" si="4"/>
        <v>659.2</v>
      </c>
      <c r="F37" s="74">
        <f t="shared" si="4"/>
        <v>658.8</v>
      </c>
      <c r="G37" s="74">
        <f t="shared" si="4"/>
        <v>678.8</v>
      </c>
      <c r="H37" s="74">
        <f t="shared" si="4"/>
        <v>681.8</v>
      </c>
      <c r="I37" s="74">
        <f t="shared" si="4"/>
        <v>698.8</v>
      </c>
      <c r="J37" s="74">
        <f t="shared" si="4"/>
        <v>768.8</v>
      </c>
      <c r="K37" s="74">
        <f t="shared" si="4"/>
        <v>778.7</v>
      </c>
      <c r="L37" s="74">
        <f t="shared" si="4"/>
        <v>778.7</v>
      </c>
      <c r="M37" s="74">
        <f t="shared" si="4"/>
        <v>783.7</v>
      </c>
      <c r="N37" s="74">
        <f t="shared" si="4"/>
        <v>778.7</v>
      </c>
      <c r="O37" s="74">
        <f t="shared" si="4"/>
        <v>738.7</v>
      </c>
      <c r="P37" s="74">
        <f t="shared" si="4"/>
        <v>748.7</v>
      </c>
      <c r="Q37" s="74">
        <f t="shared" si="4"/>
        <v>728.7</v>
      </c>
      <c r="R37" s="74">
        <f t="shared" si="4"/>
        <v>708.7</v>
      </c>
      <c r="S37" s="74">
        <f t="shared" si="4"/>
        <v>728.7</v>
      </c>
      <c r="T37" s="74">
        <f t="shared" si="4"/>
        <v>724.7</v>
      </c>
      <c r="U37" s="74">
        <f t="shared" si="4"/>
        <v>774.7</v>
      </c>
      <c r="V37" s="74">
        <f t="shared" si="4"/>
        <v>894.7</v>
      </c>
      <c r="W37" s="74">
        <f t="shared" si="4"/>
        <v>934.7</v>
      </c>
      <c r="X37" s="74">
        <f t="shared" si="4"/>
        <v>864.7</v>
      </c>
      <c r="Y37" s="74">
        <f t="shared" si="4"/>
        <v>824.7</v>
      </c>
      <c r="Z37" s="74">
        <f t="shared" si="4"/>
        <v>824.7</v>
      </c>
      <c r="AA37" s="74">
        <f t="shared" si="4"/>
        <v>786.8</v>
      </c>
      <c r="AB37" s="74">
        <f t="shared" si="4"/>
        <v>766.8</v>
      </c>
      <c r="AC37" s="74">
        <f t="shared" si="4"/>
        <v>717.9</v>
      </c>
      <c r="AD37" s="74">
        <f t="shared" si="4"/>
        <v>668.3</v>
      </c>
      <c r="AE37" s="74">
        <f t="shared" si="4"/>
        <v>648.09999999999991</v>
      </c>
      <c r="AF37" s="74">
        <f t="shared" si="4"/>
        <v>642.9</v>
      </c>
      <c r="AG37" s="69">
        <f>SUM(AG11:AG36)</f>
        <v>1481.8299999999997</v>
      </c>
      <c r="AH37" s="56">
        <f t="shared" si="2"/>
        <v>934.7</v>
      </c>
      <c r="AI37" s="57">
        <f t="shared" si="3"/>
        <v>642.9</v>
      </c>
      <c r="AK37" s="58"/>
    </row>
    <row r="38" spans="1:88" x14ac:dyDescent="0.25">
      <c r="A38" s="59" t="s">
        <v>45</v>
      </c>
      <c r="B38" s="63">
        <v>48.7</v>
      </c>
      <c r="C38" s="63">
        <v>38.1</v>
      </c>
      <c r="D38" s="63">
        <v>35.6</v>
      </c>
      <c r="E38" s="63">
        <v>35.700000000000003</v>
      </c>
      <c r="F38" s="63">
        <v>48.8</v>
      </c>
      <c r="G38" s="63">
        <v>62.8</v>
      </c>
      <c r="H38" s="63">
        <v>97.2</v>
      </c>
      <c r="I38" s="63">
        <v>112</v>
      </c>
      <c r="J38" s="63">
        <v>146</v>
      </c>
      <c r="K38" s="63">
        <v>146</v>
      </c>
      <c r="L38" s="50">
        <v>145.80000000000001</v>
      </c>
      <c r="M38" s="50">
        <v>136</v>
      </c>
      <c r="N38" s="50">
        <v>133.19999999999999</v>
      </c>
      <c r="O38" s="50">
        <v>123.5</v>
      </c>
      <c r="P38" s="50">
        <v>131.4</v>
      </c>
      <c r="Q38" s="50">
        <v>116.9</v>
      </c>
      <c r="R38" s="50">
        <v>118.5</v>
      </c>
      <c r="S38" s="50">
        <v>137</v>
      </c>
      <c r="T38" s="50">
        <v>131.6</v>
      </c>
      <c r="U38" s="50">
        <v>145.80000000000001</v>
      </c>
      <c r="V38" s="50">
        <v>145.80000000000001</v>
      </c>
      <c r="W38" s="50">
        <v>145.80000000000001</v>
      </c>
      <c r="X38" s="50">
        <v>145.80000000000001</v>
      </c>
      <c r="Y38" s="50">
        <v>145.69999999999999</v>
      </c>
      <c r="Z38" s="50">
        <v>145.80000000000001</v>
      </c>
      <c r="AA38" s="50">
        <v>121.4</v>
      </c>
      <c r="AB38" s="50">
        <v>101.4</v>
      </c>
      <c r="AC38" s="50">
        <v>101.3</v>
      </c>
      <c r="AD38" s="50">
        <v>81.8</v>
      </c>
      <c r="AE38" s="49">
        <v>61.4</v>
      </c>
      <c r="AF38" s="49">
        <v>61.2</v>
      </c>
      <c r="AG38" s="64">
        <v>144</v>
      </c>
      <c r="AH38" s="56">
        <f t="shared" si="2"/>
        <v>146</v>
      </c>
      <c r="AI38" s="57">
        <f t="shared" si="3"/>
        <v>35.6</v>
      </c>
      <c r="AK38" s="58"/>
    </row>
    <row r="39" spans="1:88" x14ac:dyDescent="0.25">
      <c r="A39" s="68" t="s">
        <v>46</v>
      </c>
      <c r="B39" s="63">
        <v>34.9</v>
      </c>
      <c r="C39" s="63">
        <v>25.5</v>
      </c>
      <c r="D39" s="63">
        <v>25.3</v>
      </c>
      <c r="E39" s="63">
        <v>35.200000000000003</v>
      </c>
      <c r="F39" s="63">
        <v>36</v>
      </c>
      <c r="G39" s="63">
        <v>35.799999999999997</v>
      </c>
      <c r="H39" s="63">
        <v>67.599999999999994</v>
      </c>
      <c r="I39" s="63">
        <v>60</v>
      </c>
      <c r="J39" s="63">
        <v>70.400000000000006</v>
      </c>
      <c r="K39" s="63">
        <v>70.599999999999994</v>
      </c>
      <c r="L39" s="52">
        <v>70.900000000000006</v>
      </c>
      <c r="M39" s="52">
        <v>71.3</v>
      </c>
      <c r="N39" s="52">
        <v>60.8</v>
      </c>
      <c r="O39" s="52">
        <v>50.5</v>
      </c>
      <c r="P39" s="52">
        <v>47.3</v>
      </c>
      <c r="Q39" s="52">
        <v>47.4</v>
      </c>
      <c r="R39" s="52">
        <v>54.8</v>
      </c>
      <c r="S39" s="52">
        <v>59.3</v>
      </c>
      <c r="T39" s="52">
        <v>59.8</v>
      </c>
      <c r="U39" s="52">
        <v>70.7</v>
      </c>
      <c r="V39" s="52">
        <v>70.5</v>
      </c>
      <c r="W39" s="52">
        <v>70.5</v>
      </c>
      <c r="X39" s="52">
        <v>70.5</v>
      </c>
      <c r="Y39" s="52">
        <v>64.099999999999994</v>
      </c>
      <c r="Z39" s="52">
        <v>65.599999999999994</v>
      </c>
      <c r="AA39" s="52">
        <v>61.1</v>
      </c>
      <c r="AB39" s="52">
        <v>47</v>
      </c>
      <c r="AC39" s="52">
        <v>27.8</v>
      </c>
      <c r="AD39" s="52">
        <v>22.8</v>
      </c>
      <c r="AE39" s="63">
        <v>23.8</v>
      </c>
      <c r="AF39" s="63">
        <v>23.2</v>
      </c>
      <c r="AG39" s="69">
        <v>70</v>
      </c>
      <c r="AH39" s="56">
        <f t="shared" si="2"/>
        <v>71.3</v>
      </c>
      <c r="AI39" s="57">
        <f t="shared" si="3"/>
        <v>22.8</v>
      </c>
      <c r="AK39" s="58"/>
    </row>
    <row r="40" spans="1:88" x14ac:dyDescent="0.25">
      <c r="A40" s="68" t="s">
        <v>47</v>
      </c>
      <c r="B40" s="63">
        <v>22.3</v>
      </c>
      <c r="C40" s="63">
        <v>16.3</v>
      </c>
      <c r="D40" s="63">
        <v>22.9</v>
      </c>
      <c r="E40" s="63">
        <v>22.8</v>
      </c>
      <c r="F40" s="63">
        <v>23.2</v>
      </c>
      <c r="G40" s="63">
        <v>47.5</v>
      </c>
      <c r="H40" s="63">
        <v>47.3</v>
      </c>
      <c r="I40" s="63">
        <v>47.3</v>
      </c>
      <c r="J40" s="63">
        <v>47</v>
      </c>
      <c r="K40" s="63">
        <v>46.4</v>
      </c>
      <c r="L40" s="52">
        <v>46.4</v>
      </c>
      <c r="M40" s="52">
        <v>46.5</v>
      </c>
      <c r="N40" s="52">
        <v>42.7</v>
      </c>
      <c r="O40" s="52">
        <v>42.3</v>
      </c>
      <c r="P40" s="52">
        <v>37.9</v>
      </c>
      <c r="Q40" s="52">
        <v>34.5</v>
      </c>
      <c r="R40" s="52">
        <v>41</v>
      </c>
      <c r="S40" s="52">
        <v>41.1</v>
      </c>
      <c r="T40" s="52">
        <v>47.1</v>
      </c>
      <c r="U40" s="52">
        <v>46.9</v>
      </c>
      <c r="V40" s="52">
        <v>46.4</v>
      </c>
      <c r="W40" s="52">
        <v>47.6</v>
      </c>
      <c r="X40" s="52">
        <v>46.4</v>
      </c>
      <c r="Y40" s="52">
        <v>47.8</v>
      </c>
      <c r="Z40" s="52">
        <v>46</v>
      </c>
      <c r="AA40" s="52">
        <v>46.1</v>
      </c>
      <c r="AB40" s="52">
        <v>45.6</v>
      </c>
      <c r="AC40" s="52">
        <v>36.9</v>
      </c>
      <c r="AD40" s="52">
        <v>37</v>
      </c>
      <c r="AE40" s="63">
        <v>36.9</v>
      </c>
      <c r="AF40" s="63">
        <v>36.799999999999997</v>
      </c>
      <c r="AG40" s="69">
        <v>69</v>
      </c>
      <c r="AH40" s="56">
        <f t="shared" si="2"/>
        <v>47.8</v>
      </c>
      <c r="AI40" s="57">
        <f t="shared" si="3"/>
        <v>16.3</v>
      </c>
      <c r="AK40" s="58"/>
    </row>
    <row r="41" spans="1:88" x14ac:dyDescent="0.25">
      <c r="A41" s="68" t="s">
        <v>48</v>
      </c>
      <c r="B41" s="63">
        <v>30</v>
      </c>
      <c r="C41" s="63">
        <v>10.1</v>
      </c>
      <c r="D41" s="63">
        <v>10.6</v>
      </c>
      <c r="E41" s="63">
        <v>10.6</v>
      </c>
      <c r="F41" s="63">
        <v>31.3</v>
      </c>
      <c r="G41" s="63">
        <v>31.3</v>
      </c>
      <c r="H41" s="63">
        <v>30.7</v>
      </c>
      <c r="I41" s="63">
        <v>30.7</v>
      </c>
      <c r="J41" s="63">
        <v>60.7</v>
      </c>
      <c r="K41" s="63">
        <v>60.7</v>
      </c>
      <c r="L41" s="52">
        <v>50</v>
      </c>
      <c r="M41" s="52">
        <v>55.7</v>
      </c>
      <c r="N41" s="52">
        <v>42.1</v>
      </c>
      <c r="O41" s="52">
        <v>42.6</v>
      </c>
      <c r="P41" s="52">
        <v>50.9</v>
      </c>
      <c r="Q41" s="52">
        <v>42.1</v>
      </c>
      <c r="R41" s="52">
        <v>55.7</v>
      </c>
      <c r="S41" s="52">
        <v>61.4</v>
      </c>
      <c r="T41" s="52">
        <v>42.3</v>
      </c>
      <c r="U41" s="52">
        <v>62</v>
      </c>
      <c r="V41" s="52">
        <v>62</v>
      </c>
      <c r="W41" s="52">
        <v>62</v>
      </c>
      <c r="X41" s="52">
        <v>62</v>
      </c>
      <c r="Y41" s="52">
        <v>62</v>
      </c>
      <c r="Z41" s="52">
        <v>40.6</v>
      </c>
      <c r="AA41" s="52">
        <v>40.299999999999997</v>
      </c>
      <c r="AB41" s="52">
        <v>40.299999999999997</v>
      </c>
      <c r="AC41" s="52">
        <v>40.299999999999997</v>
      </c>
      <c r="AD41" s="52">
        <v>11.6</v>
      </c>
      <c r="AE41" s="63">
        <v>11.6</v>
      </c>
      <c r="AF41" s="63">
        <v>11.6</v>
      </c>
      <c r="AG41" s="69">
        <v>60</v>
      </c>
      <c r="AH41" s="56">
        <f t="shared" si="2"/>
        <v>62</v>
      </c>
      <c r="AI41" s="57">
        <f t="shared" si="3"/>
        <v>10.1</v>
      </c>
      <c r="AK41" s="58"/>
    </row>
    <row r="42" spans="1:88" x14ac:dyDescent="0.25">
      <c r="A42" s="68" t="s">
        <v>49</v>
      </c>
      <c r="B42" s="63">
        <v>14.4</v>
      </c>
      <c r="C42" s="63">
        <v>14.4</v>
      </c>
      <c r="D42" s="63">
        <v>14.6</v>
      </c>
      <c r="E42" s="63">
        <v>14.6</v>
      </c>
      <c r="F42" s="63">
        <v>14.6</v>
      </c>
      <c r="G42" s="63">
        <v>14.6</v>
      </c>
      <c r="H42" s="63">
        <v>14.6</v>
      </c>
      <c r="I42" s="63">
        <v>14.5</v>
      </c>
      <c r="J42" s="63">
        <v>29.1</v>
      </c>
      <c r="K42" s="63">
        <v>29.9</v>
      </c>
      <c r="L42" s="50">
        <v>29.7</v>
      </c>
      <c r="M42" s="50">
        <v>29.7</v>
      </c>
      <c r="N42" s="50">
        <v>29.7</v>
      </c>
      <c r="O42" s="50">
        <v>24.1</v>
      </c>
      <c r="P42" s="50">
        <v>24.7</v>
      </c>
      <c r="Q42" s="50">
        <v>24.7</v>
      </c>
      <c r="R42" s="50">
        <v>25</v>
      </c>
      <c r="S42" s="50">
        <v>25</v>
      </c>
      <c r="T42" s="50">
        <v>25</v>
      </c>
      <c r="U42" s="50">
        <v>14.9</v>
      </c>
      <c r="V42" s="50">
        <v>14.7</v>
      </c>
      <c r="W42" s="50">
        <v>29</v>
      </c>
      <c r="X42" s="50">
        <v>14.7</v>
      </c>
      <c r="Y42" s="52">
        <v>28.9</v>
      </c>
      <c r="Z42" s="52">
        <v>28.8</v>
      </c>
      <c r="AA42" s="52">
        <v>14.8</v>
      </c>
      <c r="AB42" s="52">
        <v>14.9</v>
      </c>
      <c r="AC42" s="52">
        <v>14.9</v>
      </c>
      <c r="AD42" s="52">
        <v>14.8</v>
      </c>
      <c r="AE42" s="63">
        <v>14.9</v>
      </c>
      <c r="AF42" s="63">
        <v>14.9</v>
      </c>
      <c r="AG42" s="69">
        <v>30</v>
      </c>
      <c r="AH42" s="56">
        <f t="shared" si="2"/>
        <v>29.9</v>
      </c>
      <c r="AI42" s="57">
        <f t="shared" si="3"/>
        <v>14.4</v>
      </c>
      <c r="AK42" s="58"/>
    </row>
    <row r="43" spans="1:88" x14ac:dyDescent="0.25">
      <c r="A43" s="68" t="s">
        <v>50</v>
      </c>
      <c r="B43" s="63">
        <v>0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63">
        <v>0</v>
      </c>
      <c r="AF43" s="63">
        <v>0</v>
      </c>
      <c r="AG43" s="69">
        <v>25</v>
      </c>
      <c r="AH43" s="56">
        <f t="shared" si="2"/>
        <v>0</v>
      </c>
      <c r="AI43" s="57">
        <f t="shared" si="3"/>
        <v>0</v>
      </c>
      <c r="AK43" s="58"/>
      <c r="AL43" s="183"/>
    </row>
    <row r="44" spans="1:88" x14ac:dyDescent="0.25">
      <c r="A44" s="68" t="s">
        <v>51</v>
      </c>
      <c r="B44" s="75">
        <v>16</v>
      </c>
      <c r="C44" s="75">
        <v>16</v>
      </c>
      <c r="D44" s="75">
        <v>16</v>
      </c>
      <c r="E44" s="75">
        <v>16</v>
      </c>
      <c r="F44" s="75">
        <v>16</v>
      </c>
      <c r="G44" s="75">
        <v>16</v>
      </c>
      <c r="H44" s="75">
        <v>16</v>
      </c>
      <c r="I44" s="75">
        <v>16</v>
      </c>
      <c r="J44" s="75">
        <v>16</v>
      </c>
      <c r="K44" s="75">
        <v>16</v>
      </c>
      <c r="L44" s="50">
        <v>16</v>
      </c>
      <c r="M44" s="50">
        <v>16</v>
      </c>
      <c r="N44" s="50">
        <v>16</v>
      </c>
      <c r="O44" s="50">
        <v>16</v>
      </c>
      <c r="P44" s="50">
        <v>16</v>
      </c>
      <c r="Q44" s="50">
        <v>16</v>
      </c>
      <c r="R44" s="50">
        <v>16</v>
      </c>
      <c r="S44" s="50">
        <v>16</v>
      </c>
      <c r="T44" s="50">
        <v>16</v>
      </c>
      <c r="U44" s="50">
        <v>16</v>
      </c>
      <c r="V44" s="50">
        <v>16</v>
      </c>
      <c r="W44" s="50">
        <v>16</v>
      </c>
      <c r="X44" s="50">
        <v>16</v>
      </c>
      <c r="Y44" s="50">
        <v>16</v>
      </c>
      <c r="Z44" s="50">
        <v>16</v>
      </c>
      <c r="AA44" s="50">
        <v>16</v>
      </c>
      <c r="AB44" s="50">
        <v>16</v>
      </c>
      <c r="AC44" s="50">
        <v>16</v>
      </c>
      <c r="AD44" s="50">
        <v>16</v>
      </c>
      <c r="AE44" s="63">
        <v>16</v>
      </c>
      <c r="AF44" s="63">
        <v>16</v>
      </c>
      <c r="AG44" s="69">
        <v>24</v>
      </c>
      <c r="AH44" s="56">
        <f t="shared" si="2"/>
        <v>16</v>
      </c>
      <c r="AI44" s="57">
        <f t="shared" si="3"/>
        <v>16</v>
      </c>
      <c r="AK44" s="1"/>
    </row>
    <row r="45" spans="1:88" x14ac:dyDescent="0.25">
      <c r="A45" s="68" t="s">
        <v>52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63">
        <v>0</v>
      </c>
      <c r="AF45" s="63">
        <v>0</v>
      </c>
      <c r="AG45" s="69">
        <v>15</v>
      </c>
      <c r="AH45" s="56">
        <f t="shared" si="2"/>
        <v>0</v>
      </c>
      <c r="AI45" s="57">
        <f t="shared" si="3"/>
        <v>0</v>
      </c>
      <c r="AK45" s="1"/>
      <c r="AL45" s="76"/>
      <c r="AO45" s="76"/>
    </row>
    <row r="46" spans="1:88" s="76" customFormat="1" x14ac:dyDescent="0.25">
      <c r="A46" s="68" t="s">
        <v>53</v>
      </c>
      <c r="B46" s="63">
        <v>11</v>
      </c>
      <c r="C46" s="63">
        <v>11</v>
      </c>
      <c r="D46" s="63">
        <v>11</v>
      </c>
      <c r="E46" s="63">
        <v>11</v>
      </c>
      <c r="F46" s="63">
        <v>11</v>
      </c>
      <c r="G46" s="63">
        <v>11</v>
      </c>
      <c r="H46" s="63">
        <v>11</v>
      </c>
      <c r="I46" s="63">
        <v>11</v>
      </c>
      <c r="J46" s="63">
        <v>11</v>
      </c>
      <c r="K46" s="63">
        <v>11</v>
      </c>
      <c r="L46" s="50">
        <v>11</v>
      </c>
      <c r="M46" s="50">
        <v>11</v>
      </c>
      <c r="N46" s="50">
        <v>11</v>
      </c>
      <c r="O46" s="50">
        <v>11</v>
      </c>
      <c r="P46" s="50">
        <v>11</v>
      </c>
      <c r="Q46" s="50">
        <v>11</v>
      </c>
      <c r="R46" s="50">
        <v>11</v>
      </c>
      <c r="S46" s="50">
        <v>11</v>
      </c>
      <c r="T46" s="50">
        <v>11</v>
      </c>
      <c r="U46" s="50">
        <v>11</v>
      </c>
      <c r="V46" s="50">
        <v>11</v>
      </c>
      <c r="W46" s="50">
        <v>11</v>
      </c>
      <c r="X46" s="50">
        <v>11</v>
      </c>
      <c r="Y46" s="50">
        <v>11</v>
      </c>
      <c r="Z46" s="50">
        <v>11</v>
      </c>
      <c r="AA46" s="50">
        <v>11</v>
      </c>
      <c r="AB46" s="50">
        <v>11</v>
      </c>
      <c r="AC46" s="50">
        <v>11</v>
      </c>
      <c r="AD46" s="50">
        <v>11</v>
      </c>
      <c r="AE46" s="63">
        <v>11</v>
      </c>
      <c r="AF46" s="63">
        <v>11</v>
      </c>
      <c r="AG46" s="69">
        <v>14.1</v>
      </c>
      <c r="AH46" s="56">
        <f t="shared" si="2"/>
        <v>11</v>
      </c>
      <c r="AI46" s="57">
        <f t="shared" si="3"/>
        <v>11</v>
      </c>
      <c r="AJ46" s="1"/>
      <c r="AK46" s="1"/>
      <c r="AL46"/>
      <c r="AM46"/>
      <c r="AN46"/>
      <c r="AO46"/>
    </row>
    <row r="47" spans="1:88" x14ac:dyDescent="0.25">
      <c r="A47" s="77" t="s">
        <v>54</v>
      </c>
      <c r="B47" s="75">
        <v>7.2</v>
      </c>
      <c r="C47" s="75">
        <v>7.2</v>
      </c>
      <c r="D47" s="75">
        <v>7.2</v>
      </c>
      <c r="E47" s="75">
        <v>7.2</v>
      </c>
      <c r="F47" s="75">
        <v>7.2</v>
      </c>
      <c r="G47" s="75">
        <v>7.2</v>
      </c>
      <c r="H47" s="75">
        <v>7.2</v>
      </c>
      <c r="I47" s="75">
        <v>7.2</v>
      </c>
      <c r="J47" s="75">
        <v>7.2</v>
      </c>
      <c r="K47" s="75">
        <v>7.2</v>
      </c>
      <c r="L47" s="50">
        <v>12</v>
      </c>
      <c r="M47" s="50">
        <v>12</v>
      </c>
      <c r="N47" s="50">
        <v>12</v>
      </c>
      <c r="O47" s="50">
        <v>12</v>
      </c>
      <c r="P47" s="50">
        <v>12</v>
      </c>
      <c r="Q47" s="50">
        <v>12</v>
      </c>
      <c r="R47" s="50">
        <v>12</v>
      </c>
      <c r="S47" s="50">
        <v>12</v>
      </c>
      <c r="T47" s="50">
        <v>12</v>
      </c>
      <c r="U47" s="50">
        <v>12</v>
      </c>
      <c r="V47" s="50">
        <v>12</v>
      </c>
      <c r="W47" s="50">
        <v>12</v>
      </c>
      <c r="X47" s="50">
        <v>12</v>
      </c>
      <c r="Y47" s="50">
        <v>12</v>
      </c>
      <c r="Z47" s="50">
        <v>12</v>
      </c>
      <c r="AA47" s="50">
        <v>12</v>
      </c>
      <c r="AB47" s="50">
        <v>12</v>
      </c>
      <c r="AC47" s="50">
        <v>12</v>
      </c>
      <c r="AD47" s="50">
        <v>12</v>
      </c>
      <c r="AE47" s="63">
        <v>12</v>
      </c>
      <c r="AF47" s="63">
        <v>12</v>
      </c>
      <c r="AG47" s="69">
        <v>14</v>
      </c>
      <c r="AH47" s="56">
        <f t="shared" si="2"/>
        <v>12</v>
      </c>
      <c r="AI47" s="57">
        <f t="shared" si="3"/>
        <v>7.2</v>
      </c>
      <c r="AK47" s="1"/>
    </row>
    <row r="48" spans="1:88" x14ac:dyDescent="0.25">
      <c r="A48" s="68" t="s">
        <v>55</v>
      </c>
      <c r="B48" s="63">
        <v>9</v>
      </c>
      <c r="C48" s="63">
        <v>9</v>
      </c>
      <c r="D48" s="63">
        <v>9</v>
      </c>
      <c r="E48" s="63">
        <v>9</v>
      </c>
      <c r="F48" s="63">
        <v>9</v>
      </c>
      <c r="G48" s="63">
        <v>9</v>
      </c>
      <c r="H48" s="63">
        <v>9</v>
      </c>
      <c r="I48" s="63">
        <v>9</v>
      </c>
      <c r="J48" s="63">
        <v>9</v>
      </c>
      <c r="K48" s="63">
        <v>9</v>
      </c>
      <c r="L48" s="50">
        <v>9</v>
      </c>
      <c r="M48" s="50">
        <v>9</v>
      </c>
      <c r="N48" s="50">
        <v>9</v>
      </c>
      <c r="O48" s="50">
        <v>9</v>
      </c>
      <c r="P48" s="50">
        <v>9</v>
      </c>
      <c r="Q48" s="50">
        <v>9</v>
      </c>
      <c r="R48" s="50">
        <v>9</v>
      </c>
      <c r="S48" s="50">
        <v>9</v>
      </c>
      <c r="T48" s="50">
        <v>9</v>
      </c>
      <c r="U48" s="50">
        <v>9</v>
      </c>
      <c r="V48" s="50">
        <v>9</v>
      </c>
      <c r="W48" s="50">
        <v>9</v>
      </c>
      <c r="X48" s="50">
        <v>9</v>
      </c>
      <c r="Y48" s="50">
        <v>9</v>
      </c>
      <c r="Z48" s="50">
        <v>9</v>
      </c>
      <c r="AA48" s="50">
        <v>9</v>
      </c>
      <c r="AB48" s="50">
        <v>9</v>
      </c>
      <c r="AC48" s="50">
        <v>9</v>
      </c>
      <c r="AD48" s="50">
        <v>9</v>
      </c>
      <c r="AE48" s="63">
        <v>9</v>
      </c>
      <c r="AF48" s="63">
        <v>9</v>
      </c>
      <c r="AG48" s="69">
        <v>10.050000000000001</v>
      </c>
      <c r="AH48" s="56">
        <f t="shared" si="2"/>
        <v>9</v>
      </c>
      <c r="AI48" s="57">
        <f t="shared" si="3"/>
        <v>9</v>
      </c>
      <c r="AK48" s="58"/>
    </row>
    <row r="49" spans="1:37" x14ac:dyDescent="0.25">
      <c r="A49" s="68" t="s">
        <v>56</v>
      </c>
      <c r="B49" s="63">
        <v>6.2</v>
      </c>
      <c r="C49" s="63">
        <v>6.2</v>
      </c>
      <c r="D49" s="63">
        <v>6.2</v>
      </c>
      <c r="E49" s="63">
        <v>6.2</v>
      </c>
      <c r="F49" s="63">
        <v>6.2</v>
      </c>
      <c r="G49" s="63">
        <v>6.2</v>
      </c>
      <c r="H49" s="63">
        <v>6.2</v>
      </c>
      <c r="I49" s="63">
        <v>6.2</v>
      </c>
      <c r="J49" s="63">
        <v>6.2</v>
      </c>
      <c r="K49" s="63">
        <v>6.2</v>
      </c>
      <c r="L49" s="50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63">
        <v>6.2</v>
      </c>
      <c r="AF49" s="63">
        <v>6.2</v>
      </c>
      <c r="AG49" s="69">
        <v>6.2</v>
      </c>
      <c r="AH49" s="56">
        <f t="shared" si="2"/>
        <v>6.2</v>
      </c>
      <c r="AI49" s="57">
        <f t="shared" si="3"/>
        <v>6.2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203.23999999999995</v>
      </c>
      <c r="C51" s="74">
        <f t="shared" si="6"/>
        <v>157.33999999999997</v>
      </c>
      <c r="D51" s="74">
        <f t="shared" si="6"/>
        <v>161.93999999999997</v>
      </c>
      <c r="E51" s="74">
        <f t="shared" si="6"/>
        <v>171.83999999999995</v>
      </c>
      <c r="F51" s="74">
        <f t="shared" si="6"/>
        <v>206.83999999999997</v>
      </c>
      <c r="G51" s="74">
        <f t="shared" si="6"/>
        <v>244.93999999999997</v>
      </c>
      <c r="H51" s="74">
        <f t="shared" si="6"/>
        <v>310.34000000000003</v>
      </c>
      <c r="I51" s="74">
        <f t="shared" si="6"/>
        <v>317.44</v>
      </c>
      <c r="J51" s="74">
        <f t="shared" si="6"/>
        <v>406.14</v>
      </c>
      <c r="K51" s="74">
        <f t="shared" si="6"/>
        <v>406.53999999999996</v>
      </c>
      <c r="L51" s="74">
        <f t="shared" si="6"/>
        <v>400.54</v>
      </c>
      <c r="M51" s="74">
        <f t="shared" si="6"/>
        <v>396.94</v>
      </c>
      <c r="N51" s="74">
        <f t="shared" si="6"/>
        <v>366.24</v>
      </c>
      <c r="O51" s="74">
        <f t="shared" si="6"/>
        <v>340.74000000000007</v>
      </c>
      <c r="P51" s="74">
        <f t="shared" si="6"/>
        <v>349.94</v>
      </c>
      <c r="Q51" s="74">
        <f t="shared" si="6"/>
        <v>323.34000000000003</v>
      </c>
      <c r="R51" s="74">
        <f t="shared" si="6"/>
        <v>352.74</v>
      </c>
      <c r="S51" s="74">
        <f t="shared" si="6"/>
        <v>381.54</v>
      </c>
      <c r="T51" s="74">
        <f t="shared" si="6"/>
        <v>363.53999999999996</v>
      </c>
      <c r="U51" s="74">
        <f t="shared" si="6"/>
        <v>398.03999999999996</v>
      </c>
      <c r="V51" s="74">
        <f t="shared" si="6"/>
        <v>397.14</v>
      </c>
      <c r="W51" s="74">
        <f t="shared" si="6"/>
        <v>412.64000000000004</v>
      </c>
      <c r="X51" s="74">
        <f t="shared" si="6"/>
        <v>397.14</v>
      </c>
      <c r="Y51" s="74">
        <f t="shared" si="6"/>
        <v>406.23999999999995</v>
      </c>
      <c r="Z51" s="74">
        <f t="shared" si="6"/>
        <v>384.54</v>
      </c>
      <c r="AA51" s="74">
        <f t="shared" si="6"/>
        <v>341.44</v>
      </c>
      <c r="AB51" s="74">
        <f t="shared" si="6"/>
        <v>306.94000000000005</v>
      </c>
      <c r="AC51" s="74">
        <f t="shared" si="6"/>
        <v>278.94000000000005</v>
      </c>
      <c r="AD51" s="74">
        <f t="shared" si="6"/>
        <v>225.73999999999998</v>
      </c>
      <c r="AE51" s="74">
        <f t="shared" si="6"/>
        <v>206.33999999999997</v>
      </c>
      <c r="AF51" s="74">
        <f t="shared" si="6"/>
        <v>205.44</v>
      </c>
      <c r="AG51" s="79">
        <f>SUM(AG38:AG50)</f>
        <v>489.91</v>
      </c>
      <c r="AH51" s="56">
        <f t="shared" si="2"/>
        <v>412.64000000000004</v>
      </c>
      <c r="AI51" s="57">
        <f t="shared" si="3"/>
        <v>157.33999999999997</v>
      </c>
      <c r="AK51" s="58"/>
    </row>
    <row r="52" spans="1:37" x14ac:dyDescent="0.25">
      <c r="A52" s="59" t="s">
        <v>59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29.8</v>
      </c>
      <c r="W52" s="50">
        <v>60</v>
      </c>
      <c r="X52" s="50">
        <v>38.9</v>
      </c>
      <c r="Y52" s="50">
        <v>20</v>
      </c>
      <c r="Z52" s="50">
        <v>10.5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64">
        <v>60</v>
      </c>
      <c r="AH52" s="56">
        <f t="shared" si="2"/>
        <v>60</v>
      </c>
      <c r="AI52" s="57">
        <f t="shared" si="3"/>
        <v>0</v>
      </c>
      <c r="AK52" s="58"/>
    </row>
    <row r="53" spans="1:37" x14ac:dyDescent="0.25">
      <c r="A53" s="68" t="s">
        <v>60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50">
        <v>0</v>
      </c>
      <c r="S53" s="50">
        <v>0</v>
      </c>
      <c r="T53" s="50">
        <v>0</v>
      </c>
      <c r="U53" s="50">
        <v>0</v>
      </c>
      <c r="V53" s="52">
        <v>14</v>
      </c>
      <c r="W53" s="52">
        <v>29.7</v>
      </c>
      <c r="X53" s="52">
        <v>18.899999999999999</v>
      </c>
      <c r="Y53" s="52">
        <v>10</v>
      </c>
      <c r="Z53" s="52">
        <v>5.6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2">
        <v>0</v>
      </c>
      <c r="AG53" s="69">
        <v>32</v>
      </c>
      <c r="AH53" s="56">
        <f t="shared" si="2"/>
        <v>29.7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50">
        <v>0</v>
      </c>
      <c r="S54" s="50">
        <v>0</v>
      </c>
      <c r="T54" s="50">
        <v>0</v>
      </c>
      <c r="U54" s="50">
        <v>0</v>
      </c>
      <c r="V54" s="82">
        <v>5.0999999999999996</v>
      </c>
      <c r="W54" s="82">
        <v>10.8</v>
      </c>
      <c r="X54" s="82">
        <v>6.9</v>
      </c>
      <c r="Y54" s="82">
        <v>3.6</v>
      </c>
      <c r="Z54" s="82">
        <v>2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3">
        <v>14</v>
      </c>
      <c r="AH54" s="56">
        <f t="shared" si="2"/>
        <v>10.8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 t="shared" ref="B55:AF55" si="7">SUM(B52:B54)</f>
        <v>0</v>
      </c>
      <c r="C55" s="74">
        <f t="shared" si="7"/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48.9</v>
      </c>
      <c r="W55" s="74">
        <f t="shared" si="7"/>
        <v>100.5</v>
      </c>
      <c r="X55" s="74">
        <f t="shared" si="7"/>
        <v>64.7</v>
      </c>
      <c r="Y55" s="74">
        <f t="shared" si="7"/>
        <v>33.6</v>
      </c>
      <c r="Z55" s="74">
        <f t="shared" si="7"/>
        <v>18.100000000000001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100.5</v>
      </c>
      <c r="AI55" s="57">
        <f t="shared" si="3"/>
        <v>0</v>
      </c>
      <c r="AK55" s="58"/>
    </row>
    <row r="56" spans="1:37" x14ac:dyDescent="0.25">
      <c r="A56" s="59" t="s">
        <v>63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>
        <v>0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0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84">
        <v>0</v>
      </c>
      <c r="X57" s="84">
        <v>0</v>
      </c>
      <c r="Y57" s="84">
        <v>0</v>
      </c>
      <c r="Z57" s="84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>
        <v>-83</v>
      </c>
      <c r="C58" s="52">
        <v>-39.4</v>
      </c>
      <c r="D58" s="52">
        <v>-64.7</v>
      </c>
      <c r="E58" s="52">
        <v>-76.099999999999994</v>
      </c>
      <c r="F58" s="52">
        <v>-63.6</v>
      </c>
      <c r="G58" s="50">
        <v>-66.2</v>
      </c>
      <c r="H58" s="50">
        <v>-58</v>
      </c>
      <c r="I58" s="50">
        <v>-58</v>
      </c>
      <c r="J58" s="50">
        <v>-92</v>
      </c>
      <c r="K58" s="50">
        <v>-57.6</v>
      </c>
      <c r="L58" s="52">
        <v>-45</v>
      </c>
      <c r="M58" s="52">
        <v>-68.8</v>
      </c>
      <c r="N58" s="52">
        <v>-64</v>
      </c>
      <c r="O58" s="52">
        <v>-54.9</v>
      </c>
      <c r="P58" s="52">
        <v>-65.900000000000006</v>
      </c>
      <c r="Q58" s="52">
        <v>-52.1</v>
      </c>
      <c r="R58" s="52">
        <v>-46.7</v>
      </c>
      <c r="S58" s="52">
        <v>-78.900000000000006</v>
      </c>
      <c r="T58" s="52">
        <v>-52.4</v>
      </c>
      <c r="U58" s="52">
        <v>-50.9</v>
      </c>
      <c r="V58" s="52">
        <v>-43.6</v>
      </c>
      <c r="W58" s="85">
        <v>-89.5</v>
      </c>
      <c r="X58" s="85">
        <v>-85</v>
      </c>
      <c r="Y58" s="85">
        <v>-63.5</v>
      </c>
      <c r="Z58" s="85">
        <v>-58.1</v>
      </c>
      <c r="AA58" s="52">
        <f>--57.5</f>
        <v>57.5</v>
      </c>
      <c r="AB58" s="52">
        <v>-71</v>
      </c>
      <c r="AC58" s="52">
        <v>-51.3</v>
      </c>
      <c r="AD58" s="52">
        <v>-70</v>
      </c>
      <c r="AE58" s="52">
        <v>-58</v>
      </c>
      <c r="AF58" s="52">
        <v>-57</v>
      </c>
      <c r="AG58" s="86"/>
      <c r="AH58" s="56">
        <f t="shared" si="2"/>
        <v>57.5</v>
      </c>
      <c r="AI58" s="57">
        <f t="shared" si="3"/>
        <v>-92</v>
      </c>
      <c r="AK58" s="58"/>
    </row>
    <row r="59" spans="1:37" x14ac:dyDescent="0.25">
      <c r="A59" s="68" t="s">
        <v>66</v>
      </c>
      <c r="B59" s="60">
        <v>0</v>
      </c>
      <c r="C59" s="60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60">
        <v>0</v>
      </c>
      <c r="AF59" s="60">
        <v>0</v>
      </c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>
        <v>0</v>
      </c>
      <c r="C60" s="60">
        <v>0</v>
      </c>
      <c r="D60" s="60">
        <v>0</v>
      </c>
      <c r="E60" s="60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>
        <v>0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2">
        <v>0</v>
      </c>
      <c r="AD63" s="60">
        <v>0</v>
      </c>
      <c r="AE63" s="60">
        <v>0</v>
      </c>
      <c r="AF63" s="60">
        <v>0</v>
      </c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2">
        <v>0</v>
      </c>
      <c r="AD64" s="60">
        <v>0</v>
      </c>
      <c r="AE64" s="60">
        <v>0</v>
      </c>
      <c r="AF64" s="60">
        <v>0</v>
      </c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2">
        <v>0</v>
      </c>
      <c r="AD65" s="65">
        <v>0</v>
      </c>
      <c r="AE65" s="65">
        <v>0</v>
      </c>
      <c r="AF65" s="65">
        <v>0</v>
      </c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2">
        <v>0</v>
      </c>
      <c r="AD66" s="65">
        <v>0</v>
      </c>
      <c r="AE66" s="65">
        <v>0</v>
      </c>
      <c r="AF66" s="65">
        <v>0</v>
      </c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 t="shared" ref="B67:AF67" si="8">SUM(B56:B66)</f>
        <v>-83</v>
      </c>
      <c r="C67" s="74">
        <f t="shared" si="8"/>
        <v>-39.4</v>
      </c>
      <c r="D67" s="74">
        <f t="shared" si="8"/>
        <v>-64.7</v>
      </c>
      <c r="E67" s="74">
        <f t="shared" si="8"/>
        <v>-76.099999999999994</v>
      </c>
      <c r="F67" s="74">
        <f t="shared" si="8"/>
        <v>-63.6</v>
      </c>
      <c r="G67" s="74">
        <f t="shared" si="8"/>
        <v>-66.2</v>
      </c>
      <c r="H67" s="74">
        <f t="shared" si="8"/>
        <v>-58</v>
      </c>
      <c r="I67" s="74">
        <f t="shared" si="8"/>
        <v>-58</v>
      </c>
      <c r="J67" s="74">
        <f t="shared" si="8"/>
        <v>-92</v>
      </c>
      <c r="K67" s="74">
        <f t="shared" si="8"/>
        <v>-57.6</v>
      </c>
      <c r="L67" s="74">
        <f t="shared" si="8"/>
        <v>-45</v>
      </c>
      <c r="M67" s="74">
        <f t="shared" si="8"/>
        <v>-68.8</v>
      </c>
      <c r="N67" s="74">
        <f t="shared" si="8"/>
        <v>-64</v>
      </c>
      <c r="O67" s="74">
        <f t="shared" si="8"/>
        <v>-54.9</v>
      </c>
      <c r="P67" s="74">
        <f t="shared" si="8"/>
        <v>-65.900000000000006</v>
      </c>
      <c r="Q67" s="74">
        <f t="shared" si="8"/>
        <v>-52.1</v>
      </c>
      <c r="R67" s="74">
        <f t="shared" si="8"/>
        <v>-46.7</v>
      </c>
      <c r="S67" s="74">
        <f t="shared" si="8"/>
        <v>-78.900000000000006</v>
      </c>
      <c r="T67" s="74">
        <f t="shared" si="8"/>
        <v>-52.4</v>
      </c>
      <c r="U67" s="74">
        <f t="shared" si="8"/>
        <v>-50.9</v>
      </c>
      <c r="V67" s="74">
        <f t="shared" si="8"/>
        <v>-43.6</v>
      </c>
      <c r="W67" s="74">
        <f t="shared" si="8"/>
        <v>-89.5</v>
      </c>
      <c r="X67" s="74">
        <f t="shared" si="8"/>
        <v>-85</v>
      </c>
      <c r="Y67" s="74">
        <f t="shared" si="8"/>
        <v>-63.5</v>
      </c>
      <c r="Z67" s="74">
        <f t="shared" si="8"/>
        <v>-58.1</v>
      </c>
      <c r="AA67" s="74">
        <f t="shared" si="8"/>
        <v>57.5</v>
      </c>
      <c r="AB67" s="74">
        <f t="shared" si="8"/>
        <v>-71</v>
      </c>
      <c r="AC67" s="74">
        <f t="shared" si="8"/>
        <v>-51.3</v>
      </c>
      <c r="AD67" s="74">
        <f t="shared" si="8"/>
        <v>-70</v>
      </c>
      <c r="AE67" s="74">
        <f t="shared" si="8"/>
        <v>-58</v>
      </c>
      <c r="AF67" s="74">
        <f t="shared" si="8"/>
        <v>-57</v>
      </c>
      <c r="AG67" s="79">
        <f>SUM(AG56:AG66)</f>
        <v>0</v>
      </c>
      <c r="AH67" s="56">
        <f t="shared" si="2"/>
        <v>57.5</v>
      </c>
      <c r="AI67" s="57">
        <f t="shared" si="3"/>
        <v>-92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 t="shared" ref="B72:AG72" si="10">B67+B55+B51+B37+B71</f>
        <v>779.04</v>
      </c>
      <c r="C72" s="90">
        <f t="shared" si="10"/>
        <v>776.7399999999999</v>
      </c>
      <c r="D72" s="90">
        <f t="shared" si="10"/>
        <v>756.64</v>
      </c>
      <c r="E72" s="90">
        <f t="shared" si="10"/>
        <v>754.94</v>
      </c>
      <c r="F72" s="90">
        <f t="shared" si="10"/>
        <v>802.04</v>
      </c>
      <c r="G72" s="90">
        <f t="shared" si="10"/>
        <v>857.54</v>
      </c>
      <c r="H72" s="90">
        <f t="shared" si="10"/>
        <v>934.14</v>
      </c>
      <c r="I72" s="90">
        <f t="shared" si="10"/>
        <v>958.24</v>
      </c>
      <c r="J72" s="90">
        <f t="shared" si="10"/>
        <v>1082.94</v>
      </c>
      <c r="K72" s="90">
        <f t="shared" si="10"/>
        <v>1127.6399999999999</v>
      </c>
      <c r="L72" s="90">
        <f t="shared" si="10"/>
        <v>1134.24</v>
      </c>
      <c r="M72" s="90">
        <f t="shared" si="10"/>
        <v>1111.8400000000001</v>
      </c>
      <c r="N72" s="90">
        <f t="shared" si="10"/>
        <v>1080.94</v>
      </c>
      <c r="O72" s="90">
        <f t="shared" si="10"/>
        <v>1024.5400000000002</v>
      </c>
      <c r="P72" s="90">
        <f t="shared" si="10"/>
        <v>1032.74</v>
      </c>
      <c r="Q72" s="90">
        <f t="shared" si="10"/>
        <v>999.94</v>
      </c>
      <c r="R72" s="90">
        <f t="shared" si="10"/>
        <v>1014.74</v>
      </c>
      <c r="S72" s="90">
        <f t="shared" si="10"/>
        <v>1031.3400000000001</v>
      </c>
      <c r="T72" s="90">
        <f t="shared" si="10"/>
        <v>1035.8400000000001</v>
      </c>
      <c r="U72" s="90">
        <f t="shared" si="10"/>
        <v>1121.8400000000001</v>
      </c>
      <c r="V72" s="90">
        <f t="shared" si="10"/>
        <v>1297.1400000000001</v>
      </c>
      <c r="W72" s="90">
        <f t="shared" si="10"/>
        <v>1358.3400000000001</v>
      </c>
      <c r="X72" s="90">
        <f t="shared" si="10"/>
        <v>1241.54</v>
      </c>
      <c r="Y72" s="90">
        <f t="shared" si="10"/>
        <v>1201.04</v>
      </c>
      <c r="Z72" s="90">
        <f t="shared" si="10"/>
        <v>1169.24</v>
      </c>
      <c r="AA72" s="90">
        <f t="shared" si="10"/>
        <v>1185.74</v>
      </c>
      <c r="AB72" s="90">
        <f t="shared" si="10"/>
        <v>1002.74</v>
      </c>
      <c r="AC72" s="90">
        <f t="shared" si="10"/>
        <v>945.54</v>
      </c>
      <c r="AD72" s="90">
        <f t="shared" si="10"/>
        <v>824.04</v>
      </c>
      <c r="AE72" s="90">
        <f t="shared" si="10"/>
        <v>796.43999999999983</v>
      </c>
      <c r="AF72" s="90">
        <f t="shared" si="10"/>
        <v>791.33999999999992</v>
      </c>
      <c r="AG72" s="90">
        <f t="shared" si="10"/>
        <v>2133.14</v>
      </c>
      <c r="AH72" s="56">
        <f t="shared" si="2"/>
        <v>1358.3400000000001</v>
      </c>
      <c r="AI72" s="57">
        <f t="shared" si="3"/>
        <v>754.94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 t="shared" ref="B74:AF74" si="11">B71+B67+B55+B51+B37+B73</f>
        <v>779.04</v>
      </c>
      <c r="C74" s="90">
        <f t="shared" si="11"/>
        <v>776.7399999999999</v>
      </c>
      <c r="D74" s="90">
        <f t="shared" si="11"/>
        <v>756.64</v>
      </c>
      <c r="E74" s="90">
        <f t="shared" si="11"/>
        <v>754.94</v>
      </c>
      <c r="F74" s="90">
        <f t="shared" si="11"/>
        <v>802.04</v>
      </c>
      <c r="G74" s="90">
        <f t="shared" si="11"/>
        <v>857.54</v>
      </c>
      <c r="H74" s="90">
        <f t="shared" si="11"/>
        <v>934.14</v>
      </c>
      <c r="I74" s="90">
        <f t="shared" si="11"/>
        <v>958.24</v>
      </c>
      <c r="J74" s="90">
        <f t="shared" si="11"/>
        <v>1082.94</v>
      </c>
      <c r="K74" s="90">
        <f t="shared" si="11"/>
        <v>1127.6399999999999</v>
      </c>
      <c r="L74" s="90">
        <f t="shared" si="11"/>
        <v>1134.24</v>
      </c>
      <c r="M74" s="90">
        <f t="shared" si="11"/>
        <v>1111.8400000000001</v>
      </c>
      <c r="N74" s="90">
        <f t="shared" si="11"/>
        <v>1080.94</v>
      </c>
      <c r="O74" s="90">
        <f t="shared" si="11"/>
        <v>1024.5400000000002</v>
      </c>
      <c r="P74" s="90">
        <f t="shared" si="11"/>
        <v>1032.74</v>
      </c>
      <c r="Q74" s="90">
        <f t="shared" si="11"/>
        <v>999.94</v>
      </c>
      <c r="R74" s="90">
        <f t="shared" si="11"/>
        <v>1014.74</v>
      </c>
      <c r="S74" s="90">
        <f t="shared" si="11"/>
        <v>1031.3400000000001</v>
      </c>
      <c r="T74" s="90">
        <f t="shared" si="11"/>
        <v>1035.8400000000001</v>
      </c>
      <c r="U74" s="90">
        <f t="shared" si="11"/>
        <v>1121.8400000000001</v>
      </c>
      <c r="V74" s="90">
        <f t="shared" si="11"/>
        <v>1297.1400000000001</v>
      </c>
      <c r="W74" s="90">
        <f t="shared" si="11"/>
        <v>1358.3400000000001</v>
      </c>
      <c r="X74" s="90">
        <f t="shared" si="11"/>
        <v>1241.54</v>
      </c>
      <c r="Y74" s="90">
        <f t="shared" si="11"/>
        <v>1201.04</v>
      </c>
      <c r="Z74" s="90">
        <f t="shared" si="11"/>
        <v>1169.24</v>
      </c>
      <c r="AA74" s="90">
        <f t="shared" si="11"/>
        <v>1185.74</v>
      </c>
      <c r="AB74" s="90">
        <f t="shared" si="11"/>
        <v>1002.74</v>
      </c>
      <c r="AC74" s="90">
        <f t="shared" si="11"/>
        <v>945.54</v>
      </c>
      <c r="AD74" s="90">
        <f t="shared" si="11"/>
        <v>824.04</v>
      </c>
      <c r="AE74" s="90">
        <f t="shared" si="11"/>
        <v>796.43999999999983</v>
      </c>
      <c r="AF74" s="90">
        <f t="shared" si="11"/>
        <v>791.33999999999992</v>
      </c>
      <c r="AG74" s="79">
        <f>AG71+AG67+AG55+AG51+AG37+AG73</f>
        <v>2133.14</v>
      </c>
      <c r="AH74" s="56">
        <f t="shared" si="2"/>
        <v>1358.3400000000001</v>
      </c>
      <c r="AI74" s="57">
        <f t="shared" si="3"/>
        <v>754.94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v>68</v>
      </c>
      <c r="C78" s="60">
        <f t="shared" ref="C78:AF78" si="15">IF(C58&lt;0,C58*-1,0)</f>
        <v>39.4</v>
      </c>
      <c r="D78" s="60">
        <f t="shared" si="15"/>
        <v>64.7</v>
      </c>
      <c r="E78" s="60">
        <f t="shared" si="15"/>
        <v>76.099999999999994</v>
      </c>
      <c r="F78" s="60">
        <f t="shared" si="15"/>
        <v>63.6</v>
      </c>
      <c r="G78" s="60">
        <f t="shared" si="15"/>
        <v>66.2</v>
      </c>
      <c r="H78" s="60">
        <f t="shared" si="15"/>
        <v>58</v>
      </c>
      <c r="I78" s="60">
        <f t="shared" si="15"/>
        <v>58</v>
      </c>
      <c r="J78" s="60">
        <f t="shared" si="15"/>
        <v>92</v>
      </c>
      <c r="K78" s="60">
        <f t="shared" si="15"/>
        <v>57.6</v>
      </c>
      <c r="L78" s="60">
        <f t="shared" si="15"/>
        <v>45</v>
      </c>
      <c r="M78" s="60">
        <f t="shared" si="15"/>
        <v>68.8</v>
      </c>
      <c r="N78" s="60">
        <f t="shared" si="15"/>
        <v>64</v>
      </c>
      <c r="O78" s="60">
        <f t="shared" si="15"/>
        <v>54.9</v>
      </c>
      <c r="P78" s="60">
        <f t="shared" si="15"/>
        <v>65.900000000000006</v>
      </c>
      <c r="Q78" s="60">
        <f t="shared" si="15"/>
        <v>52.1</v>
      </c>
      <c r="R78" s="60">
        <f t="shared" si="15"/>
        <v>46.7</v>
      </c>
      <c r="S78" s="60">
        <f t="shared" si="15"/>
        <v>78.900000000000006</v>
      </c>
      <c r="T78" s="60">
        <f t="shared" si="15"/>
        <v>52.4</v>
      </c>
      <c r="U78" s="60">
        <f t="shared" si="15"/>
        <v>50.9</v>
      </c>
      <c r="V78" s="60">
        <f t="shared" si="15"/>
        <v>43.6</v>
      </c>
      <c r="W78" s="60">
        <f t="shared" si="15"/>
        <v>89.5</v>
      </c>
      <c r="X78" s="60">
        <f t="shared" si="15"/>
        <v>85</v>
      </c>
      <c r="Y78" s="60">
        <f t="shared" si="15"/>
        <v>63.5</v>
      </c>
      <c r="Z78" s="60">
        <f t="shared" si="15"/>
        <v>58.1</v>
      </c>
      <c r="AA78" s="60">
        <f t="shared" si="15"/>
        <v>0</v>
      </c>
      <c r="AB78" s="60">
        <f t="shared" si="15"/>
        <v>71</v>
      </c>
      <c r="AC78" s="60">
        <f t="shared" si="15"/>
        <v>51.3</v>
      </c>
      <c r="AD78" s="60">
        <f t="shared" si="15"/>
        <v>70</v>
      </c>
      <c r="AE78" s="60">
        <f t="shared" si="15"/>
        <v>58</v>
      </c>
      <c r="AF78" s="60">
        <f t="shared" si="15"/>
        <v>57</v>
      </c>
      <c r="AG78" s="93"/>
      <c r="AH78" s="56">
        <f t="shared" ref="AH78:AH90" si="16">MAX(B78:AF78)</f>
        <v>92</v>
      </c>
      <c r="AI78" s="57">
        <f t="shared" ref="AI78:AI90" si="17">MIN(B78:AF78)</f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68</v>
      </c>
      <c r="C81" s="74">
        <f t="shared" si="19"/>
        <v>39.4</v>
      </c>
      <c r="D81" s="74">
        <f t="shared" si="19"/>
        <v>64.7</v>
      </c>
      <c r="E81" s="74">
        <f t="shared" si="19"/>
        <v>76.099999999999994</v>
      </c>
      <c r="F81" s="74">
        <f t="shared" si="19"/>
        <v>63.6</v>
      </c>
      <c r="G81" s="74">
        <f t="shared" si="19"/>
        <v>66.2</v>
      </c>
      <c r="H81" s="74">
        <f t="shared" si="19"/>
        <v>58</v>
      </c>
      <c r="I81" s="74">
        <f t="shared" si="19"/>
        <v>58</v>
      </c>
      <c r="J81" s="74">
        <f t="shared" si="19"/>
        <v>92</v>
      </c>
      <c r="K81" s="74">
        <f t="shared" si="19"/>
        <v>57.6</v>
      </c>
      <c r="L81" s="74">
        <f t="shared" si="19"/>
        <v>45</v>
      </c>
      <c r="M81" s="74">
        <f t="shared" si="19"/>
        <v>68.8</v>
      </c>
      <c r="N81" s="74">
        <f t="shared" si="19"/>
        <v>64</v>
      </c>
      <c r="O81" s="74">
        <f t="shared" si="19"/>
        <v>54.9</v>
      </c>
      <c r="P81" s="74">
        <f t="shared" si="19"/>
        <v>65.900000000000006</v>
      </c>
      <c r="Q81" s="74">
        <f t="shared" si="19"/>
        <v>52.1</v>
      </c>
      <c r="R81" s="74">
        <f t="shared" si="19"/>
        <v>46.7</v>
      </c>
      <c r="S81" s="74">
        <f t="shared" si="19"/>
        <v>78.900000000000006</v>
      </c>
      <c r="T81" s="74">
        <f t="shared" si="19"/>
        <v>52.4</v>
      </c>
      <c r="U81" s="74">
        <f t="shared" si="19"/>
        <v>50.9</v>
      </c>
      <c r="V81" s="74">
        <f t="shared" si="19"/>
        <v>43.6</v>
      </c>
      <c r="W81" s="74">
        <f t="shared" si="19"/>
        <v>89.5</v>
      </c>
      <c r="X81" s="74">
        <f t="shared" si="19"/>
        <v>85</v>
      </c>
      <c r="Y81" s="74">
        <f t="shared" si="19"/>
        <v>63.5</v>
      </c>
      <c r="Z81" s="74">
        <f t="shared" si="19"/>
        <v>58.1</v>
      </c>
      <c r="AA81" s="74">
        <f t="shared" si="19"/>
        <v>0</v>
      </c>
      <c r="AB81" s="74">
        <f t="shared" si="19"/>
        <v>71</v>
      </c>
      <c r="AC81" s="74">
        <f t="shared" si="19"/>
        <v>51.3</v>
      </c>
      <c r="AD81" s="74">
        <f t="shared" si="19"/>
        <v>70</v>
      </c>
      <c r="AE81" s="74">
        <f t="shared" si="19"/>
        <v>58</v>
      </c>
      <c r="AF81" s="74">
        <f t="shared" si="19"/>
        <v>57</v>
      </c>
      <c r="AG81" s="79">
        <f t="shared" si="19"/>
        <v>0</v>
      </c>
      <c r="AH81" s="56">
        <f t="shared" si="16"/>
        <v>92</v>
      </c>
      <c r="AI81" s="57">
        <f t="shared" si="17"/>
        <v>0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1694.08</v>
      </c>
      <c r="C82" s="74">
        <f t="shared" si="20"/>
        <v>1632.28</v>
      </c>
      <c r="D82" s="74">
        <f t="shared" si="20"/>
        <v>1642.68</v>
      </c>
      <c r="E82" s="74">
        <f t="shared" si="20"/>
        <v>1662.08</v>
      </c>
      <c r="F82" s="74">
        <f t="shared" si="20"/>
        <v>1731.2799999999997</v>
      </c>
      <c r="G82" s="74">
        <f t="shared" si="20"/>
        <v>1847.48</v>
      </c>
      <c r="H82" s="74">
        <f t="shared" si="20"/>
        <v>1984.28</v>
      </c>
      <c r="I82" s="74">
        <f t="shared" si="20"/>
        <v>2032.48</v>
      </c>
      <c r="J82" s="74">
        <f t="shared" si="20"/>
        <v>2349.88</v>
      </c>
      <c r="K82" s="74">
        <f t="shared" si="20"/>
        <v>2370.4799999999996</v>
      </c>
      <c r="L82" s="74">
        <f t="shared" si="20"/>
        <v>2358.48</v>
      </c>
      <c r="M82" s="74">
        <f t="shared" si="20"/>
        <v>2361.2800000000007</v>
      </c>
      <c r="N82" s="74">
        <f t="shared" si="20"/>
        <v>2289.88</v>
      </c>
      <c r="O82" s="74">
        <f t="shared" si="20"/>
        <v>2158.8800000000006</v>
      </c>
      <c r="P82" s="74">
        <f t="shared" si="20"/>
        <v>2197.2800000000002</v>
      </c>
      <c r="Q82" s="74">
        <f t="shared" si="20"/>
        <v>2104.08</v>
      </c>
      <c r="R82" s="74">
        <f t="shared" si="20"/>
        <v>2122.8799999999997</v>
      </c>
      <c r="S82" s="74">
        <f t="shared" si="20"/>
        <v>2220.4800000000005</v>
      </c>
      <c r="T82" s="74">
        <f t="shared" si="20"/>
        <v>2176.4800000000005</v>
      </c>
      <c r="U82" s="74">
        <f t="shared" si="20"/>
        <v>2345.4800000000005</v>
      </c>
      <c r="V82" s="74">
        <f t="shared" si="20"/>
        <v>2681.48</v>
      </c>
      <c r="W82" s="74">
        <f t="shared" si="20"/>
        <v>2895.6800000000003</v>
      </c>
      <c r="X82" s="74">
        <f t="shared" si="20"/>
        <v>2653.08</v>
      </c>
      <c r="Y82" s="74">
        <f t="shared" si="20"/>
        <v>2529.08</v>
      </c>
      <c r="Z82" s="74">
        <f t="shared" si="20"/>
        <v>2454.6799999999998</v>
      </c>
      <c r="AA82" s="74">
        <f t="shared" si="20"/>
        <v>2371.48</v>
      </c>
      <c r="AB82" s="74">
        <f t="shared" si="20"/>
        <v>2147.48</v>
      </c>
      <c r="AC82" s="74">
        <f t="shared" si="20"/>
        <v>1993.6799999999998</v>
      </c>
      <c r="AD82" s="74">
        <f t="shared" si="20"/>
        <v>1788.08</v>
      </c>
      <c r="AE82" s="74">
        <f t="shared" si="20"/>
        <v>1708.8799999999997</v>
      </c>
      <c r="AF82" s="74">
        <f t="shared" si="20"/>
        <v>1696.6799999999998</v>
      </c>
      <c r="AG82" s="79">
        <f t="shared" si="20"/>
        <v>4338.08</v>
      </c>
      <c r="AH82" s="56">
        <f t="shared" si="16"/>
        <v>2895.6800000000003</v>
      </c>
      <c r="AI82" s="57">
        <f t="shared" si="17"/>
        <v>1632.28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>
        <v>50.012999999999998</v>
      </c>
      <c r="C83" s="96">
        <v>50.012999999999998</v>
      </c>
      <c r="D83" s="96">
        <v>50.023000000000003</v>
      </c>
      <c r="E83" s="96">
        <v>49.973999999999997</v>
      </c>
      <c r="F83" s="96">
        <v>49.984999999999999</v>
      </c>
      <c r="G83" s="96">
        <v>49.956000000000003</v>
      </c>
      <c r="H83" s="96">
        <v>49.957000000000001</v>
      </c>
      <c r="I83" s="96">
        <v>49.957000000000001</v>
      </c>
      <c r="J83" s="96">
        <v>49.968000000000004</v>
      </c>
      <c r="K83" s="96">
        <v>49.997999999999998</v>
      </c>
      <c r="L83" s="96">
        <v>50</v>
      </c>
      <c r="M83" s="96">
        <v>49.98</v>
      </c>
      <c r="N83" s="96">
        <v>50.03</v>
      </c>
      <c r="O83" s="96">
        <v>50.07</v>
      </c>
      <c r="P83" s="96">
        <v>49.96</v>
      </c>
      <c r="Q83" s="96">
        <v>49.99</v>
      </c>
      <c r="R83" s="96">
        <v>50.021000000000001</v>
      </c>
      <c r="S83" s="96">
        <v>50.018999999999998</v>
      </c>
      <c r="T83" s="96">
        <v>49.954000000000001</v>
      </c>
      <c r="U83" s="96">
        <v>49.896000000000001</v>
      </c>
      <c r="V83" s="96">
        <v>50.018000000000001</v>
      </c>
      <c r="W83" s="96">
        <v>49.896000000000001</v>
      </c>
      <c r="X83" s="96">
        <v>50.058999999999997</v>
      </c>
      <c r="Y83" s="96">
        <v>50.018000000000001</v>
      </c>
      <c r="Z83" s="96">
        <v>49.962000000000003</v>
      </c>
      <c r="AA83" s="96">
        <v>50.05</v>
      </c>
      <c r="AB83" s="96">
        <v>50.03</v>
      </c>
      <c r="AC83" s="96">
        <v>49.93</v>
      </c>
      <c r="AD83" s="96">
        <v>50.01</v>
      </c>
      <c r="AE83" s="96">
        <v>49.96</v>
      </c>
      <c r="AF83" s="97">
        <v>49.99</v>
      </c>
      <c r="AG83" s="98"/>
      <c r="AH83" s="56">
        <f t="shared" si="16"/>
        <v>50.07</v>
      </c>
      <c r="AI83" s="57">
        <f t="shared" si="17"/>
        <v>49.896000000000001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>
        <v>128</v>
      </c>
      <c r="C84" s="52">
        <v>128</v>
      </c>
      <c r="D84" s="52">
        <v>128.30000000000001</v>
      </c>
      <c r="E84" s="52">
        <v>128.19999999999999</v>
      </c>
      <c r="F84" s="52">
        <v>128.5</v>
      </c>
      <c r="G84" s="52">
        <v>127.7</v>
      </c>
      <c r="H84" s="52">
        <v>126.7</v>
      </c>
      <c r="I84" s="52">
        <v>126.7</v>
      </c>
      <c r="J84" s="52">
        <v>123.9</v>
      </c>
      <c r="K84" s="52">
        <v>123.6</v>
      </c>
      <c r="L84" s="52">
        <v>122</v>
      </c>
      <c r="M84" s="52">
        <v>122.3</v>
      </c>
      <c r="N84" s="52">
        <v>124.6</v>
      </c>
      <c r="O84" s="52">
        <v>126</v>
      </c>
      <c r="P84" s="52">
        <v>124.9</v>
      </c>
      <c r="Q84" s="52">
        <v>125.9</v>
      </c>
      <c r="R84" s="52">
        <v>124.6</v>
      </c>
      <c r="S84" s="52">
        <v>125.1</v>
      </c>
      <c r="T84" s="100">
        <v>124.6</v>
      </c>
      <c r="U84" s="100">
        <v>124.6</v>
      </c>
      <c r="V84" s="100">
        <v>125.4</v>
      </c>
      <c r="W84" s="100">
        <v>124.6</v>
      </c>
      <c r="X84" s="100">
        <v>126.3</v>
      </c>
      <c r="Y84" s="100">
        <v>126.4</v>
      </c>
      <c r="Z84" s="100">
        <v>126.3</v>
      </c>
      <c r="AA84" s="52">
        <v>126.6</v>
      </c>
      <c r="AB84" s="52">
        <v>127.5</v>
      </c>
      <c r="AC84" s="52">
        <v>128</v>
      </c>
      <c r="AD84" s="52">
        <v>129</v>
      </c>
      <c r="AE84" s="52">
        <v>128.4</v>
      </c>
      <c r="AF84" s="101">
        <v>128</v>
      </c>
      <c r="AG84" s="102"/>
      <c r="AH84" s="56">
        <f t="shared" si="16"/>
        <v>129</v>
      </c>
      <c r="AI84" s="57">
        <f t="shared" si="17"/>
        <v>122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>
        <v>131.19999999999999</v>
      </c>
      <c r="C85" s="52">
        <v>131.19999999999999</v>
      </c>
      <c r="D85" s="52">
        <v>131.4</v>
      </c>
      <c r="E85" s="52">
        <v>131.5</v>
      </c>
      <c r="F85" s="52">
        <v>131.1</v>
      </c>
      <c r="G85" s="52">
        <v>130.4</v>
      </c>
      <c r="H85" s="52">
        <v>129.4</v>
      </c>
      <c r="I85" s="52">
        <v>129.4</v>
      </c>
      <c r="J85" s="52">
        <v>126.9</v>
      </c>
      <c r="K85" s="52">
        <v>126.4</v>
      </c>
      <c r="L85" s="52">
        <v>125</v>
      </c>
      <c r="M85" s="52">
        <v>125.9</v>
      </c>
      <c r="N85" s="52">
        <v>127.5</v>
      </c>
      <c r="O85" s="52">
        <v>128.69999999999999</v>
      </c>
      <c r="P85" s="52">
        <v>127.9</v>
      </c>
      <c r="Q85" s="52">
        <v>128.6</v>
      </c>
      <c r="R85" s="52">
        <v>128.30000000000001</v>
      </c>
      <c r="S85" s="52">
        <v>127.9</v>
      </c>
      <c r="T85" s="100">
        <v>127.7</v>
      </c>
      <c r="U85" s="100">
        <v>127.5</v>
      </c>
      <c r="V85" s="100">
        <v>128.19999999999999</v>
      </c>
      <c r="W85" s="100">
        <v>127.5</v>
      </c>
      <c r="X85" s="100">
        <v>128.30000000000001</v>
      </c>
      <c r="Y85" s="100">
        <v>128.6</v>
      </c>
      <c r="Z85" s="100">
        <v>128.69999999999999</v>
      </c>
      <c r="AA85" s="52">
        <v>129.5</v>
      </c>
      <c r="AB85" s="52">
        <v>130.4</v>
      </c>
      <c r="AC85" s="52">
        <v>131</v>
      </c>
      <c r="AD85" s="52">
        <v>131.80000000000001</v>
      </c>
      <c r="AE85" s="52">
        <v>131.1</v>
      </c>
      <c r="AF85" s="101">
        <v>131.1</v>
      </c>
      <c r="AG85" s="102"/>
      <c r="AH85" s="56">
        <f t="shared" si="16"/>
        <v>131.80000000000001</v>
      </c>
      <c r="AI85" s="57">
        <f t="shared" si="17"/>
        <v>125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>
        <v>129.4</v>
      </c>
      <c r="C86" s="52">
        <v>129.4</v>
      </c>
      <c r="D86" s="52">
        <v>130.6</v>
      </c>
      <c r="E86" s="52">
        <v>129.6</v>
      </c>
      <c r="F86" s="52">
        <v>128.6</v>
      </c>
      <c r="G86" s="52">
        <v>128.5</v>
      </c>
      <c r="H86" s="52">
        <v>127.8</v>
      </c>
      <c r="I86" s="52">
        <v>127.8</v>
      </c>
      <c r="J86" s="52">
        <v>127.8</v>
      </c>
      <c r="K86" s="52">
        <v>126.4</v>
      </c>
      <c r="L86" s="52">
        <v>126</v>
      </c>
      <c r="M86" s="52">
        <v>128.5</v>
      </c>
      <c r="N86" s="52">
        <v>128.69999999999999</v>
      </c>
      <c r="O86" s="52">
        <v>127.8</v>
      </c>
      <c r="P86" s="52">
        <v>129.69999999999999</v>
      </c>
      <c r="Q86" s="52">
        <v>128</v>
      </c>
      <c r="R86" s="52">
        <v>125.9</v>
      </c>
      <c r="S86" s="52">
        <v>126.6</v>
      </c>
      <c r="T86" s="52">
        <v>126.6</v>
      </c>
      <c r="U86" s="52">
        <v>126.5</v>
      </c>
      <c r="V86" s="52">
        <v>125.3</v>
      </c>
      <c r="W86" s="52">
        <v>126.5</v>
      </c>
      <c r="X86" s="100">
        <v>131</v>
      </c>
      <c r="Y86" s="100">
        <v>128.30000000000001</v>
      </c>
      <c r="Z86" s="100">
        <v>129.69999999999999</v>
      </c>
      <c r="AA86" s="52">
        <v>129.4</v>
      </c>
      <c r="AB86" s="52">
        <v>130.1</v>
      </c>
      <c r="AC86" s="52">
        <v>128.80000000000001</v>
      </c>
      <c r="AD86" s="52">
        <v>128.30000000000001</v>
      </c>
      <c r="AE86" s="52">
        <v>127.2</v>
      </c>
      <c r="AF86" s="101">
        <v>129</v>
      </c>
      <c r="AG86" s="102"/>
      <c r="AH86" s="56">
        <f t="shared" si="16"/>
        <v>131</v>
      </c>
      <c r="AI86" s="57">
        <f t="shared" si="17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>
        <v>133</v>
      </c>
      <c r="C87" s="52">
        <v>132.80000000000001</v>
      </c>
      <c r="D87" s="52">
        <v>133.6</v>
      </c>
      <c r="E87" s="52">
        <v>132.80000000000001</v>
      </c>
      <c r="F87" s="52">
        <v>132.1</v>
      </c>
      <c r="G87" s="52">
        <v>131.6</v>
      </c>
      <c r="H87" s="52">
        <v>130.69999999999999</v>
      </c>
      <c r="I87" s="52">
        <v>130.69999999999999</v>
      </c>
      <c r="J87" s="52">
        <v>130.69999999999999</v>
      </c>
      <c r="K87" s="52">
        <v>129.5</v>
      </c>
      <c r="L87" s="52">
        <v>130</v>
      </c>
      <c r="M87" s="52">
        <v>132.69999999999999</v>
      </c>
      <c r="N87" s="52">
        <v>132.9</v>
      </c>
      <c r="O87" s="52">
        <v>132.9</v>
      </c>
      <c r="P87" s="52">
        <v>134.6</v>
      </c>
      <c r="Q87" s="52">
        <v>133.19999999999999</v>
      </c>
      <c r="R87" s="52">
        <v>131</v>
      </c>
      <c r="S87" s="52">
        <v>130.9</v>
      </c>
      <c r="T87" s="52">
        <v>131.30000000000001</v>
      </c>
      <c r="U87" s="52">
        <v>130.30000000000001</v>
      </c>
      <c r="V87" s="52">
        <v>129.69999999999999</v>
      </c>
      <c r="W87" s="52">
        <v>130.30000000000001</v>
      </c>
      <c r="X87" s="100">
        <v>133.4</v>
      </c>
      <c r="Y87" s="100">
        <v>132.30000000000001</v>
      </c>
      <c r="Z87" s="100">
        <v>133.30000000000001</v>
      </c>
      <c r="AA87" s="52">
        <v>132.6</v>
      </c>
      <c r="AB87" s="52">
        <v>133.4</v>
      </c>
      <c r="AC87" s="52">
        <v>132.5</v>
      </c>
      <c r="AD87" s="52">
        <v>132.5</v>
      </c>
      <c r="AE87" s="52">
        <v>131.80000000000001</v>
      </c>
      <c r="AF87" s="101">
        <v>133</v>
      </c>
      <c r="AG87" s="102"/>
      <c r="AH87" s="56">
        <f t="shared" si="16"/>
        <v>134.6</v>
      </c>
      <c r="AI87" s="57">
        <f t="shared" si="17"/>
        <v>129.5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>
        <v>132.1</v>
      </c>
      <c r="C88" s="104">
        <v>133.1</v>
      </c>
      <c r="D88" s="104">
        <v>134.1</v>
      </c>
      <c r="E88" s="104">
        <v>134.4</v>
      </c>
      <c r="F88" s="104">
        <v>133.5</v>
      </c>
      <c r="G88" s="104">
        <v>133.6</v>
      </c>
      <c r="H88" s="104">
        <v>132.4</v>
      </c>
      <c r="I88" s="104">
        <v>132.4</v>
      </c>
      <c r="J88" s="104">
        <v>132.4</v>
      </c>
      <c r="K88" s="104">
        <v>136.19999999999999</v>
      </c>
      <c r="L88" s="104">
        <v>131</v>
      </c>
      <c r="M88" s="104">
        <v>134.69999999999999</v>
      </c>
      <c r="N88" s="104">
        <v>133.6</v>
      </c>
      <c r="O88" s="104">
        <v>132.6</v>
      </c>
      <c r="P88" s="104">
        <v>134</v>
      </c>
      <c r="Q88" s="104">
        <v>133.30000000000001</v>
      </c>
      <c r="R88" s="104">
        <v>135.30000000000001</v>
      </c>
      <c r="S88" s="104">
        <v>136</v>
      </c>
      <c r="T88" s="104">
        <v>134.80000000000001</v>
      </c>
      <c r="U88" s="104">
        <v>132.5</v>
      </c>
      <c r="V88" s="104">
        <v>133.80000000000001</v>
      </c>
      <c r="W88" s="104">
        <v>132.5</v>
      </c>
      <c r="X88" s="100">
        <v>135.6</v>
      </c>
      <c r="Y88" s="100">
        <v>135</v>
      </c>
      <c r="Z88" s="100">
        <v>134.9</v>
      </c>
      <c r="AA88" s="104">
        <v>134.9</v>
      </c>
      <c r="AB88" s="104">
        <v>135</v>
      </c>
      <c r="AC88" s="104">
        <v>135</v>
      </c>
      <c r="AD88" s="104">
        <v>134.5</v>
      </c>
      <c r="AE88" s="104">
        <v>131.80000000000001</v>
      </c>
      <c r="AF88" s="105">
        <v>131.19999999999999</v>
      </c>
      <c r="AG88" s="106"/>
      <c r="AH88" s="56">
        <f t="shared" si="16"/>
        <v>136.19999999999999</v>
      </c>
      <c r="AI88" s="57">
        <f t="shared" si="17"/>
        <v>131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>
        <v>133.19999999999999</v>
      </c>
      <c r="C89" s="52">
        <v>133.9</v>
      </c>
      <c r="D89" s="52">
        <v>135</v>
      </c>
      <c r="E89" s="52">
        <v>135.5</v>
      </c>
      <c r="F89" s="52">
        <v>134.4</v>
      </c>
      <c r="G89" s="52">
        <v>133.19999999999999</v>
      </c>
      <c r="H89" s="52">
        <v>132</v>
      </c>
      <c r="I89" s="52">
        <v>132</v>
      </c>
      <c r="J89" s="52">
        <v>132</v>
      </c>
      <c r="K89" s="52">
        <v>133.19999999999999</v>
      </c>
      <c r="L89" s="52">
        <v>126</v>
      </c>
      <c r="M89" s="52">
        <v>131.80000000000001</v>
      </c>
      <c r="N89" s="52">
        <v>131.4</v>
      </c>
      <c r="O89" s="52">
        <v>131.4</v>
      </c>
      <c r="P89" s="52">
        <v>132.5</v>
      </c>
      <c r="Q89" s="52">
        <v>132.19999999999999</v>
      </c>
      <c r="R89" s="52">
        <v>132.1</v>
      </c>
      <c r="S89" s="52">
        <v>132.1</v>
      </c>
      <c r="T89" s="52">
        <v>134.19999999999999</v>
      </c>
      <c r="U89" s="52">
        <v>131.6</v>
      </c>
      <c r="V89" s="52">
        <v>132.5</v>
      </c>
      <c r="W89" s="52">
        <v>131.6</v>
      </c>
      <c r="X89" s="100">
        <v>133.80000000000001</v>
      </c>
      <c r="Y89" s="100">
        <v>135</v>
      </c>
      <c r="Z89" s="100">
        <v>133.30000000000001</v>
      </c>
      <c r="AA89" s="52">
        <v>134.80000000000001</v>
      </c>
      <c r="AB89" s="52">
        <v>134</v>
      </c>
      <c r="AC89" s="52">
        <v>134.1</v>
      </c>
      <c r="AD89" s="52">
        <v>135.30000000000001</v>
      </c>
      <c r="AE89" s="52">
        <v>133.5</v>
      </c>
      <c r="AF89" s="101">
        <v>132.9</v>
      </c>
      <c r="AG89" s="102"/>
      <c r="AH89" s="56">
        <f t="shared" si="16"/>
        <v>135.5</v>
      </c>
      <c r="AI89" s="57">
        <f t="shared" si="17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>
        <v>66.8</v>
      </c>
      <c r="C90" s="107">
        <v>66.7</v>
      </c>
      <c r="D90" s="107">
        <v>67</v>
      </c>
      <c r="E90" s="107">
        <v>66.8</v>
      </c>
      <c r="F90" s="107">
        <v>66.7</v>
      </c>
      <c r="G90" s="107">
        <v>66.3</v>
      </c>
      <c r="H90" s="107">
        <v>66</v>
      </c>
      <c r="I90" s="107">
        <v>66</v>
      </c>
      <c r="J90" s="107">
        <v>66</v>
      </c>
      <c r="K90" s="107">
        <v>64.7</v>
      </c>
      <c r="L90" s="107">
        <v>64</v>
      </c>
      <c r="M90" s="107">
        <v>64.400000000000006</v>
      </c>
      <c r="N90" s="107">
        <v>65.099999999999994</v>
      </c>
      <c r="O90" s="107">
        <v>65.599999999999994</v>
      </c>
      <c r="P90" s="107">
        <v>65.2</v>
      </c>
      <c r="Q90" s="107">
        <v>65.8</v>
      </c>
      <c r="R90" s="107">
        <v>65.3</v>
      </c>
      <c r="S90" s="107">
        <v>65.2</v>
      </c>
      <c r="T90" s="107">
        <v>65.2</v>
      </c>
      <c r="U90" s="107">
        <v>64.8</v>
      </c>
      <c r="V90" s="107">
        <v>65.2</v>
      </c>
      <c r="W90" s="107">
        <v>64.8</v>
      </c>
      <c r="X90" s="107">
        <v>65.2</v>
      </c>
      <c r="Y90" s="107">
        <v>65.5</v>
      </c>
      <c r="Z90" s="107">
        <v>65.5</v>
      </c>
      <c r="AA90" s="107">
        <v>65.900000000000006</v>
      </c>
      <c r="AB90" s="107">
        <v>66.400000000000006</v>
      </c>
      <c r="AC90" s="107">
        <v>66.599999999999994</v>
      </c>
      <c r="AD90" s="107">
        <v>67</v>
      </c>
      <c r="AE90" s="107">
        <v>67</v>
      </c>
      <c r="AF90" s="108">
        <v>66.8</v>
      </c>
      <c r="AG90" s="109"/>
      <c r="AH90" s="56">
        <f t="shared" si="16"/>
        <v>67</v>
      </c>
      <c r="AI90" s="57">
        <f t="shared" si="17"/>
        <v>64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 t="shared" ref="B92:AF92" si="21">SUM(B15,B18,B21:B22,B41,B43:B44,B46,B48,B93:B96,B101,B107,B113,B122,B124,B136,B143,B146:B147,B154,B156,B158,B162:B164,B166:B168,B173,B179:B180,B182:B184,B192,B197)</f>
        <v>129.83999999999997</v>
      </c>
      <c r="C92" s="114">
        <f t="shared" si="21"/>
        <v>117.14</v>
      </c>
      <c r="D92" s="114">
        <f t="shared" si="21"/>
        <v>126.34000000000002</v>
      </c>
      <c r="E92" s="114">
        <f t="shared" si="21"/>
        <v>131.63999999999996</v>
      </c>
      <c r="F92" s="115">
        <f t="shared" si="21"/>
        <v>153.04</v>
      </c>
      <c r="G92" s="115">
        <f t="shared" si="21"/>
        <v>172.34</v>
      </c>
      <c r="H92" s="115">
        <f t="shared" si="21"/>
        <v>201.03999999999996</v>
      </c>
      <c r="I92" s="115">
        <f t="shared" si="21"/>
        <v>220.83999999999997</v>
      </c>
      <c r="J92" s="115">
        <f t="shared" si="21"/>
        <v>268.44000000000005</v>
      </c>
      <c r="K92" s="115">
        <f t="shared" si="21"/>
        <v>286.14</v>
      </c>
      <c r="L92" s="115">
        <f t="shared" si="21"/>
        <v>285.64</v>
      </c>
      <c r="M92" s="115">
        <f t="shared" si="21"/>
        <v>289.84000000000003</v>
      </c>
      <c r="N92" s="115">
        <f t="shared" si="21"/>
        <v>282.44000000000005</v>
      </c>
      <c r="O92" s="115">
        <f t="shared" si="21"/>
        <v>266.04000000000002</v>
      </c>
      <c r="P92" s="115">
        <f t="shared" si="21"/>
        <v>267.04000000000002</v>
      </c>
      <c r="Q92" s="115">
        <f t="shared" si="21"/>
        <v>250.94</v>
      </c>
      <c r="R92" s="115">
        <f t="shared" si="21"/>
        <v>248.33999999999997</v>
      </c>
      <c r="S92" s="115">
        <f t="shared" si="21"/>
        <v>252.43999999999997</v>
      </c>
      <c r="T92" s="115">
        <f t="shared" si="21"/>
        <v>260.44000000000005</v>
      </c>
      <c r="U92" s="115">
        <f t="shared" si="21"/>
        <v>277.24</v>
      </c>
      <c r="V92" s="115">
        <f t="shared" si="21"/>
        <v>345.24</v>
      </c>
      <c r="W92" s="115">
        <f t="shared" si="21"/>
        <v>368.44000000000005</v>
      </c>
      <c r="X92" s="115">
        <f t="shared" si="21"/>
        <v>350.74</v>
      </c>
      <c r="Y92" s="115">
        <f t="shared" si="21"/>
        <v>333.74</v>
      </c>
      <c r="Z92" s="115">
        <f t="shared" si="21"/>
        <v>316.44000000000005</v>
      </c>
      <c r="AA92" s="115">
        <f t="shared" si="21"/>
        <v>291.64000000000004</v>
      </c>
      <c r="AB92" s="115">
        <f t="shared" si="21"/>
        <v>264.34000000000003</v>
      </c>
      <c r="AC92" s="115">
        <f t="shared" si="21"/>
        <v>242.64</v>
      </c>
      <c r="AD92" s="115">
        <f t="shared" si="21"/>
        <v>188.23999999999998</v>
      </c>
      <c r="AE92" s="115">
        <f t="shared" si="21"/>
        <v>152.54</v>
      </c>
      <c r="AF92" s="115">
        <f t="shared" si="21"/>
        <v>138.13999999999999</v>
      </c>
      <c r="AG92" s="116"/>
      <c r="AH92" s="56">
        <f>MAX(B92:AF92)</f>
        <v>368.44000000000005</v>
      </c>
      <c r="AI92" s="57">
        <f>MIN(B92:AF92)</f>
        <v>117.14</v>
      </c>
    </row>
    <row r="93" spans="1:88" x14ac:dyDescent="0.25">
      <c r="A93" s="117" t="s">
        <v>96</v>
      </c>
      <c r="B93" s="60">
        <v>18.7</v>
      </c>
      <c r="C93" s="60">
        <v>18.100000000000001</v>
      </c>
      <c r="D93" s="60">
        <v>17.600000000000001</v>
      </c>
      <c r="E93" s="60">
        <v>21.4</v>
      </c>
      <c r="F93" s="118">
        <v>18.3</v>
      </c>
      <c r="G93" s="118">
        <v>33.700000000000003</v>
      </c>
      <c r="H93" s="118">
        <v>41.6</v>
      </c>
      <c r="I93" s="118">
        <v>50</v>
      </c>
      <c r="J93" s="118">
        <v>57.9</v>
      </c>
      <c r="K93" s="118">
        <v>54.8</v>
      </c>
      <c r="L93" s="54">
        <v>52.6</v>
      </c>
      <c r="M93" s="54">
        <v>68.2</v>
      </c>
      <c r="N93" s="54">
        <v>54.3</v>
      </c>
      <c r="O93" s="54">
        <v>55.3</v>
      </c>
      <c r="P93" s="54">
        <v>59.8</v>
      </c>
      <c r="Q93" s="54">
        <v>48.1</v>
      </c>
      <c r="R93" s="118">
        <v>53.9</v>
      </c>
      <c r="S93" s="118">
        <v>61.9</v>
      </c>
      <c r="T93" s="54">
        <v>65.400000000000006</v>
      </c>
      <c r="U93" s="54">
        <v>55.9</v>
      </c>
      <c r="V93" s="54">
        <v>36.6</v>
      </c>
      <c r="W93" s="118">
        <v>28.4</v>
      </c>
      <c r="X93" s="118">
        <v>39.9</v>
      </c>
      <c r="Y93" s="118">
        <v>48.1</v>
      </c>
      <c r="Z93" s="118">
        <v>56.3</v>
      </c>
      <c r="AA93" s="54">
        <v>51.9</v>
      </c>
      <c r="AB93" s="54">
        <v>44.2</v>
      </c>
      <c r="AC93" s="54">
        <v>34.700000000000003</v>
      </c>
      <c r="AD93" s="54">
        <v>36.700000000000003</v>
      </c>
      <c r="AE93" s="54">
        <v>28.9</v>
      </c>
      <c r="AF93" s="119">
        <v>28.1</v>
      </c>
      <c r="AG93" s="120">
        <v>75</v>
      </c>
      <c r="AH93" s="56">
        <f t="shared" ref="AH93:AH98" si="22">IF(ABS(MAX(B93:AF93))&gt;ABS(MIN(B93:AF93)),MAX(B93:AF93),MIN(B93:AF93))</f>
        <v>68.2</v>
      </c>
      <c r="AI93" s="121">
        <f t="shared" ref="AI93:AI98" si="23">INDEX($B$9:$AF$9,1,MATCH(AH93,B93:AF93,0))</f>
        <v>0.375</v>
      </c>
    </row>
    <row r="94" spans="1:88" x14ac:dyDescent="0.25">
      <c r="A94" s="122" t="s">
        <v>97</v>
      </c>
      <c r="B94" s="62">
        <v>-72</v>
      </c>
      <c r="C94" s="62">
        <v>-69.5</v>
      </c>
      <c r="D94" s="62">
        <v>-65.599999999999994</v>
      </c>
      <c r="E94" s="62">
        <v>-63.7</v>
      </c>
      <c r="F94" s="62">
        <v>-65.3</v>
      </c>
      <c r="G94" s="62">
        <v>-63.7</v>
      </c>
      <c r="H94" s="62">
        <v>-55.1</v>
      </c>
      <c r="I94" s="62">
        <v>-52</v>
      </c>
      <c r="J94" s="62">
        <v>-51</v>
      </c>
      <c r="K94" s="62">
        <v>-42</v>
      </c>
      <c r="L94" s="62">
        <v>-38</v>
      </c>
      <c r="M94" s="62">
        <f>-18.8-22.9</f>
        <v>-41.7</v>
      </c>
      <c r="N94" s="62">
        <f>-14-17.6</f>
        <v>-31.6</v>
      </c>
      <c r="O94" s="62">
        <f>-16-19</f>
        <v>-35</v>
      </c>
      <c r="P94" s="62">
        <f>-20.5-24.2</f>
        <v>-44.7</v>
      </c>
      <c r="Q94" s="62">
        <f>-18.8-22.6</f>
        <v>-41.400000000000006</v>
      </c>
      <c r="R94" s="62">
        <v>-49.6</v>
      </c>
      <c r="S94" s="62">
        <v>-55.2</v>
      </c>
      <c r="T94" s="62">
        <v>-43.7</v>
      </c>
      <c r="U94" s="62">
        <v>-47</v>
      </c>
      <c r="V94" s="62">
        <v>-21.3</v>
      </c>
      <c r="W94" s="62">
        <v>-9.1999999999999993</v>
      </c>
      <c r="X94" s="62">
        <v>-15.5</v>
      </c>
      <c r="Y94" s="62">
        <v>-22.2</v>
      </c>
      <c r="Z94" s="62">
        <v>-21</v>
      </c>
      <c r="AA94" s="52">
        <f>-11.9-15</f>
        <v>-26.9</v>
      </c>
      <c r="AB94" s="52">
        <f>-15.5-19</f>
        <v>-34.5</v>
      </c>
      <c r="AC94" s="52">
        <f>-18.3-21.9</f>
        <v>-40.200000000000003</v>
      </c>
      <c r="AD94" s="52">
        <f>-20-24.5</f>
        <v>-44.5</v>
      </c>
      <c r="AE94" s="52">
        <f>-25.2-30.3</f>
        <v>-55.5</v>
      </c>
      <c r="AF94" s="123">
        <f>-27.1-32.6</f>
        <v>-59.7</v>
      </c>
      <c r="AG94" s="120">
        <v>240</v>
      </c>
      <c r="AH94" s="56">
        <f t="shared" si="22"/>
        <v>-72</v>
      </c>
      <c r="AI94" s="121">
        <f t="shared" si="23"/>
        <v>4.1666666666666664E-2</v>
      </c>
    </row>
    <row r="95" spans="1:88" x14ac:dyDescent="0.25">
      <c r="A95" s="122" t="s">
        <v>98</v>
      </c>
      <c r="B95" s="62">
        <v>-8.3000000000000007</v>
      </c>
      <c r="C95" s="62">
        <v>-9.1</v>
      </c>
      <c r="D95" s="62">
        <v>-10.1</v>
      </c>
      <c r="E95" s="62">
        <v>-7</v>
      </c>
      <c r="F95" s="62">
        <v>-2</v>
      </c>
      <c r="G95" s="62">
        <v>-2.1</v>
      </c>
      <c r="H95" s="62">
        <v>-1.9</v>
      </c>
      <c r="I95" s="62">
        <v>-1</v>
      </c>
      <c r="J95" s="62">
        <v>0</v>
      </c>
      <c r="K95" s="62">
        <v>0.5</v>
      </c>
      <c r="L95" s="62">
        <v>3.7</v>
      </c>
      <c r="M95" s="62">
        <v>1.7</v>
      </c>
      <c r="N95" s="62">
        <v>-4.4000000000000004</v>
      </c>
      <c r="O95" s="62">
        <v>-8.4</v>
      </c>
      <c r="P95" s="62">
        <v>0.7</v>
      </c>
      <c r="Q95" s="62">
        <v>1.8</v>
      </c>
      <c r="R95" s="62">
        <v>0.2</v>
      </c>
      <c r="S95" s="62">
        <v>3.6</v>
      </c>
      <c r="T95" s="62">
        <v>6.6</v>
      </c>
      <c r="U95" s="62">
        <v>2.1</v>
      </c>
      <c r="V95" s="62">
        <v>28.8</v>
      </c>
      <c r="W95" s="62">
        <v>45.4</v>
      </c>
      <c r="X95" s="62">
        <v>35.9</v>
      </c>
      <c r="Y95" s="62">
        <v>27.3</v>
      </c>
      <c r="Z95" s="62">
        <v>15.5</v>
      </c>
      <c r="AA95" s="52">
        <v>7.4</v>
      </c>
      <c r="AB95" s="52">
        <v>6.9</v>
      </c>
      <c r="AC95" s="52">
        <v>5.9</v>
      </c>
      <c r="AD95" s="52">
        <v>6.1</v>
      </c>
      <c r="AE95" s="52">
        <v>-2.6</v>
      </c>
      <c r="AF95" s="123">
        <v>-5.0999999999999996</v>
      </c>
      <c r="AG95" s="120">
        <v>60</v>
      </c>
      <c r="AH95" s="56">
        <f t="shared" si="22"/>
        <v>45.4</v>
      </c>
      <c r="AI95" s="121">
        <f t="shared" si="23"/>
        <v>0.75</v>
      </c>
    </row>
    <row r="96" spans="1:88" x14ac:dyDescent="0.25">
      <c r="A96" s="124" t="s">
        <v>99</v>
      </c>
      <c r="B96" s="65">
        <v>0.1</v>
      </c>
      <c r="C96" s="65">
        <v>6.2</v>
      </c>
      <c r="D96" s="65">
        <v>10.8</v>
      </c>
      <c r="E96" s="65">
        <v>7.2</v>
      </c>
      <c r="F96" s="65">
        <v>7.6</v>
      </c>
      <c r="G96" s="65">
        <v>10</v>
      </c>
      <c r="H96" s="65">
        <v>22.6</v>
      </c>
      <c r="I96" s="65">
        <v>30</v>
      </c>
      <c r="J96" s="65">
        <v>37.700000000000003</v>
      </c>
      <c r="K96" s="65">
        <v>51.1</v>
      </c>
      <c r="L96" s="65">
        <v>56.3</v>
      </c>
      <c r="M96" s="65">
        <v>44.9</v>
      </c>
      <c r="N96" s="65">
        <v>61</v>
      </c>
      <c r="O96" s="65">
        <v>50.5</v>
      </c>
      <c r="P96" s="65">
        <v>39.299999999999997</v>
      </c>
      <c r="Q96" s="65">
        <v>39.299999999999997</v>
      </c>
      <c r="R96" s="65">
        <v>27.1</v>
      </c>
      <c r="S96" s="65">
        <v>19.7</v>
      </c>
      <c r="T96" s="65">
        <v>28.8</v>
      </c>
      <c r="U96" s="65">
        <v>43.2</v>
      </c>
      <c r="V96" s="65">
        <v>78.099999999999994</v>
      </c>
      <c r="W96" s="65">
        <v>80.8</v>
      </c>
      <c r="X96" s="65">
        <v>67.400000000000006</v>
      </c>
      <c r="Y96" s="65">
        <v>57.5</v>
      </c>
      <c r="Z96" s="65">
        <v>64</v>
      </c>
      <c r="AA96" s="125">
        <v>55.2</v>
      </c>
      <c r="AB96" s="125">
        <v>43.7</v>
      </c>
      <c r="AC96" s="125">
        <v>37.1</v>
      </c>
      <c r="AD96" s="125">
        <v>13.5</v>
      </c>
      <c r="AE96" s="125">
        <v>5.3</v>
      </c>
      <c r="AF96" s="126">
        <v>3.4</v>
      </c>
      <c r="AG96" s="127">
        <v>120</v>
      </c>
      <c r="AH96" s="56">
        <f t="shared" si="22"/>
        <v>80.8</v>
      </c>
      <c r="AI96" s="121">
        <f t="shared" si="23"/>
        <v>0.75</v>
      </c>
    </row>
    <row r="97" spans="1:37" x14ac:dyDescent="0.25">
      <c r="A97" s="124" t="s">
        <v>100</v>
      </c>
      <c r="B97" s="65">
        <v>14.2</v>
      </c>
      <c r="C97" s="65">
        <v>19.399999999999999</v>
      </c>
      <c r="D97" s="65">
        <v>25.3</v>
      </c>
      <c r="E97" s="65">
        <v>20.5</v>
      </c>
      <c r="F97" s="65">
        <v>20.3</v>
      </c>
      <c r="G97" s="65">
        <v>19.2</v>
      </c>
      <c r="H97" s="65">
        <v>28.2</v>
      </c>
      <c r="I97" s="65">
        <v>29</v>
      </c>
      <c r="J97" s="65">
        <v>35.6</v>
      </c>
      <c r="K97" s="65">
        <v>45.7</v>
      </c>
      <c r="L97" s="65">
        <v>50.6</v>
      </c>
      <c r="M97" s="65">
        <v>40.299999999999997</v>
      </c>
      <c r="N97" s="65">
        <v>53.2</v>
      </c>
      <c r="O97" s="65">
        <v>45.9</v>
      </c>
      <c r="P97" s="65">
        <v>38.299999999999997</v>
      </c>
      <c r="Q97" s="65">
        <v>38.299999999999997</v>
      </c>
      <c r="R97" s="65">
        <v>32.9</v>
      </c>
      <c r="S97" s="65">
        <v>23.7</v>
      </c>
      <c r="T97" s="65">
        <v>30.5</v>
      </c>
      <c r="U97" s="65">
        <v>39.6</v>
      </c>
      <c r="V97" s="65">
        <v>57.6</v>
      </c>
      <c r="W97" s="65">
        <v>58.7</v>
      </c>
      <c r="X97" s="65">
        <v>52.3</v>
      </c>
      <c r="Y97" s="65">
        <v>45.6</v>
      </c>
      <c r="Z97" s="65">
        <v>53.2</v>
      </c>
      <c r="AA97" s="125">
        <v>49.6</v>
      </c>
      <c r="AB97" s="125">
        <v>39.5</v>
      </c>
      <c r="AC97" s="125">
        <v>39</v>
      </c>
      <c r="AD97" s="125">
        <v>22.1</v>
      </c>
      <c r="AE97" s="125">
        <v>25.7</v>
      </c>
      <c r="AF97" s="126">
        <v>24.6</v>
      </c>
      <c r="AG97" s="127"/>
      <c r="AH97" s="56">
        <f t="shared" si="22"/>
        <v>58.7</v>
      </c>
      <c r="AI97" s="121">
        <f t="shared" si="23"/>
        <v>0.75</v>
      </c>
    </row>
    <row r="98" spans="1:37" ht="15.75" thickBot="1" x14ac:dyDescent="0.3">
      <c r="A98" s="124" t="s">
        <v>101</v>
      </c>
      <c r="B98" s="65">
        <v>46.7</v>
      </c>
      <c r="C98" s="65">
        <v>44.3</v>
      </c>
      <c r="D98" s="65">
        <v>41.8</v>
      </c>
      <c r="E98" s="65">
        <v>43.8</v>
      </c>
      <c r="F98" s="65">
        <v>45.3</v>
      </c>
      <c r="G98" s="65">
        <v>46.2</v>
      </c>
      <c r="H98" s="65">
        <v>48.7</v>
      </c>
      <c r="I98" s="65">
        <v>30</v>
      </c>
      <c r="J98" s="65">
        <v>25.7</v>
      </c>
      <c r="K98" s="65">
        <v>21.7</v>
      </c>
      <c r="L98" s="65">
        <v>33</v>
      </c>
      <c r="M98" s="65">
        <v>9.4</v>
      </c>
      <c r="N98" s="65">
        <v>28.2</v>
      </c>
      <c r="O98" s="65">
        <v>31.2</v>
      </c>
      <c r="P98" s="65">
        <v>10.1</v>
      </c>
      <c r="Q98" s="65">
        <v>23.8</v>
      </c>
      <c r="R98" s="65">
        <v>26.7</v>
      </c>
      <c r="S98" s="65">
        <v>13.9</v>
      </c>
      <c r="T98" s="65">
        <v>9.6999999999999993</v>
      </c>
      <c r="U98" s="65">
        <v>25</v>
      </c>
      <c r="V98" s="65">
        <v>46.9</v>
      </c>
      <c r="W98" s="65">
        <v>56</v>
      </c>
      <c r="X98" s="65">
        <v>46.5</v>
      </c>
      <c r="Y98" s="65">
        <v>36.200000000000003</v>
      </c>
      <c r="Z98" s="65">
        <v>30.3</v>
      </c>
      <c r="AA98" s="125">
        <v>35.299999999999997</v>
      </c>
      <c r="AB98" s="125">
        <v>34.4</v>
      </c>
      <c r="AC98" s="125">
        <v>31.5</v>
      </c>
      <c r="AD98" s="125">
        <v>29.3</v>
      </c>
      <c r="AE98" s="125">
        <v>43.6</v>
      </c>
      <c r="AF98" s="126">
        <v>41.3</v>
      </c>
      <c r="AG98" s="128"/>
      <c r="AH98" s="56">
        <f t="shared" si="22"/>
        <v>56</v>
      </c>
      <c r="AI98" s="121">
        <f t="shared" si="23"/>
        <v>0.75</v>
      </c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4">B100</f>
        <v>9.9</v>
      </c>
      <c r="D100" s="134">
        <f t="shared" si="24"/>
        <v>9.9</v>
      </c>
      <c r="E100" s="134">
        <f t="shared" si="24"/>
        <v>9.9</v>
      </c>
      <c r="F100" s="134">
        <f t="shared" si="24"/>
        <v>9.9</v>
      </c>
      <c r="G100" s="134">
        <f t="shared" si="24"/>
        <v>9.9</v>
      </c>
      <c r="H100" s="134">
        <f t="shared" si="24"/>
        <v>9.9</v>
      </c>
      <c r="I100" s="134">
        <f t="shared" si="24"/>
        <v>9.9</v>
      </c>
      <c r="J100" s="134">
        <f t="shared" si="24"/>
        <v>9.9</v>
      </c>
      <c r="K100" s="134">
        <f t="shared" si="24"/>
        <v>9.9</v>
      </c>
      <c r="L100" s="134">
        <f t="shared" si="24"/>
        <v>9.9</v>
      </c>
      <c r="M100" s="134">
        <f t="shared" si="24"/>
        <v>9.9</v>
      </c>
      <c r="N100" s="134">
        <f t="shared" si="24"/>
        <v>9.9</v>
      </c>
      <c r="O100" s="134">
        <f t="shared" si="24"/>
        <v>9.9</v>
      </c>
      <c r="P100" s="134">
        <f t="shared" si="24"/>
        <v>9.9</v>
      </c>
      <c r="Q100" s="134">
        <f t="shared" si="24"/>
        <v>9.9</v>
      </c>
      <c r="R100" s="134">
        <f t="shared" si="24"/>
        <v>9.9</v>
      </c>
      <c r="S100" s="134">
        <f t="shared" ref="S100:AF105" si="25">R100</f>
        <v>9.9</v>
      </c>
      <c r="T100" s="134">
        <f t="shared" si="25"/>
        <v>9.9</v>
      </c>
      <c r="U100" s="134">
        <f t="shared" si="25"/>
        <v>9.9</v>
      </c>
      <c r="V100" s="134">
        <f t="shared" si="25"/>
        <v>9.9</v>
      </c>
      <c r="W100" s="134">
        <f t="shared" si="25"/>
        <v>9.9</v>
      </c>
      <c r="X100" s="134">
        <f t="shared" si="25"/>
        <v>9.9</v>
      </c>
      <c r="Y100" s="134">
        <f t="shared" si="25"/>
        <v>9.9</v>
      </c>
      <c r="Z100" s="134">
        <f t="shared" si="25"/>
        <v>9.9</v>
      </c>
      <c r="AA100" s="134">
        <f t="shared" si="25"/>
        <v>9.9</v>
      </c>
      <c r="AB100" s="134">
        <f t="shared" si="25"/>
        <v>9.9</v>
      </c>
      <c r="AC100" s="134">
        <f t="shared" si="25"/>
        <v>9.9</v>
      </c>
      <c r="AD100" s="134">
        <f t="shared" si="25"/>
        <v>9.9</v>
      </c>
      <c r="AE100" s="134">
        <f t="shared" si="25"/>
        <v>9.9</v>
      </c>
      <c r="AF100" s="134">
        <f t="shared" si="25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4"/>
        <v>9.6</v>
      </c>
      <c r="D101" s="137">
        <f t="shared" si="24"/>
        <v>9.6</v>
      </c>
      <c r="E101" s="137">
        <f t="shared" si="24"/>
        <v>9.6</v>
      </c>
      <c r="F101" s="137">
        <f t="shared" si="24"/>
        <v>9.6</v>
      </c>
      <c r="G101" s="137">
        <f t="shared" si="24"/>
        <v>9.6</v>
      </c>
      <c r="H101" s="137">
        <f t="shared" si="24"/>
        <v>9.6</v>
      </c>
      <c r="I101" s="137">
        <f t="shared" si="24"/>
        <v>9.6</v>
      </c>
      <c r="J101" s="137">
        <f t="shared" si="24"/>
        <v>9.6</v>
      </c>
      <c r="K101" s="137">
        <f t="shared" si="24"/>
        <v>9.6</v>
      </c>
      <c r="L101" s="137">
        <f t="shared" si="24"/>
        <v>9.6</v>
      </c>
      <c r="M101" s="137">
        <f t="shared" si="24"/>
        <v>9.6</v>
      </c>
      <c r="N101" s="137">
        <f t="shared" si="24"/>
        <v>9.6</v>
      </c>
      <c r="O101" s="137">
        <f t="shared" si="24"/>
        <v>9.6</v>
      </c>
      <c r="P101" s="137">
        <f t="shared" si="24"/>
        <v>9.6</v>
      </c>
      <c r="Q101" s="137">
        <f t="shared" si="24"/>
        <v>9.6</v>
      </c>
      <c r="R101" s="137">
        <f t="shared" si="24"/>
        <v>9.6</v>
      </c>
      <c r="S101" s="137">
        <f t="shared" si="25"/>
        <v>9.6</v>
      </c>
      <c r="T101" s="137">
        <f t="shared" si="25"/>
        <v>9.6</v>
      </c>
      <c r="U101" s="137">
        <f t="shared" si="25"/>
        <v>9.6</v>
      </c>
      <c r="V101" s="137">
        <f t="shared" si="25"/>
        <v>9.6</v>
      </c>
      <c r="W101" s="137">
        <f t="shared" si="25"/>
        <v>9.6</v>
      </c>
      <c r="X101" s="137">
        <f t="shared" si="25"/>
        <v>9.6</v>
      </c>
      <c r="Y101" s="137">
        <f t="shared" si="25"/>
        <v>9.6</v>
      </c>
      <c r="Z101" s="137">
        <f t="shared" si="25"/>
        <v>9.6</v>
      </c>
      <c r="AA101" s="137">
        <f t="shared" si="25"/>
        <v>9.6</v>
      </c>
      <c r="AB101" s="137">
        <f t="shared" si="25"/>
        <v>9.6</v>
      </c>
      <c r="AC101" s="137">
        <f t="shared" si="25"/>
        <v>9.6</v>
      </c>
      <c r="AD101" s="137">
        <f t="shared" si="25"/>
        <v>9.6</v>
      </c>
      <c r="AE101" s="137">
        <f t="shared" si="25"/>
        <v>9.6</v>
      </c>
      <c r="AF101" s="137">
        <f t="shared" si="25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4"/>
        <v>9.98</v>
      </c>
      <c r="D102" s="137">
        <f t="shared" si="24"/>
        <v>9.98</v>
      </c>
      <c r="E102" s="137">
        <f t="shared" si="24"/>
        <v>9.98</v>
      </c>
      <c r="F102" s="137">
        <f t="shared" si="24"/>
        <v>9.98</v>
      </c>
      <c r="G102" s="137">
        <f t="shared" si="24"/>
        <v>9.98</v>
      </c>
      <c r="H102" s="137">
        <f t="shared" si="24"/>
        <v>9.98</v>
      </c>
      <c r="I102" s="137">
        <f t="shared" si="24"/>
        <v>9.98</v>
      </c>
      <c r="J102" s="137">
        <f t="shared" si="24"/>
        <v>9.98</v>
      </c>
      <c r="K102" s="137">
        <f t="shared" si="24"/>
        <v>9.98</v>
      </c>
      <c r="L102" s="137">
        <f t="shared" si="24"/>
        <v>9.98</v>
      </c>
      <c r="M102" s="137">
        <f t="shared" si="24"/>
        <v>9.98</v>
      </c>
      <c r="N102" s="137">
        <f t="shared" si="24"/>
        <v>9.98</v>
      </c>
      <c r="O102" s="137">
        <f t="shared" si="24"/>
        <v>9.98</v>
      </c>
      <c r="P102" s="137">
        <f t="shared" si="24"/>
        <v>9.98</v>
      </c>
      <c r="Q102" s="137">
        <f t="shared" si="24"/>
        <v>9.98</v>
      </c>
      <c r="R102" s="137">
        <f t="shared" si="24"/>
        <v>9.98</v>
      </c>
      <c r="S102" s="137">
        <f t="shared" si="25"/>
        <v>9.98</v>
      </c>
      <c r="T102" s="137">
        <f t="shared" si="25"/>
        <v>9.98</v>
      </c>
      <c r="U102" s="137">
        <f t="shared" si="25"/>
        <v>9.98</v>
      </c>
      <c r="V102" s="137">
        <f t="shared" si="25"/>
        <v>9.98</v>
      </c>
      <c r="W102" s="137">
        <f t="shared" si="25"/>
        <v>9.98</v>
      </c>
      <c r="X102" s="137">
        <f t="shared" si="25"/>
        <v>9.98</v>
      </c>
      <c r="Y102" s="137">
        <f t="shared" si="25"/>
        <v>9.98</v>
      </c>
      <c r="Z102" s="137">
        <f t="shared" si="25"/>
        <v>9.98</v>
      </c>
      <c r="AA102" s="137">
        <f t="shared" si="25"/>
        <v>9.98</v>
      </c>
      <c r="AB102" s="137">
        <f t="shared" si="25"/>
        <v>9.98</v>
      </c>
      <c r="AC102" s="137">
        <f t="shared" si="25"/>
        <v>9.98</v>
      </c>
      <c r="AD102" s="137">
        <f t="shared" si="25"/>
        <v>9.98</v>
      </c>
      <c r="AE102" s="137">
        <f t="shared" si="25"/>
        <v>9.98</v>
      </c>
      <c r="AF102" s="137">
        <f t="shared" si="25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4"/>
        <v>9.1</v>
      </c>
      <c r="D103" s="137">
        <f t="shared" si="24"/>
        <v>9.1</v>
      </c>
      <c r="E103" s="137">
        <f t="shared" si="24"/>
        <v>9.1</v>
      </c>
      <c r="F103" s="137">
        <f t="shared" si="24"/>
        <v>9.1</v>
      </c>
      <c r="G103" s="137">
        <f t="shared" si="24"/>
        <v>9.1</v>
      </c>
      <c r="H103" s="137">
        <f t="shared" si="24"/>
        <v>9.1</v>
      </c>
      <c r="I103" s="137">
        <f t="shared" si="24"/>
        <v>9.1</v>
      </c>
      <c r="J103" s="137">
        <f t="shared" si="24"/>
        <v>9.1</v>
      </c>
      <c r="K103" s="137">
        <f t="shared" si="24"/>
        <v>9.1</v>
      </c>
      <c r="L103" s="137">
        <f t="shared" si="24"/>
        <v>9.1</v>
      </c>
      <c r="M103" s="137">
        <f t="shared" si="24"/>
        <v>9.1</v>
      </c>
      <c r="N103" s="137">
        <f t="shared" si="24"/>
        <v>9.1</v>
      </c>
      <c r="O103" s="137">
        <f t="shared" si="24"/>
        <v>9.1</v>
      </c>
      <c r="P103" s="137">
        <f t="shared" si="24"/>
        <v>9.1</v>
      </c>
      <c r="Q103" s="137">
        <f t="shared" si="24"/>
        <v>9.1</v>
      </c>
      <c r="R103" s="137">
        <f t="shared" si="24"/>
        <v>9.1</v>
      </c>
      <c r="S103" s="137">
        <f t="shared" si="25"/>
        <v>9.1</v>
      </c>
      <c r="T103" s="137">
        <f t="shared" si="25"/>
        <v>9.1</v>
      </c>
      <c r="U103" s="137">
        <f t="shared" si="25"/>
        <v>9.1</v>
      </c>
      <c r="V103" s="137">
        <f t="shared" si="25"/>
        <v>9.1</v>
      </c>
      <c r="W103" s="137">
        <f t="shared" si="25"/>
        <v>9.1</v>
      </c>
      <c r="X103" s="137">
        <f t="shared" si="25"/>
        <v>9.1</v>
      </c>
      <c r="Y103" s="137">
        <f t="shared" si="25"/>
        <v>9.1</v>
      </c>
      <c r="Z103" s="137">
        <f t="shared" si="25"/>
        <v>9.1</v>
      </c>
      <c r="AA103" s="137">
        <f t="shared" si="25"/>
        <v>9.1</v>
      </c>
      <c r="AB103" s="137">
        <f t="shared" si="25"/>
        <v>9.1</v>
      </c>
      <c r="AC103" s="137">
        <f t="shared" si="25"/>
        <v>9.1</v>
      </c>
      <c r="AD103" s="137">
        <f t="shared" si="25"/>
        <v>9.1</v>
      </c>
      <c r="AE103" s="137">
        <f t="shared" si="25"/>
        <v>9.1</v>
      </c>
      <c r="AF103" s="137">
        <f t="shared" si="25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4"/>
        <v>9.18</v>
      </c>
      <c r="D104" s="137">
        <f t="shared" si="24"/>
        <v>9.18</v>
      </c>
      <c r="E104" s="137">
        <f t="shared" si="24"/>
        <v>9.18</v>
      </c>
      <c r="F104" s="137">
        <f t="shared" si="24"/>
        <v>9.18</v>
      </c>
      <c r="G104" s="137">
        <f t="shared" si="24"/>
        <v>9.18</v>
      </c>
      <c r="H104" s="137">
        <f t="shared" si="24"/>
        <v>9.18</v>
      </c>
      <c r="I104" s="137">
        <f t="shared" si="24"/>
        <v>9.18</v>
      </c>
      <c r="J104" s="137">
        <f t="shared" si="24"/>
        <v>9.18</v>
      </c>
      <c r="K104" s="137">
        <f t="shared" si="24"/>
        <v>9.18</v>
      </c>
      <c r="L104" s="137">
        <f t="shared" si="24"/>
        <v>9.18</v>
      </c>
      <c r="M104" s="137">
        <f t="shared" si="24"/>
        <v>9.18</v>
      </c>
      <c r="N104" s="137">
        <f t="shared" si="24"/>
        <v>9.18</v>
      </c>
      <c r="O104" s="137">
        <f t="shared" si="24"/>
        <v>9.18</v>
      </c>
      <c r="P104" s="137">
        <f t="shared" si="24"/>
        <v>9.18</v>
      </c>
      <c r="Q104" s="137">
        <f t="shared" si="24"/>
        <v>9.18</v>
      </c>
      <c r="R104" s="137">
        <f t="shared" si="24"/>
        <v>9.18</v>
      </c>
      <c r="S104" s="137">
        <f t="shared" si="25"/>
        <v>9.18</v>
      </c>
      <c r="T104" s="137">
        <f t="shared" si="25"/>
        <v>9.18</v>
      </c>
      <c r="U104" s="137">
        <f t="shared" si="25"/>
        <v>9.18</v>
      </c>
      <c r="V104" s="137">
        <f t="shared" si="25"/>
        <v>9.18</v>
      </c>
      <c r="W104" s="137">
        <f t="shared" si="25"/>
        <v>9.18</v>
      </c>
      <c r="X104" s="137">
        <f t="shared" si="25"/>
        <v>9.18</v>
      </c>
      <c r="Y104" s="137">
        <f t="shared" si="25"/>
        <v>9.18</v>
      </c>
      <c r="Z104" s="137">
        <f t="shared" si="25"/>
        <v>9.18</v>
      </c>
      <c r="AA104" s="137">
        <f t="shared" si="25"/>
        <v>9.18</v>
      </c>
      <c r="AB104" s="137">
        <f t="shared" si="25"/>
        <v>9.18</v>
      </c>
      <c r="AC104" s="137">
        <f t="shared" si="25"/>
        <v>9.18</v>
      </c>
      <c r="AD104" s="137">
        <f t="shared" si="25"/>
        <v>9.18</v>
      </c>
      <c r="AE104" s="137">
        <f t="shared" si="25"/>
        <v>9.18</v>
      </c>
      <c r="AF104" s="137">
        <f t="shared" si="25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4"/>
        <v>7</v>
      </c>
      <c r="D105" s="137">
        <f t="shared" si="24"/>
        <v>7</v>
      </c>
      <c r="E105" s="137">
        <f t="shared" si="24"/>
        <v>7</v>
      </c>
      <c r="F105" s="137">
        <f t="shared" si="24"/>
        <v>7</v>
      </c>
      <c r="G105" s="137">
        <f t="shared" si="24"/>
        <v>7</v>
      </c>
      <c r="H105" s="137">
        <f t="shared" si="24"/>
        <v>7</v>
      </c>
      <c r="I105" s="137">
        <f t="shared" si="24"/>
        <v>7</v>
      </c>
      <c r="J105" s="137">
        <f t="shared" si="24"/>
        <v>7</v>
      </c>
      <c r="K105" s="137">
        <f t="shared" si="24"/>
        <v>7</v>
      </c>
      <c r="L105" s="137">
        <f t="shared" si="24"/>
        <v>7</v>
      </c>
      <c r="M105" s="137">
        <f t="shared" si="24"/>
        <v>7</v>
      </c>
      <c r="N105" s="137">
        <f t="shared" si="24"/>
        <v>7</v>
      </c>
      <c r="O105" s="137">
        <f t="shared" si="24"/>
        <v>7</v>
      </c>
      <c r="P105" s="137">
        <f t="shared" si="24"/>
        <v>7</v>
      </c>
      <c r="Q105" s="137">
        <f t="shared" si="24"/>
        <v>7</v>
      </c>
      <c r="R105" s="137">
        <f t="shared" si="24"/>
        <v>7</v>
      </c>
      <c r="S105" s="137">
        <f t="shared" si="25"/>
        <v>7</v>
      </c>
      <c r="T105" s="137">
        <f t="shared" si="25"/>
        <v>7</v>
      </c>
      <c r="U105" s="137">
        <f t="shared" si="25"/>
        <v>7</v>
      </c>
      <c r="V105" s="137">
        <f t="shared" si="25"/>
        <v>7</v>
      </c>
      <c r="W105" s="137">
        <f t="shared" si="25"/>
        <v>7</v>
      </c>
      <c r="X105" s="137">
        <f t="shared" si="25"/>
        <v>7</v>
      </c>
      <c r="Y105" s="137">
        <f t="shared" si="25"/>
        <v>7</v>
      </c>
      <c r="Z105" s="137">
        <f t="shared" si="25"/>
        <v>7</v>
      </c>
      <c r="AA105" s="137">
        <f t="shared" si="25"/>
        <v>7</v>
      </c>
      <c r="AB105" s="137">
        <f t="shared" si="25"/>
        <v>7</v>
      </c>
      <c r="AC105" s="137">
        <f t="shared" si="25"/>
        <v>7</v>
      </c>
      <c r="AD105" s="137">
        <f t="shared" si="25"/>
        <v>7</v>
      </c>
      <c r="AE105" s="137">
        <f t="shared" si="25"/>
        <v>7</v>
      </c>
      <c r="AF105" s="137">
        <f t="shared" si="25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6">B107</f>
        <v>2.25</v>
      </c>
      <c r="D107" s="137">
        <f t="shared" si="26"/>
        <v>2.25</v>
      </c>
      <c r="E107" s="137">
        <f t="shared" si="26"/>
        <v>2.25</v>
      </c>
      <c r="F107" s="137">
        <f t="shared" si="26"/>
        <v>2.25</v>
      </c>
      <c r="G107" s="137">
        <f t="shared" si="26"/>
        <v>2.25</v>
      </c>
      <c r="H107" s="137">
        <f t="shared" si="26"/>
        <v>2.25</v>
      </c>
      <c r="I107" s="137">
        <f t="shared" si="26"/>
        <v>2.25</v>
      </c>
      <c r="J107" s="137">
        <f t="shared" si="26"/>
        <v>2.25</v>
      </c>
      <c r="K107" s="137">
        <f t="shared" si="26"/>
        <v>2.25</v>
      </c>
      <c r="L107" s="137">
        <f t="shared" si="26"/>
        <v>2.25</v>
      </c>
      <c r="M107" s="137">
        <f t="shared" si="26"/>
        <v>2.25</v>
      </c>
      <c r="N107" s="137">
        <f t="shared" si="26"/>
        <v>2.25</v>
      </c>
      <c r="O107" s="137">
        <f t="shared" si="26"/>
        <v>2.25</v>
      </c>
      <c r="P107" s="137">
        <f t="shared" si="26"/>
        <v>2.25</v>
      </c>
      <c r="Q107" s="137">
        <f t="shared" si="26"/>
        <v>2.25</v>
      </c>
      <c r="R107" s="137">
        <f t="shared" si="26"/>
        <v>2.25</v>
      </c>
      <c r="S107" s="137">
        <f t="shared" ref="S107:AF108" si="27">R107</f>
        <v>2.25</v>
      </c>
      <c r="T107" s="137">
        <f t="shared" si="27"/>
        <v>2.25</v>
      </c>
      <c r="U107" s="137">
        <f t="shared" si="27"/>
        <v>2.25</v>
      </c>
      <c r="V107" s="137">
        <f t="shared" si="27"/>
        <v>2.25</v>
      </c>
      <c r="W107" s="137">
        <f t="shared" si="27"/>
        <v>2.25</v>
      </c>
      <c r="X107" s="137">
        <f t="shared" si="27"/>
        <v>2.25</v>
      </c>
      <c r="Y107" s="137">
        <f t="shared" si="27"/>
        <v>2.25</v>
      </c>
      <c r="Z107" s="137">
        <f t="shared" si="27"/>
        <v>2.25</v>
      </c>
      <c r="AA107" s="137">
        <f t="shared" si="27"/>
        <v>2.25</v>
      </c>
      <c r="AB107" s="137">
        <f t="shared" si="27"/>
        <v>2.25</v>
      </c>
      <c r="AC107" s="137">
        <f t="shared" si="27"/>
        <v>2.25</v>
      </c>
      <c r="AD107" s="137">
        <f t="shared" si="27"/>
        <v>2.25</v>
      </c>
      <c r="AE107" s="137">
        <f t="shared" si="27"/>
        <v>2.25</v>
      </c>
      <c r="AF107" s="137">
        <f t="shared" si="27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6"/>
        <v>1.64</v>
      </c>
      <c r="D108" s="137">
        <f t="shared" si="26"/>
        <v>1.64</v>
      </c>
      <c r="E108" s="137">
        <f t="shared" si="26"/>
        <v>1.64</v>
      </c>
      <c r="F108" s="137">
        <f t="shared" si="26"/>
        <v>1.64</v>
      </c>
      <c r="G108" s="137">
        <f t="shared" si="26"/>
        <v>1.64</v>
      </c>
      <c r="H108" s="137">
        <f t="shared" si="26"/>
        <v>1.64</v>
      </c>
      <c r="I108" s="137">
        <f t="shared" si="26"/>
        <v>1.64</v>
      </c>
      <c r="J108" s="137">
        <f t="shared" si="26"/>
        <v>1.64</v>
      </c>
      <c r="K108" s="137">
        <f t="shared" si="26"/>
        <v>1.64</v>
      </c>
      <c r="L108" s="137">
        <f t="shared" si="26"/>
        <v>1.64</v>
      </c>
      <c r="M108" s="137">
        <f t="shared" si="26"/>
        <v>1.64</v>
      </c>
      <c r="N108" s="137">
        <f t="shared" si="26"/>
        <v>1.64</v>
      </c>
      <c r="O108" s="137">
        <f t="shared" si="26"/>
        <v>1.64</v>
      </c>
      <c r="P108" s="137">
        <f t="shared" si="26"/>
        <v>1.64</v>
      </c>
      <c r="Q108" s="137">
        <f t="shared" si="26"/>
        <v>1.64</v>
      </c>
      <c r="R108" s="137">
        <f t="shared" si="26"/>
        <v>1.64</v>
      </c>
      <c r="S108" s="137">
        <f t="shared" si="27"/>
        <v>1.64</v>
      </c>
      <c r="T108" s="137">
        <f t="shared" si="27"/>
        <v>1.64</v>
      </c>
      <c r="U108" s="137">
        <f t="shared" si="27"/>
        <v>1.64</v>
      </c>
      <c r="V108" s="137">
        <f t="shared" si="27"/>
        <v>1.64</v>
      </c>
      <c r="W108" s="137">
        <f t="shared" si="27"/>
        <v>1.64</v>
      </c>
      <c r="X108" s="137">
        <f t="shared" si="27"/>
        <v>1.64</v>
      </c>
      <c r="Y108" s="137">
        <f t="shared" si="27"/>
        <v>1.64</v>
      </c>
      <c r="Z108" s="137">
        <f t="shared" si="27"/>
        <v>1.64</v>
      </c>
      <c r="AA108" s="137">
        <f t="shared" si="27"/>
        <v>1.64</v>
      </c>
      <c r="AB108" s="137">
        <f t="shared" si="27"/>
        <v>1.64</v>
      </c>
      <c r="AC108" s="137">
        <f t="shared" si="27"/>
        <v>1.64</v>
      </c>
      <c r="AD108" s="137">
        <f t="shared" si="27"/>
        <v>1.64</v>
      </c>
      <c r="AE108" s="137">
        <f t="shared" si="27"/>
        <v>1.64</v>
      </c>
      <c r="AF108" s="137">
        <f t="shared" si="27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8">B110</f>
        <v>1.62</v>
      </c>
      <c r="D110" s="137">
        <f t="shared" si="28"/>
        <v>1.62</v>
      </c>
      <c r="E110" s="137">
        <f t="shared" si="28"/>
        <v>1.62</v>
      </c>
      <c r="F110" s="137">
        <f t="shared" si="28"/>
        <v>1.62</v>
      </c>
      <c r="G110" s="137">
        <f t="shared" si="28"/>
        <v>1.62</v>
      </c>
      <c r="H110" s="137">
        <f t="shared" si="28"/>
        <v>1.62</v>
      </c>
      <c r="I110" s="137">
        <f t="shared" si="28"/>
        <v>1.62</v>
      </c>
      <c r="J110" s="137">
        <f t="shared" si="28"/>
        <v>1.62</v>
      </c>
      <c r="K110" s="137">
        <f t="shared" si="28"/>
        <v>1.62</v>
      </c>
      <c r="L110" s="137">
        <f t="shared" si="28"/>
        <v>1.62</v>
      </c>
      <c r="M110" s="137">
        <f t="shared" si="28"/>
        <v>1.62</v>
      </c>
      <c r="N110" s="137">
        <f t="shared" si="28"/>
        <v>1.62</v>
      </c>
      <c r="O110" s="137">
        <f t="shared" si="28"/>
        <v>1.62</v>
      </c>
      <c r="P110" s="137">
        <f t="shared" si="28"/>
        <v>1.62</v>
      </c>
      <c r="Q110" s="137">
        <f t="shared" si="28"/>
        <v>1.62</v>
      </c>
      <c r="R110" s="137">
        <f t="shared" si="28"/>
        <v>1.62</v>
      </c>
      <c r="S110" s="137">
        <f t="shared" ref="S110:AF125" si="29">R110</f>
        <v>1.62</v>
      </c>
      <c r="T110" s="137">
        <f t="shared" si="29"/>
        <v>1.62</v>
      </c>
      <c r="U110" s="137">
        <f t="shared" si="29"/>
        <v>1.62</v>
      </c>
      <c r="V110" s="137">
        <f t="shared" si="29"/>
        <v>1.62</v>
      </c>
      <c r="W110" s="137">
        <f t="shared" si="29"/>
        <v>1.62</v>
      </c>
      <c r="X110" s="137">
        <f t="shared" si="29"/>
        <v>1.62</v>
      </c>
      <c r="Y110" s="137">
        <f t="shared" si="29"/>
        <v>1.62</v>
      </c>
      <c r="Z110" s="137">
        <f t="shared" si="29"/>
        <v>1.62</v>
      </c>
      <c r="AA110" s="137">
        <f t="shared" si="29"/>
        <v>1.62</v>
      </c>
      <c r="AB110" s="137">
        <f t="shared" si="29"/>
        <v>1.62</v>
      </c>
      <c r="AC110" s="137">
        <f t="shared" si="29"/>
        <v>1.62</v>
      </c>
      <c r="AD110" s="137">
        <f t="shared" si="29"/>
        <v>1.62</v>
      </c>
      <c r="AE110" s="137">
        <f t="shared" si="29"/>
        <v>1.62</v>
      </c>
      <c r="AF110" s="137">
        <f t="shared" si="29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8"/>
        <v>8.36</v>
      </c>
      <c r="D111" s="137">
        <f t="shared" si="28"/>
        <v>8.36</v>
      </c>
      <c r="E111" s="137">
        <f t="shared" si="28"/>
        <v>8.36</v>
      </c>
      <c r="F111" s="137">
        <f t="shared" si="28"/>
        <v>8.36</v>
      </c>
      <c r="G111" s="137">
        <f t="shared" si="28"/>
        <v>8.36</v>
      </c>
      <c r="H111" s="137">
        <f t="shared" si="28"/>
        <v>8.36</v>
      </c>
      <c r="I111" s="137">
        <f t="shared" si="28"/>
        <v>8.36</v>
      </c>
      <c r="J111" s="137">
        <f t="shared" si="28"/>
        <v>8.36</v>
      </c>
      <c r="K111" s="137">
        <f t="shared" si="28"/>
        <v>8.36</v>
      </c>
      <c r="L111" s="137">
        <f t="shared" si="28"/>
        <v>8.36</v>
      </c>
      <c r="M111" s="137">
        <f t="shared" si="28"/>
        <v>8.36</v>
      </c>
      <c r="N111" s="137">
        <f t="shared" si="28"/>
        <v>8.36</v>
      </c>
      <c r="O111" s="137">
        <f t="shared" si="28"/>
        <v>8.36</v>
      </c>
      <c r="P111" s="137">
        <f t="shared" si="28"/>
        <v>8.36</v>
      </c>
      <c r="Q111" s="137">
        <f t="shared" si="28"/>
        <v>8.36</v>
      </c>
      <c r="R111" s="137">
        <f t="shared" si="28"/>
        <v>8.36</v>
      </c>
      <c r="S111" s="137">
        <f t="shared" si="29"/>
        <v>8.36</v>
      </c>
      <c r="T111" s="137">
        <f t="shared" si="29"/>
        <v>8.36</v>
      </c>
      <c r="U111" s="137">
        <f t="shared" si="29"/>
        <v>8.36</v>
      </c>
      <c r="V111" s="137">
        <f t="shared" si="29"/>
        <v>8.36</v>
      </c>
      <c r="W111" s="137">
        <f t="shared" si="29"/>
        <v>8.36</v>
      </c>
      <c r="X111" s="137">
        <f t="shared" si="29"/>
        <v>8.36</v>
      </c>
      <c r="Y111" s="137">
        <f t="shared" si="29"/>
        <v>8.36</v>
      </c>
      <c r="Z111" s="137">
        <f t="shared" si="29"/>
        <v>8.36</v>
      </c>
      <c r="AA111" s="137">
        <f t="shared" si="29"/>
        <v>8.36</v>
      </c>
      <c r="AB111" s="137">
        <f t="shared" si="29"/>
        <v>8.36</v>
      </c>
      <c r="AC111" s="137">
        <f t="shared" si="29"/>
        <v>8.36</v>
      </c>
      <c r="AD111" s="137">
        <f t="shared" si="29"/>
        <v>8.36</v>
      </c>
      <c r="AE111" s="137">
        <f t="shared" si="29"/>
        <v>8.36</v>
      </c>
      <c r="AF111" s="137">
        <f t="shared" si="29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8"/>
        <v>8</v>
      </c>
      <c r="D112" s="137">
        <f t="shared" si="28"/>
        <v>8</v>
      </c>
      <c r="E112" s="137">
        <f t="shared" si="28"/>
        <v>8</v>
      </c>
      <c r="F112" s="137">
        <f t="shared" si="28"/>
        <v>8</v>
      </c>
      <c r="G112" s="137">
        <f t="shared" si="28"/>
        <v>8</v>
      </c>
      <c r="H112" s="137">
        <f t="shared" si="28"/>
        <v>8</v>
      </c>
      <c r="I112" s="137">
        <v>5.4</v>
      </c>
      <c r="J112" s="137">
        <f t="shared" si="28"/>
        <v>5.4</v>
      </c>
      <c r="K112" s="137">
        <f t="shared" si="28"/>
        <v>5.4</v>
      </c>
      <c r="L112" s="137">
        <f t="shared" si="28"/>
        <v>5.4</v>
      </c>
      <c r="M112" s="137">
        <f t="shared" si="28"/>
        <v>5.4</v>
      </c>
      <c r="N112" s="137">
        <f t="shared" si="28"/>
        <v>5.4</v>
      </c>
      <c r="O112" s="137">
        <f t="shared" si="28"/>
        <v>5.4</v>
      </c>
      <c r="P112" s="137">
        <f t="shared" si="28"/>
        <v>5.4</v>
      </c>
      <c r="Q112" s="137">
        <f t="shared" si="28"/>
        <v>5.4</v>
      </c>
      <c r="R112" s="137">
        <f t="shared" si="28"/>
        <v>5.4</v>
      </c>
      <c r="S112" s="137">
        <f t="shared" si="29"/>
        <v>5.4</v>
      </c>
      <c r="T112" s="137">
        <f t="shared" si="29"/>
        <v>5.4</v>
      </c>
      <c r="U112" s="137">
        <f t="shared" si="29"/>
        <v>5.4</v>
      </c>
      <c r="V112" s="137">
        <f t="shared" si="29"/>
        <v>5.4</v>
      </c>
      <c r="W112" s="137">
        <f t="shared" si="29"/>
        <v>5.4</v>
      </c>
      <c r="X112" s="137">
        <f t="shared" si="29"/>
        <v>5.4</v>
      </c>
      <c r="Y112" s="137">
        <f t="shared" si="29"/>
        <v>5.4</v>
      </c>
      <c r="Z112" s="137">
        <f t="shared" si="29"/>
        <v>5.4</v>
      </c>
      <c r="AA112" s="137">
        <f t="shared" si="29"/>
        <v>5.4</v>
      </c>
      <c r="AB112" s="137">
        <f t="shared" si="29"/>
        <v>5.4</v>
      </c>
      <c r="AC112" s="137">
        <f t="shared" si="29"/>
        <v>5.4</v>
      </c>
      <c r="AD112" s="137">
        <f t="shared" si="29"/>
        <v>5.4</v>
      </c>
      <c r="AE112" s="137">
        <f t="shared" si="29"/>
        <v>5.4</v>
      </c>
      <c r="AF112" s="137">
        <f t="shared" si="29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8"/>
        <v>6.57</v>
      </c>
      <c r="D113" s="137">
        <f t="shared" si="28"/>
        <v>6.57</v>
      </c>
      <c r="E113" s="137">
        <f t="shared" si="28"/>
        <v>6.57</v>
      </c>
      <c r="F113" s="137">
        <f t="shared" si="28"/>
        <v>6.57</v>
      </c>
      <c r="G113" s="137">
        <f t="shared" si="28"/>
        <v>6.57</v>
      </c>
      <c r="H113" s="137">
        <f t="shared" si="28"/>
        <v>6.57</v>
      </c>
      <c r="I113" s="137">
        <f t="shared" si="28"/>
        <v>6.57</v>
      </c>
      <c r="J113" s="137">
        <f t="shared" si="28"/>
        <v>6.57</v>
      </c>
      <c r="K113" s="137">
        <f t="shared" si="28"/>
        <v>6.57</v>
      </c>
      <c r="L113" s="137">
        <f t="shared" si="28"/>
        <v>6.57</v>
      </c>
      <c r="M113" s="137">
        <f t="shared" si="28"/>
        <v>6.57</v>
      </c>
      <c r="N113" s="137">
        <f t="shared" si="28"/>
        <v>6.57</v>
      </c>
      <c r="O113" s="137">
        <f t="shared" si="28"/>
        <v>6.57</v>
      </c>
      <c r="P113" s="137">
        <f t="shared" si="28"/>
        <v>6.57</v>
      </c>
      <c r="Q113" s="137">
        <f t="shared" si="28"/>
        <v>6.57</v>
      </c>
      <c r="R113" s="137">
        <f t="shared" si="28"/>
        <v>6.57</v>
      </c>
      <c r="S113" s="137">
        <f t="shared" si="29"/>
        <v>6.57</v>
      </c>
      <c r="T113" s="137">
        <f t="shared" si="29"/>
        <v>6.57</v>
      </c>
      <c r="U113" s="137">
        <f t="shared" si="29"/>
        <v>6.57</v>
      </c>
      <c r="V113" s="137">
        <f t="shared" si="29"/>
        <v>6.57</v>
      </c>
      <c r="W113" s="137">
        <f t="shared" si="29"/>
        <v>6.57</v>
      </c>
      <c r="X113" s="137">
        <f t="shared" si="29"/>
        <v>6.57</v>
      </c>
      <c r="Y113" s="137">
        <f t="shared" si="29"/>
        <v>6.57</v>
      </c>
      <c r="Z113" s="137">
        <f t="shared" si="29"/>
        <v>6.57</v>
      </c>
      <c r="AA113" s="137">
        <f t="shared" si="29"/>
        <v>6.57</v>
      </c>
      <c r="AB113" s="137">
        <f t="shared" si="29"/>
        <v>6.57</v>
      </c>
      <c r="AC113" s="137">
        <f t="shared" si="29"/>
        <v>6.57</v>
      </c>
      <c r="AD113" s="137">
        <f t="shared" si="29"/>
        <v>6.57</v>
      </c>
      <c r="AE113" s="137">
        <f t="shared" si="29"/>
        <v>6.57</v>
      </c>
      <c r="AF113" s="137">
        <f t="shared" si="29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8"/>
        <v>3.43</v>
      </c>
      <c r="D114" s="137">
        <f t="shared" si="28"/>
        <v>3.43</v>
      </c>
      <c r="E114" s="137">
        <f t="shared" si="28"/>
        <v>3.43</v>
      </c>
      <c r="F114" s="137">
        <f t="shared" si="28"/>
        <v>3.43</v>
      </c>
      <c r="G114" s="137">
        <f t="shared" si="28"/>
        <v>3.43</v>
      </c>
      <c r="H114" s="137">
        <f t="shared" si="28"/>
        <v>3.43</v>
      </c>
      <c r="I114" s="137">
        <f t="shared" si="28"/>
        <v>3.43</v>
      </c>
      <c r="J114" s="137">
        <f t="shared" si="28"/>
        <v>3.43</v>
      </c>
      <c r="K114" s="137">
        <f t="shared" si="28"/>
        <v>3.43</v>
      </c>
      <c r="L114" s="137">
        <f t="shared" si="28"/>
        <v>3.43</v>
      </c>
      <c r="M114" s="137">
        <f t="shared" si="28"/>
        <v>3.43</v>
      </c>
      <c r="N114" s="137">
        <f t="shared" si="28"/>
        <v>3.43</v>
      </c>
      <c r="O114" s="137">
        <f t="shared" si="28"/>
        <v>3.43</v>
      </c>
      <c r="P114" s="137">
        <f t="shared" si="28"/>
        <v>3.43</v>
      </c>
      <c r="Q114" s="137">
        <f t="shared" si="28"/>
        <v>3.43</v>
      </c>
      <c r="R114" s="137">
        <f t="shared" si="28"/>
        <v>3.43</v>
      </c>
      <c r="S114" s="137">
        <f t="shared" si="29"/>
        <v>3.43</v>
      </c>
      <c r="T114" s="137">
        <f t="shared" si="29"/>
        <v>3.43</v>
      </c>
      <c r="U114" s="137">
        <f t="shared" si="29"/>
        <v>3.43</v>
      </c>
      <c r="V114" s="137">
        <f t="shared" si="29"/>
        <v>3.43</v>
      </c>
      <c r="W114" s="137">
        <f t="shared" si="29"/>
        <v>3.43</v>
      </c>
      <c r="X114" s="137">
        <f t="shared" si="29"/>
        <v>3.43</v>
      </c>
      <c r="Y114" s="137">
        <f t="shared" si="29"/>
        <v>3.43</v>
      </c>
      <c r="Z114" s="137">
        <f t="shared" si="29"/>
        <v>3.43</v>
      </c>
      <c r="AA114" s="137">
        <f t="shared" si="29"/>
        <v>3.43</v>
      </c>
      <c r="AB114" s="137">
        <f t="shared" si="29"/>
        <v>3.43</v>
      </c>
      <c r="AC114" s="137">
        <f t="shared" si="29"/>
        <v>3.43</v>
      </c>
      <c r="AD114" s="137">
        <f t="shared" si="29"/>
        <v>3.43</v>
      </c>
      <c r="AE114" s="137">
        <f t="shared" si="29"/>
        <v>3.43</v>
      </c>
      <c r="AF114" s="137">
        <f t="shared" si="29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8"/>
        <v>2.96</v>
      </c>
      <c r="D115" s="137">
        <f t="shared" si="28"/>
        <v>2.96</v>
      </c>
      <c r="E115" s="137">
        <f t="shared" si="28"/>
        <v>2.96</v>
      </c>
      <c r="F115" s="137">
        <f t="shared" si="28"/>
        <v>2.96</v>
      </c>
      <c r="G115" s="137">
        <f t="shared" si="28"/>
        <v>2.96</v>
      </c>
      <c r="H115" s="137">
        <f t="shared" si="28"/>
        <v>2.96</v>
      </c>
      <c r="I115" s="137">
        <f t="shared" si="28"/>
        <v>2.96</v>
      </c>
      <c r="J115" s="137">
        <f t="shared" si="28"/>
        <v>2.96</v>
      </c>
      <c r="K115" s="137">
        <f t="shared" si="28"/>
        <v>2.96</v>
      </c>
      <c r="L115" s="137">
        <f t="shared" si="28"/>
        <v>2.96</v>
      </c>
      <c r="M115" s="137">
        <f t="shared" si="28"/>
        <v>2.96</v>
      </c>
      <c r="N115" s="137">
        <f t="shared" si="28"/>
        <v>2.96</v>
      </c>
      <c r="O115" s="137">
        <f t="shared" si="28"/>
        <v>2.96</v>
      </c>
      <c r="P115" s="137">
        <f t="shared" si="28"/>
        <v>2.96</v>
      </c>
      <c r="Q115" s="137">
        <f t="shared" si="28"/>
        <v>2.96</v>
      </c>
      <c r="R115" s="137">
        <f t="shared" si="28"/>
        <v>2.96</v>
      </c>
      <c r="S115" s="137">
        <f t="shared" si="29"/>
        <v>2.96</v>
      </c>
      <c r="T115" s="137">
        <f t="shared" si="29"/>
        <v>2.96</v>
      </c>
      <c r="U115" s="137">
        <f t="shared" si="29"/>
        <v>2.96</v>
      </c>
      <c r="V115" s="137">
        <f t="shared" si="29"/>
        <v>2.96</v>
      </c>
      <c r="W115" s="137">
        <f t="shared" si="29"/>
        <v>2.96</v>
      </c>
      <c r="X115" s="137">
        <f t="shared" si="29"/>
        <v>2.96</v>
      </c>
      <c r="Y115" s="137">
        <f t="shared" si="29"/>
        <v>2.96</v>
      </c>
      <c r="Z115" s="137">
        <f t="shared" si="29"/>
        <v>2.96</v>
      </c>
      <c r="AA115" s="137">
        <f t="shared" si="29"/>
        <v>2.96</v>
      </c>
      <c r="AB115" s="137">
        <f t="shared" si="29"/>
        <v>2.96</v>
      </c>
      <c r="AC115" s="137">
        <f t="shared" si="29"/>
        <v>2.96</v>
      </c>
      <c r="AD115" s="137">
        <f t="shared" si="29"/>
        <v>2.96</v>
      </c>
      <c r="AE115" s="137">
        <f t="shared" si="29"/>
        <v>2.96</v>
      </c>
      <c r="AF115" s="137">
        <f t="shared" si="29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8"/>
        <v>8</v>
      </c>
      <c r="D116" s="137">
        <f t="shared" si="28"/>
        <v>8</v>
      </c>
      <c r="E116" s="137">
        <f t="shared" si="28"/>
        <v>8</v>
      </c>
      <c r="F116" s="137">
        <f t="shared" si="28"/>
        <v>8</v>
      </c>
      <c r="G116" s="137">
        <f t="shared" si="28"/>
        <v>8</v>
      </c>
      <c r="H116" s="137">
        <f t="shared" si="28"/>
        <v>8</v>
      </c>
      <c r="I116" s="137">
        <f t="shared" si="28"/>
        <v>8</v>
      </c>
      <c r="J116" s="137">
        <f t="shared" si="28"/>
        <v>8</v>
      </c>
      <c r="K116" s="137">
        <f t="shared" si="28"/>
        <v>8</v>
      </c>
      <c r="L116" s="137">
        <f t="shared" si="28"/>
        <v>8</v>
      </c>
      <c r="M116" s="137">
        <f t="shared" si="28"/>
        <v>8</v>
      </c>
      <c r="N116" s="137">
        <f t="shared" si="28"/>
        <v>8</v>
      </c>
      <c r="O116" s="137">
        <f t="shared" si="28"/>
        <v>8</v>
      </c>
      <c r="P116" s="137">
        <f t="shared" si="28"/>
        <v>8</v>
      </c>
      <c r="Q116" s="137">
        <f t="shared" si="28"/>
        <v>8</v>
      </c>
      <c r="R116" s="137">
        <f t="shared" si="28"/>
        <v>8</v>
      </c>
      <c r="S116" s="137">
        <f t="shared" si="29"/>
        <v>8</v>
      </c>
      <c r="T116" s="137">
        <f t="shared" si="29"/>
        <v>8</v>
      </c>
      <c r="U116" s="137">
        <f t="shared" si="29"/>
        <v>8</v>
      </c>
      <c r="V116" s="137">
        <f t="shared" si="29"/>
        <v>8</v>
      </c>
      <c r="W116" s="137">
        <f t="shared" si="29"/>
        <v>8</v>
      </c>
      <c r="X116" s="137">
        <f t="shared" si="29"/>
        <v>8</v>
      </c>
      <c r="Y116" s="137">
        <f t="shared" si="29"/>
        <v>8</v>
      </c>
      <c r="Z116" s="137">
        <f t="shared" si="29"/>
        <v>8</v>
      </c>
      <c r="AA116" s="137">
        <f t="shared" si="29"/>
        <v>8</v>
      </c>
      <c r="AB116" s="137">
        <f t="shared" si="29"/>
        <v>8</v>
      </c>
      <c r="AC116" s="137">
        <f t="shared" si="29"/>
        <v>8</v>
      </c>
      <c r="AD116" s="137">
        <f t="shared" si="29"/>
        <v>8</v>
      </c>
      <c r="AE116" s="137">
        <f t="shared" si="29"/>
        <v>8</v>
      </c>
      <c r="AF116" s="137">
        <f t="shared" si="29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8"/>
        <v>7</v>
      </c>
      <c r="E117" s="137">
        <f t="shared" si="28"/>
        <v>7</v>
      </c>
      <c r="F117" s="137">
        <f t="shared" si="28"/>
        <v>7</v>
      </c>
      <c r="G117" s="137">
        <f t="shared" si="28"/>
        <v>7</v>
      </c>
      <c r="H117" s="137">
        <f t="shared" si="28"/>
        <v>7</v>
      </c>
      <c r="I117" s="137">
        <f t="shared" si="28"/>
        <v>7</v>
      </c>
      <c r="J117" s="137">
        <f t="shared" si="28"/>
        <v>7</v>
      </c>
      <c r="K117" s="137">
        <f t="shared" si="28"/>
        <v>7</v>
      </c>
      <c r="L117" s="137">
        <f t="shared" si="28"/>
        <v>7</v>
      </c>
      <c r="M117" s="137">
        <f t="shared" si="28"/>
        <v>7</v>
      </c>
      <c r="N117" s="137">
        <f t="shared" si="28"/>
        <v>7</v>
      </c>
      <c r="O117" s="137">
        <f t="shared" si="28"/>
        <v>7</v>
      </c>
      <c r="P117" s="137">
        <f t="shared" si="28"/>
        <v>7</v>
      </c>
      <c r="Q117" s="137">
        <f t="shared" si="28"/>
        <v>7</v>
      </c>
      <c r="R117" s="137">
        <f t="shared" si="28"/>
        <v>7</v>
      </c>
      <c r="S117" s="137">
        <f t="shared" si="29"/>
        <v>7</v>
      </c>
      <c r="T117" s="137">
        <f t="shared" si="29"/>
        <v>7</v>
      </c>
      <c r="U117" s="137">
        <f t="shared" si="29"/>
        <v>7</v>
      </c>
      <c r="V117" s="137">
        <f t="shared" si="29"/>
        <v>7</v>
      </c>
      <c r="W117" s="137">
        <f t="shared" si="29"/>
        <v>7</v>
      </c>
      <c r="X117" s="137">
        <f t="shared" si="29"/>
        <v>7</v>
      </c>
      <c r="Y117" s="137">
        <f t="shared" si="29"/>
        <v>7</v>
      </c>
      <c r="Z117" s="137">
        <f t="shared" si="29"/>
        <v>7</v>
      </c>
      <c r="AA117" s="137">
        <f t="shared" si="29"/>
        <v>7</v>
      </c>
      <c r="AB117" s="137">
        <f t="shared" si="29"/>
        <v>7</v>
      </c>
      <c r="AC117" s="137">
        <f t="shared" si="29"/>
        <v>7</v>
      </c>
      <c r="AD117" s="137">
        <f t="shared" si="29"/>
        <v>7</v>
      </c>
      <c r="AE117" s="137">
        <f t="shared" si="29"/>
        <v>7</v>
      </c>
      <c r="AF117" s="137">
        <f t="shared" si="29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30">B118</f>
        <v>3.47</v>
      </c>
      <c r="D118" s="137">
        <f t="shared" si="30"/>
        <v>3.47</v>
      </c>
      <c r="E118" s="137">
        <f t="shared" si="30"/>
        <v>3.47</v>
      </c>
      <c r="F118" s="137">
        <f t="shared" si="30"/>
        <v>3.47</v>
      </c>
      <c r="G118" s="137">
        <f t="shared" si="30"/>
        <v>3.47</v>
      </c>
      <c r="H118" s="137">
        <f t="shared" si="30"/>
        <v>3.47</v>
      </c>
      <c r="I118" s="137">
        <f t="shared" si="30"/>
        <v>3.47</v>
      </c>
      <c r="J118" s="137">
        <f t="shared" si="30"/>
        <v>3.47</v>
      </c>
      <c r="K118" s="137">
        <f t="shared" si="30"/>
        <v>3.47</v>
      </c>
      <c r="L118" s="137">
        <f t="shared" si="30"/>
        <v>3.47</v>
      </c>
      <c r="M118" s="137">
        <f t="shared" si="30"/>
        <v>3.47</v>
      </c>
      <c r="N118" s="137">
        <f t="shared" si="30"/>
        <v>3.47</v>
      </c>
      <c r="O118" s="137">
        <f t="shared" si="30"/>
        <v>3.47</v>
      </c>
      <c r="P118" s="137">
        <f t="shared" si="30"/>
        <v>3.47</v>
      </c>
      <c r="Q118" s="137">
        <f t="shared" si="30"/>
        <v>3.47</v>
      </c>
      <c r="R118" s="137">
        <f t="shared" si="30"/>
        <v>3.47</v>
      </c>
      <c r="S118" s="137">
        <f t="shared" si="29"/>
        <v>3.47</v>
      </c>
      <c r="T118" s="137">
        <f t="shared" si="29"/>
        <v>3.47</v>
      </c>
      <c r="U118" s="137">
        <f t="shared" si="29"/>
        <v>3.47</v>
      </c>
      <c r="V118" s="137">
        <f t="shared" si="29"/>
        <v>3.47</v>
      </c>
      <c r="W118" s="137">
        <f t="shared" si="29"/>
        <v>3.47</v>
      </c>
      <c r="X118" s="137">
        <f t="shared" si="29"/>
        <v>3.47</v>
      </c>
      <c r="Y118" s="137">
        <f t="shared" si="29"/>
        <v>3.47</v>
      </c>
      <c r="Z118" s="137">
        <f t="shared" si="29"/>
        <v>3.47</v>
      </c>
      <c r="AA118" s="137">
        <f t="shared" si="29"/>
        <v>3.47</v>
      </c>
      <c r="AB118" s="137">
        <f t="shared" si="29"/>
        <v>3.47</v>
      </c>
      <c r="AC118" s="137">
        <f t="shared" si="29"/>
        <v>3.47</v>
      </c>
      <c r="AD118" s="137">
        <f t="shared" si="29"/>
        <v>3.47</v>
      </c>
      <c r="AE118" s="137">
        <f t="shared" si="29"/>
        <v>3.47</v>
      </c>
      <c r="AF118" s="137">
        <f t="shared" si="29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30"/>
        <v>2.1</v>
      </c>
      <c r="D119" s="137">
        <f t="shared" si="30"/>
        <v>2.1</v>
      </c>
      <c r="E119" s="137">
        <f t="shared" si="30"/>
        <v>2.1</v>
      </c>
      <c r="F119" s="137">
        <f t="shared" si="30"/>
        <v>2.1</v>
      </c>
      <c r="G119" s="137">
        <f t="shared" si="30"/>
        <v>2.1</v>
      </c>
      <c r="H119" s="137">
        <f t="shared" si="30"/>
        <v>2.1</v>
      </c>
      <c r="I119" s="137">
        <f t="shared" si="30"/>
        <v>2.1</v>
      </c>
      <c r="J119" s="137">
        <f t="shared" si="30"/>
        <v>2.1</v>
      </c>
      <c r="K119" s="137">
        <f t="shared" si="30"/>
        <v>2.1</v>
      </c>
      <c r="L119" s="137">
        <f t="shared" si="30"/>
        <v>2.1</v>
      </c>
      <c r="M119" s="137">
        <f t="shared" si="30"/>
        <v>2.1</v>
      </c>
      <c r="N119" s="137">
        <f t="shared" si="30"/>
        <v>2.1</v>
      </c>
      <c r="O119" s="137">
        <f t="shared" si="30"/>
        <v>2.1</v>
      </c>
      <c r="P119" s="137">
        <f t="shared" si="30"/>
        <v>2.1</v>
      </c>
      <c r="Q119" s="137">
        <f t="shared" si="30"/>
        <v>2.1</v>
      </c>
      <c r="R119" s="137">
        <f t="shared" si="30"/>
        <v>2.1</v>
      </c>
      <c r="S119" s="137">
        <f t="shared" si="29"/>
        <v>2.1</v>
      </c>
      <c r="T119" s="137">
        <f t="shared" si="29"/>
        <v>2.1</v>
      </c>
      <c r="U119" s="137">
        <f t="shared" si="29"/>
        <v>2.1</v>
      </c>
      <c r="V119" s="137">
        <f t="shared" si="29"/>
        <v>2.1</v>
      </c>
      <c r="W119" s="137">
        <f t="shared" si="29"/>
        <v>2.1</v>
      </c>
      <c r="X119" s="137">
        <f t="shared" si="29"/>
        <v>2.1</v>
      </c>
      <c r="Y119" s="137">
        <f t="shared" si="29"/>
        <v>2.1</v>
      </c>
      <c r="Z119" s="137">
        <f t="shared" si="29"/>
        <v>2.1</v>
      </c>
      <c r="AA119" s="137">
        <f t="shared" si="29"/>
        <v>2.1</v>
      </c>
      <c r="AB119" s="137">
        <f t="shared" si="29"/>
        <v>2.1</v>
      </c>
      <c r="AC119" s="137">
        <f t="shared" si="29"/>
        <v>2.1</v>
      </c>
      <c r="AD119" s="137">
        <f t="shared" si="29"/>
        <v>2.1</v>
      </c>
      <c r="AE119" s="137">
        <f t="shared" si="29"/>
        <v>2.1</v>
      </c>
      <c r="AF119" s="137">
        <f t="shared" si="29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30"/>
        <v>9.3000000000000007</v>
      </c>
      <c r="D120" s="137">
        <f t="shared" si="30"/>
        <v>9.3000000000000007</v>
      </c>
      <c r="E120" s="137">
        <f t="shared" si="30"/>
        <v>9.3000000000000007</v>
      </c>
      <c r="F120" s="137">
        <f t="shared" si="30"/>
        <v>9.3000000000000007</v>
      </c>
      <c r="G120" s="137">
        <f t="shared" si="30"/>
        <v>9.3000000000000007</v>
      </c>
      <c r="H120" s="137">
        <f t="shared" si="30"/>
        <v>9.3000000000000007</v>
      </c>
      <c r="I120" s="137">
        <f t="shared" si="30"/>
        <v>9.3000000000000007</v>
      </c>
      <c r="J120" s="137">
        <f t="shared" si="30"/>
        <v>9.3000000000000007</v>
      </c>
      <c r="K120" s="137">
        <f t="shared" si="30"/>
        <v>9.3000000000000007</v>
      </c>
      <c r="L120" s="137">
        <f t="shared" si="30"/>
        <v>9.3000000000000007</v>
      </c>
      <c r="M120" s="137">
        <f t="shared" si="30"/>
        <v>9.3000000000000007</v>
      </c>
      <c r="N120" s="137">
        <f t="shared" si="30"/>
        <v>9.3000000000000007</v>
      </c>
      <c r="O120" s="137">
        <f t="shared" si="30"/>
        <v>9.3000000000000007</v>
      </c>
      <c r="P120" s="137">
        <f t="shared" si="30"/>
        <v>9.3000000000000007</v>
      </c>
      <c r="Q120" s="137">
        <f t="shared" si="30"/>
        <v>9.3000000000000007</v>
      </c>
      <c r="R120" s="137">
        <f t="shared" si="30"/>
        <v>9.3000000000000007</v>
      </c>
      <c r="S120" s="137">
        <f t="shared" si="29"/>
        <v>9.3000000000000007</v>
      </c>
      <c r="T120" s="137">
        <f t="shared" si="29"/>
        <v>9.3000000000000007</v>
      </c>
      <c r="U120" s="137">
        <f t="shared" si="29"/>
        <v>9.3000000000000007</v>
      </c>
      <c r="V120" s="137">
        <f t="shared" si="29"/>
        <v>9.3000000000000007</v>
      </c>
      <c r="W120" s="137">
        <f t="shared" si="29"/>
        <v>9.3000000000000007</v>
      </c>
      <c r="X120" s="137">
        <f t="shared" si="29"/>
        <v>9.3000000000000007</v>
      </c>
      <c r="Y120" s="137">
        <f t="shared" si="29"/>
        <v>9.3000000000000007</v>
      </c>
      <c r="Z120" s="137">
        <f t="shared" si="29"/>
        <v>9.3000000000000007</v>
      </c>
      <c r="AA120" s="137">
        <f t="shared" si="29"/>
        <v>9.3000000000000007</v>
      </c>
      <c r="AB120" s="137">
        <f t="shared" si="29"/>
        <v>9.3000000000000007</v>
      </c>
      <c r="AC120" s="137">
        <f t="shared" si="29"/>
        <v>9.3000000000000007</v>
      </c>
      <c r="AD120" s="137">
        <f t="shared" si="29"/>
        <v>9.3000000000000007</v>
      </c>
      <c r="AE120" s="137">
        <f t="shared" si="29"/>
        <v>9.3000000000000007</v>
      </c>
      <c r="AF120" s="137">
        <f t="shared" si="29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30"/>
        <v>0</v>
      </c>
      <c r="D121" s="137">
        <f t="shared" si="30"/>
        <v>0</v>
      </c>
      <c r="E121" s="137">
        <f t="shared" si="30"/>
        <v>0</v>
      </c>
      <c r="F121" s="137">
        <f t="shared" si="30"/>
        <v>0</v>
      </c>
      <c r="G121" s="137">
        <f t="shared" si="30"/>
        <v>0</v>
      </c>
      <c r="H121" s="137">
        <f t="shared" si="30"/>
        <v>0</v>
      </c>
      <c r="I121" s="137">
        <f t="shared" si="30"/>
        <v>0</v>
      </c>
      <c r="J121" s="137">
        <f t="shared" si="30"/>
        <v>0</v>
      </c>
      <c r="K121" s="137">
        <f t="shared" si="30"/>
        <v>0</v>
      </c>
      <c r="L121" s="137">
        <f t="shared" si="30"/>
        <v>0</v>
      </c>
      <c r="M121" s="137">
        <f t="shared" si="30"/>
        <v>0</v>
      </c>
      <c r="N121" s="137">
        <f t="shared" si="30"/>
        <v>0</v>
      </c>
      <c r="O121" s="137">
        <f t="shared" si="30"/>
        <v>0</v>
      </c>
      <c r="P121" s="137">
        <f t="shared" si="30"/>
        <v>0</v>
      </c>
      <c r="Q121" s="137">
        <f t="shared" si="30"/>
        <v>0</v>
      </c>
      <c r="R121" s="137">
        <f t="shared" si="30"/>
        <v>0</v>
      </c>
      <c r="S121" s="137">
        <f t="shared" si="29"/>
        <v>0</v>
      </c>
      <c r="T121" s="137">
        <f t="shared" si="29"/>
        <v>0</v>
      </c>
      <c r="U121" s="137">
        <f t="shared" si="29"/>
        <v>0</v>
      </c>
      <c r="V121" s="137">
        <f t="shared" si="29"/>
        <v>0</v>
      </c>
      <c r="W121" s="137">
        <f t="shared" si="29"/>
        <v>0</v>
      </c>
      <c r="X121" s="137">
        <f t="shared" si="29"/>
        <v>0</v>
      </c>
      <c r="Y121" s="137">
        <f t="shared" si="29"/>
        <v>0</v>
      </c>
      <c r="Z121" s="137">
        <f t="shared" si="29"/>
        <v>0</v>
      </c>
      <c r="AA121" s="137">
        <f t="shared" si="29"/>
        <v>0</v>
      </c>
      <c r="AB121" s="137">
        <f t="shared" si="29"/>
        <v>0</v>
      </c>
      <c r="AC121" s="137">
        <f t="shared" si="29"/>
        <v>0</v>
      </c>
      <c r="AD121" s="137">
        <f t="shared" si="29"/>
        <v>0</v>
      </c>
      <c r="AE121" s="137">
        <f t="shared" si="29"/>
        <v>0</v>
      </c>
      <c r="AF121" s="137">
        <f t="shared" si="29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30"/>
        <v>0</v>
      </c>
      <c r="D122" s="137">
        <f t="shared" si="30"/>
        <v>0</v>
      </c>
      <c r="E122" s="137">
        <f t="shared" si="30"/>
        <v>0</v>
      </c>
      <c r="F122" s="137">
        <f t="shared" si="30"/>
        <v>0</v>
      </c>
      <c r="G122" s="137">
        <f t="shared" si="30"/>
        <v>0</v>
      </c>
      <c r="H122" s="137">
        <f t="shared" si="30"/>
        <v>0</v>
      </c>
      <c r="I122" s="137">
        <f t="shared" si="30"/>
        <v>0</v>
      </c>
      <c r="J122" s="137">
        <f t="shared" si="30"/>
        <v>0</v>
      </c>
      <c r="K122" s="137">
        <f t="shared" si="30"/>
        <v>0</v>
      </c>
      <c r="L122" s="137">
        <f t="shared" si="30"/>
        <v>0</v>
      </c>
      <c r="M122" s="137">
        <f t="shared" si="30"/>
        <v>0</v>
      </c>
      <c r="N122" s="137">
        <f t="shared" si="30"/>
        <v>0</v>
      </c>
      <c r="O122" s="137">
        <f t="shared" si="30"/>
        <v>0</v>
      </c>
      <c r="P122" s="137">
        <f t="shared" si="30"/>
        <v>0</v>
      </c>
      <c r="Q122" s="137">
        <f t="shared" si="30"/>
        <v>0</v>
      </c>
      <c r="R122" s="137">
        <f t="shared" si="30"/>
        <v>0</v>
      </c>
      <c r="S122" s="137">
        <f t="shared" si="29"/>
        <v>0</v>
      </c>
      <c r="T122" s="137">
        <f t="shared" si="29"/>
        <v>0</v>
      </c>
      <c r="U122" s="137">
        <f t="shared" si="29"/>
        <v>0</v>
      </c>
      <c r="V122" s="137">
        <f t="shared" si="29"/>
        <v>0</v>
      </c>
      <c r="W122" s="137">
        <f t="shared" si="29"/>
        <v>0</v>
      </c>
      <c r="X122" s="137">
        <f t="shared" si="29"/>
        <v>0</v>
      </c>
      <c r="Y122" s="137">
        <f t="shared" si="29"/>
        <v>0</v>
      </c>
      <c r="Z122" s="137">
        <f t="shared" si="29"/>
        <v>0</v>
      </c>
      <c r="AA122" s="137">
        <f t="shared" si="29"/>
        <v>0</v>
      </c>
      <c r="AB122" s="137">
        <f t="shared" si="29"/>
        <v>0</v>
      </c>
      <c r="AC122" s="137">
        <f t="shared" si="29"/>
        <v>0</v>
      </c>
      <c r="AD122" s="137">
        <f t="shared" si="29"/>
        <v>0</v>
      </c>
      <c r="AE122" s="137">
        <f t="shared" si="29"/>
        <v>0</v>
      </c>
      <c r="AF122" s="137">
        <f t="shared" si="29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30"/>
        <v>5</v>
      </c>
      <c r="D123" s="137">
        <f t="shared" si="30"/>
        <v>5</v>
      </c>
      <c r="E123" s="137">
        <f t="shared" si="30"/>
        <v>5</v>
      </c>
      <c r="F123" s="137">
        <f t="shared" si="30"/>
        <v>5</v>
      </c>
      <c r="G123" s="137">
        <f t="shared" si="30"/>
        <v>5</v>
      </c>
      <c r="H123" s="137">
        <f t="shared" si="30"/>
        <v>5</v>
      </c>
      <c r="I123" s="137">
        <f t="shared" si="30"/>
        <v>5</v>
      </c>
      <c r="J123" s="137">
        <f t="shared" si="30"/>
        <v>5</v>
      </c>
      <c r="K123" s="137">
        <f t="shared" si="30"/>
        <v>5</v>
      </c>
      <c r="L123" s="137">
        <f t="shared" si="30"/>
        <v>5</v>
      </c>
      <c r="M123" s="137">
        <f t="shared" si="30"/>
        <v>5</v>
      </c>
      <c r="N123" s="137">
        <f t="shared" si="30"/>
        <v>5</v>
      </c>
      <c r="O123" s="137">
        <f t="shared" si="30"/>
        <v>5</v>
      </c>
      <c r="P123" s="137">
        <f t="shared" si="30"/>
        <v>5</v>
      </c>
      <c r="Q123" s="137">
        <f t="shared" si="30"/>
        <v>5</v>
      </c>
      <c r="R123" s="137">
        <f t="shared" si="30"/>
        <v>5</v>
      </c>
      <c r="S123" s="137">
        <f t="shared" si="29"/>
        <v>5</v>
      </c>
      <c r="T123" s="137">
        <f t="shared" si="29"/>
        <v>5</v>
      </c>
      <c r="U123" s="137">
        <f t="shared" si="29"/>
        <v>5</v>
      </c>
      <c r="V123" s="137">
        <f t="shared" si="29"/>
        <v>5</v>
      </c>
      <c r="W123" s="137">
        <f t="shared" si="29"/>
        <v>5</v>
      </c>
      <c r="X123" s="137">
        <f t="shared" si="29"/>
        <v>5</v>
      </c>
      <c r="Y123" s="137">
        <f t="shared" si="29"/>
        <v>5</v>
      </c>
      <c r="Z123" s="137">
        <f t="shared" si="29"/>
        <v>5</v>
      </c>
      <c r="AA123" s="137">
        <f t="shared" si="29"/>
        <v>5</v>
      </c>
      <c r="AB123" s="137">
        <f t="shared" si="29"/>
        <v>5</v>
      </c>
      <c r="AC123" s="137">
        <f t="shared" si="29"/>
        <v>5</v>
      </c>
      <c r="AD123" s="137">
        <f t="shared" si="29"/>
        <v>5</v>
      </c>
      <c r="AE123" s="137">
        <f t="shared" si="29"/>
        <v>5</v>
      </c>
      <c r="AF123" s="137">
        <f t="shared" si="29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30"/>
        <v>1</v>
      </c>
      <c r="D124" s="137">
        <f t="shared" si="30"/>
        <v>1</v>
      </c>
      <c r="E124" s="137">
        <f t="shared" si="30"/>
        <v>1</v>
      </c>
      <c r="F124" s="137">
        <f t="shared" si="30"/>
        <v>1</v>
      </c>
      <c r="G124" s="137">
        <f t="shared" si="30"/>
        <v>1</v>
      </c>
      <c r="H124" s="137">
        <f t="shared" si="30"/>
        <v>1</v>
      </c>
      <c r="I124" s="137">
        <f t="shared" si="30"/>
        <v>1</v>
      </c>
      <c r="J124" s="137">
        <f t="shared" si="30"/>
        <v>1</v>
      </c>
      <c r="K124" s="137">
        <f t="shared" si="30"/>
        <v>1</v>
      </c>
      <c r="L124" s="137">
        <f t="shared" si="30"/>
        <v>1</v>
      </c>
      <c r="M124" s="137">
        <f t="shared" si="30"/>
        <v>1</v>
      </c>
      <c r="N124" s="137">
        <f t="shared" si="30"/>
        <v>1</v>
      </c>
      <c r="O124" s="137">
        <f t="shared" si="30"/>
        <v>1</v>
      </c>
      <c r="P124" s="137">
        <f t="shared" si="30"/>
        <v>1</v>
      </c>
      <c r="Q124" s="137">
        <f t="shared" si="30"/>
        <v>1</v>
      </c>
      <c r="R124" s="137">
        <f t="shared" si="30"/>
        <v>1</v>
      </c>
      <c r="S124" s="137">
        <f t="shared" si="29"/>
        <v>1</v>
      </c>
      <c r="T124" s="137">
        <f t="shared" si="29"/>
        <v>1</v>
      </c>
      <c r="U124" s="137">
        <f t="shared" si="29"/>
        <v>1</v>
      </c>
      <c r="V124" s="137">
        <f t="shared" si="29"/>
        <v>1</v>
      </c>
      <c r="W124" s="137">
        <f t="shared" si="29"/>
        <v>1</v>
      </c>
      <c r="X124" s="137">
        <f t="shared" si="29"/>
        <v>1</v>
      </c>
      <c r="Y124" s="137">
        <f t="shared" si="29"/>
        <v>1</v>
      </c>
      <c r="Z124" s="137">
        <f t="shared" si="29"/>
        <v>1</v>
      </c>
      <c r="AA124" s="137">
        <f t="shared" si="29"/>
        <v>1</v>
      </c>
      <c r="AB124" s="137">
        <f t="shared" si="29"/>
        <v>1</v>
      </c>
      <c r="AC124" s="137">
        <f t="shared" si="29"/>
        <v>1</v>
      </c>
      <c r="AD124" s="137">
        <f t="shared" si="29"/>
        <v>1</v>
      </c>
      <c r="AE124" s="137">
        <f t="shared" si="29"/>
        <v>1</v>
      </c>
      <c r="AF124" s="137">
        <f t="shared" si="29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30"/>
        <v>1.58</v>
      </c>
      <c r="D125" s="137">
        <f t="shared" si="30"/>
        <v>1.58</v>
      </c>
      <c r="E125" s="137">
        <f t="shared" si="30"/>
        <v>1.58</v>
      </c>
      <c r="F125" s="137">
        <f t="shared" si="30"/>
        <v>1.58</v>
      </c>
      <c r="G125" s="137">
        <f t="shared" si="30"/>
        <v>1.58</v>
      </c>
      <c r="H125" s="137">
        <f t="shared" si="30"/>
        <v>1.58</v>
      </c>
      <c r="I125" s="137">
        <f t="shared" si="30"/>
        <v>1.58</v>
      </c>
      <c r="J125" s="137">
        <f t="shared" si="30"/>
        <v>1.58</v>
      </c>
      <c r="K125" s="137">
        <f t="shared" si="30"/>
        <v>1.58</v>
      </c>
      <c r="L125" s="137">
        <f t="shared" si="30"/>
        <v>1.58</v>
      </c>
      <c r="M125" s="137">
        <f t="shared" si="30"/>
        <v>1.58</v>
      </c>
      <c r="N125" s="137">
        <f t="shared" si="30"/>
        <v>1.58</v>
      </c>
      <c r="O125" s="137">
        <f t="shared" si="30"/>
        <v>1.58</v>
      </c>
      <c r="P125" s="137">
        <f t="shared" si="30"/>
        <v>1.58</v>
      </c>
      <c r="Q125" s="137">
        <f t="shared" si="30"/>
        <v>1.58</v>
      </c>
      <c r="R125" s="137">
        <f t="shared" si="30"/>
        <v>1.58</v>
      </c>
      <c r="S125" s="137">
        <f t="shared" si="29"/>
        <v>1.58</v>
      </c>
      <c r="T125" s="137">
        <f t="shared" si="29"/>
        <v>1.58</v>
      </c>
      <c r="U125" s="137">
        <f t="shared" si="29"/>
        <v>1.58</v>
      </c>
      <c r="V125" s="137">
        <f t="shared" si="29"/>
        <v>1.58</v>
      </c>
      <c r="W125" s="137">
        <f t="shared" si="29"/>
        <v>1.58</v>
      </c>
      <c r="X125" s="137">
        <f t="shared" si="29"/>
        <v>1.58</v>
      </c>
      <c r="Y125" s="137">
        <f t="shared" si="29"/>
        <v>1.58</v>
      </c>
      <c r="Z125" s="137">
        <f t="shared" si="29"/>
        <v>1.58</v>
      </c>
      <c r="AA125" s="137">
        <f t="shared" si="29"/>
        <v>1.58</v>
      </c>
      <c r="AB125" s="137">
        <f t="shared" si="29"/>
        <v>1.58</v>
      </c>
      <c r="AC125" s="137">
        <f t="shared" si="29"/>
        <v>1.58</v>
      </c>
      <c r="AD125" s="137">
        <f t="shared" si="29"/>
        <v>1.58</v>
      </c>
      <c r="AE125" s="137">
        <f t="shared" si="29"/>
        <v>1.58</v>
      </c>
      <c r="AF125" s="137">
        <f t="shared" si="29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30"/>
        <v>1.46</v>
      </c>
      <c r="D126" s="137">
        <f t="shared" si="30"/>
        <v>1.46</v>
      </c>
      <c r="E126" s="137">
        <f t="shared" si="30"/>
        <v>1.46</v>
      </c>
      <c r="F126" s="137">
        <f t="shared" si="30"/>
        <v>1.46</v>
      </c>
      <c r="G126" s="137">
        <f t="shared" si="30"/>
        <v>1.46</v>
      </c>
      <c r="H126" s="137">
        <f t="shared" si="30"/>
        <v>1.46</v>
      </c>
      <c r="I126" s="137">
        <f t="shared" si="30"/>
        <v>1.46</v>
      </c>
      <c r="J126" s="137">
        <f t="shared" si="30"/>
        <v>1.46</v>
      </c>
      <c r="K126" s="137">
        <f t="shared" si="30"/>
        <v>1.46</v>
      </c>
      <c r="L126" s="137">
        <f t="shared" si="30"/>
        <v>1.46</v>
      </c>
      <c r="M126" s="137">
        <f t="shared" si="30"/>
        <v>1.46</v>
      </c>
      <c r="N126" s="137">
        <f t="shared" si="30"/>
        <v>1.46</v>
      </c>
      <c r="O126" s="137">
        <f t="shared" si="30"/>
        <v>1.46</v>
      </c>
      <c r="P126" s="137">
        <f t="shared" si="30"/>
        <v>1.46</v>
      </c>
      <c r="Q126" s="137">
        <f t="shared" si="30"/>
        <v>1.46</v>
      </c>
      <c r="R126" s="137">
        <f t="shared" si="30"/>
        <v>1.46</v>
      </c>
      <c r="S126" s="137">
        <f t="shared" ref="S126:AF127" si="31">R126</f>
        <v>1.46</v>
      </c>
      <c r="T126" s="137">
        <f t="shared" si="31"/>
        <v>1.46</v>
      </c>
      <c r="U126" s="137">
        <f t="shared" si="31"/>
        <v>1.46</v>
      </c>
      <c r="V126" s="137">
        <f t="shared" si="31"/>
        <v>1.46</v>
      </c>
      <c r="W126" s="137">
        <f t="shared" si="31"/>
        <v>1.46</v>
      </c>
      <c r="X126" s="137">
        <f t="shared" si="31"/>
        <v>1.46</v>
      </c>
      <c r="Y126" s="137">
        <f t="shared" si="31"/>
        <v>1.46</v>
      </c>
      <c r="Z126" s="137">
        <f t="shared" si="31"/>
        <v>1.46</v>
      </c>
      <c r="AA126" s="137">
        <f t="shared" si="31"/>
        <v>1.46</v>
      </c>
      <c r="AB126" s="137">
        <f t="shared" si="31"/>
        <v>1.46</v>
      </c>
      <c r="AC126" s="137">
        <f t="shared" si="31"/>
        <v>1.46</v>
      </c>
      <c r="AD126" s="137">
        <f t="shared" si="31"/>
        <v>1.46</v>
      </c>
      <c r="AE126" s="137">
        <f t="shared" si="31"/>
        <v>1.46</v>
      </c>
      <c r="AF126" s="137">
        <f t="shared" si="31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30"/>
        <v>1.48</v>
      </c>
      <c r="D127" s="137">
        <f t="shared" si="30"/>
        <v>1.48</v>
      </c>
      <c r="E127" s="137">
        <f t="shared" si="30"/>
        <v>1.48</v>
      </c>
      <c r="F127" s="137">
        <f t="shared" si="30"/>
        <v>1.48</v>
      </c>
      <c r="G127" s="137">
        <f t="shared" si="30"/>
        <v>1.48</v>
      </c>
      <c r="H127" s="137">
        <f t="shared" si="30"/>
        <v>1.48</v>
      </c>
      <c r="I127" s="137">
        <f t="shared" si="30"/>
        <v>1.48</v>
      </c>
      <c r="J127" s="137">
        <f t="shared" si="30"/>
        <v>1.48</v>
      </c>
      <c r="K127" s="137">
        <f t="shared" si="30"/>
        <v>1.48</v>
      </c>
      <c r="L127" s="137">
        <f t="shared" si="30"/>
        <v>1.48</v>
      </c>
      <c r="M127" s="137">
        <f t="shared" si="30"/>
        <v>1.48</v>
      </c>
      <c r="N127" s="137">
        <f t="shared" si="30"/>
        <v>1.48</v>
      </c>
      <c r="O127" s="137">
        <f t="shared" si="30"/>
        <v>1.48</v>
      </c>
      <c r="P127" s="137">
        <f t="shared" si="30"/>
        <v>1.48</v>
      </c>
      <c r="Q127" s="137">
        <f t="shared" si="30"/>
        <v>1.48</v>
      </c>
      <c r="R127" s="137">
        <f t="shared" si="30"/>
        <v>1.48</v>
      </c>
      <c r="S127" s="137">
        <f t="shared" si="31"/>
        <v>1.48</v>
      </c>
      <c r="T127" s="137">
        <f t="shared" si="31"/>
        <v>1.48</v>
      </c>
      <c r="U127" s="137">
        <f t="shared" si="31"/>
        <v>1.48</v>
      </c>
      <c r="V127" s="137">
        <f t="shared" si="31"/>
        <v>1.48</v>
      </c>
      <c r="W127" s="137">
        <f t="shared" si="31"/>
        <v>1.48</v>
      </c>
      <c r="X127" s="137">
        <f t="shared" si="31"/>
        <v>1.48</v>
      </c>
      <c r="Y127" s="137">
        <f t="shared" si="31"/>
        <v>1.48</v>
      </c>
      <c r="Z127" s="137">
        <f t="shared" si="31"/>
        <v>1.48</v>
      </c>
      <c r="AA127" s="137">
        <f t="shared" si="31"/>
        <v>1.48</v>
      </c>
      <c r="AB127" s="137">
        <f t="shared" si="31"/>
        <v>1.48</v>
      </c>
      <c r="AC127" s="137">
        <f t="shared" si="31"/>
        <v>1.48</v>
      </c>
      <c r="AD127" s="137">
        <f t="shared" si="31"/>
        <v>1.48</v>
      </c>
      <c r="AE127" s="137">
        <f t="shared" si="31"/>
        <v>1.48</v>
      </c>
      <c r="AF127" s="137">
        <f t="shared" si="31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2">B129</f>
        <v>2.2000000000000002</v>
      </c>
      <c r="D129" s="137">
        <f t="shared" si="32"/>
        <v>2.2000000000000002</v>
      </c>
      <c r="E129" s="137">
        <f t="shared" si="32"/>
        <v>2.2000000000000002</v>
      </c>
      <c r="F129" s="137">
        <f t="shared" si="32"/>
        <v>2.2000000000000002</v>
      </c>
      <c r="G129" s="137">
        <f t="shared" si="32"/>
        <v>2.2000000000000002</v>
      </c>
      <c r="H129" s="137">
        <f t="shared" si="32"/>
        <v>2.2000000000000002</v>
      </c>
      <c r="I129" s="137">
        <f t="shared" si="32"/>
        <v>2.2000000000000002</v>
      </c>
      <c r="J129" s="137">
        <f t="shared" si="32"/>
        <v>2.2000000000000002</v>
      </c>
      <c r="K129" s="137">
        <f t="shared" si="32"/>
        <v>2.2000000000000002</v>
      </c>
      <c r="L129" s="137">
        <f t="shared" si="32"/>
        <v>2.2000000000000002</v>
      </c>
      <c r="M129" s="137">
        <f t="shared" si="32"/>
        <v>2.2000000000000002</v>
      </c>
      <c r="N129" s="137">
        <f t="shared" si="32"/>
        <v>2.2000000000000002</v>
      </c>
      <c r="O129" s="137">
        <f t="shared" si="32"/>
        <v>2.2000000000000002</v>
      </c>
      <c r="P129" s="137">
        <f t="shared" si="32"/>
        <v>2.2000000000000002</v>
      </c>
      <c r="Q129" s="137">
        <f t="shared" si="32"/>
        <v>2.2000000000000002</v>
      </c>
      <c r="R129" s="137">
        <f t="shared" si="32"/>
        <v>2.2000000000000002</v>
      </c>
      <c r="S129" s="137">
        <f t="shared" ref="S129:AF136" si="33">R129</f>
        <v>2.2000000000000002</v>
      </c>
      <c r="T129" s="137">
        <f t="shared" si="33"/>
        <v>2.2000000000000002</v>
      </c>
      <c r="U129" s="137">
        <f t="shared" si="33"/>
        <v>2.2000000000000002</v>
      </c>
      <c r="V129" s="137">
        <f t="shared" si="33"/>
        <v>2.2000000000000002</v>
      </c>
      <c r="W129" s="137">
        <f t="shared" si="33"/>
        <v>2.2000000000000002</v>
      </c>
      <c r="X129" s="137">
        <f t="shared" si="33"/>
        <v>2.2000000000000002</v>
      </c>
      <c r="Y129" s="137">
        <f t="shared" si="33"/>
        <v>2.2000000000000002</v>
      </c>
      <c r="Z129" s="137">
        <f t="shared" si="33"/>
        <v>2.2000000000000002</v>
      </c>
      <c r="AA129" s="137">
        <f t="shared" si="33"/>
        <v>2.2000000000000002</v>
      </c>
      <c r="AB129" s="137">
        <f t="shared" si="33"/>
        <v>2.2000000000000002</v>
      </c>
      <c r="AC129" s="137">
        <f t="shared" si="33"/>
        <v>2.2000000000000002</v>
      </c>
      <c r="AD129" s="137">
        <f t="shared" si="33"/>
        <v>2.2000000000000002</v>
      </c>
      <c r="AE129" s="137">
        <f t="shared" si="33"/>
        <v>2.2000000000000002</v>
      </c>
      <c r="AF129" s="137">
        <f t="shared" si="33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2"/>
        <v>2</v>
      </c>
      <c r="D130" s="137">
        <f t="shared" si="32"/>
        <v>2</v>
      </c>
      <c r="E130" s="137">
        <f t="shared" si="32"/>
        <v>2</v>
      </c>
      <c r="F130" s="137">
        <f t="shared" si="32"/>
        <v>2</v>
      </c>
      <c r="G130" s="137">
        <f t="shared" si="32"/>
        <v>2</v>
      </c>
      <c r="H130" s="137">
        <f t="shared" si="32"/>
        <v>2</v>
      </c>
      <c r="I130" s="137">
        <f t="shared" si="32"/>
        <v>2</v>
      </c>
      <c r="J130" s="137">
        <f t="shared" si="32"/>
        <v>2</v>
      </c>
      <c r="K130" s="137">
        <f t="shared" si="32"/>
        <v>2</v>
      </c>
      <c r="L130" s="137">
        <f t="shared" si="32"/>
        <v>2</v>
      </c>
      <c r="M130" s="137">
        <f t="shared" si="32"/>
        <v>2</v>
      </c>
      <c r="N130" s="137">
        <f t="shared" si="32"/>
        <v>2</v>
      </c>
      <c r="O130" s="137">
        <f t="shared" si="32"/>
        <v>2</v>
      </c>
      <c r="P130" s="137">
        <f t="shared" si="32"/>
        <v>2</v>
      </c>
      <c r="Q130" s="137">
        <f t="shared" si="32"/>
        <v>2</v>
      </c>
      <c r="R130" s="137">
        <f t="shared" si="32"/>
        <v>2</v>
      </c>
      <c r="S130" s="137">
        <f t="shared" si="33"/>
        <v>2</v>
      </c>
      <c r="T130" s="137">
        <f t="shared" si="33"/>
        <v>2</v>
      </c>
      <c r="U130" s="137">
        <f t="shared" si="33"/>
        <v>2</v>
      </c>
      <c r="V130" s="137">
        <f t="shared" si="33"/>
        <v>2</v>
      </c>
      <c r="W130" s="137">
        <f t="shared" si="33"/>
        <v>2</v>
      </c>
      <c r="X130" s="137">
        <f t="shared" si="33"/>
        <v>2</v>
      </c>
      <c r="Y130" s="137">
        <f t="shared" si="33"/>
        <v>2</v>
      </c>
      <c r="Z130" s="137">
        <f t="shared" si="33"/>
        <v>2</v>
      </c>
      <c r="AA130" s="137">
        <f t="shared" si="33"/>
        <v>2</v>
      </c>
      <c r="AB130" s="137">
        <f t="shared" si="33"/>
        <v>2</v>
      </c>
      <c r="AC130" s="137">
        <f t="shared" si="33"/>
        <v>2</v>
      </c>
      <c r="AD130" s="137">
        <f t="shared" si="33"/>
        <v>2</v>
      </c>
      <c r="AE130" s="137">
        <f t="shared" si="33"/>
        <v>2</v>
      </c>
      <c r="AF130" s="137">
        <f t="shared" si="33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2"/>
        <v>1.25</v>
      </c>
      <c r="D131" s="137">
        <f t="shared" si="32"/>
        <v>1.25</v>
      </c>
      <c r="E131" s="137">
        <f t="shared" si="32"/>
        <v>1.25</v>
      </c>
      <c r="F131" s="137">
        <f t="shared" si="32"/>
        <v>1.25</v>
      </c>
      <c r="G131" s="137">
        <f t="shared" si="32"/>
        <v>1.25</v>
      </c>
      <c r="H131" s="137">
        <f t="shared" si="32"/>
        <v>1.25</v>
      </c>
      <c r="I131" s="137">
        <f t="shared" si="32"/>
        <v>1.25</v>
      </c>
      <c r="J131" s="137">
        <f t="shared" si="32"/>
        <v>1.25</v>
      </c>
      <c r="K131" s="137">
        <f t="shared" si="32"/>
        <v>1.25</v>
      </c>
      <c r="L131" s="137">
        <f t="shared" si="32"/>
        <v>1.25</v>
      </c>
      <c r="M131" s="137">
        <f t="shared" si="32"/>
        <v>1.25</v>
      </c>
      <c r="N131" s="137">
        <f t="shared" si="32"/>
        <v>1.25</v>
      </c>
      <c r="O131" s="137">
        <f t="shared" si="32"/>
        <v>1.25</v>
      </c>
      <c r="P131" s="137">
        <f t="shared" si="32"/>
        <v>1.25</v>
      </c>
      <c r="Q131" s="137">
        <f t="shared" si="32"/>
        <v>1.25</v>
      </c>
      <c r="R131" s="137">
        <f t="shared" si="32"/>
        <v>1.25</v>
      </c>
      <c r="S131" s="137">
        <f t="shared" si="33"/>
        <v>1.25</v>
      </c>
      <c r="T131" s="137">
        <f t="shared" si="33"/>
        <v>1.25</v>
      </c>
      <c r="U131" s="137">
        <f t="shared" si="33"/>
        <v>1.25</v>
      </c>
      <c r="V131" s="137">
        <f t="shared" si="33"/>
        <v>1.25</v>
      </c>
      <c r="W131" s="137">
        <f t="shared" si="33"/>
        <v>1.25</v>
      </c>
      <c r="X131" s="137">
        <f t="shared" si="33"/>
        <v>1.25</v>
      </c>
      <c r="Y131" s="137">
        <f t="shared" si="33"/>
        <v>1.25</v>
      </c>
      <c r="Z131" s="137">
        <f t="shared" si="33"/>
        <v>1.25</v>
      </c>
      <c r="AA131" s="137">
        <f t="shared" si="33"/>
        <v>1.25</v>
      </c>
      <c r="AB131" s="137">
        <f t="shared" si="33"/>
        <v>1.25</v>
      </c>
      <c r="AC131" s="137">
        <f t="shared" si="33"/>
        <v>1.25</v>
      </c>
      <c r="AD131" s="137">
        <f t="shared" si="33"/>
        <v>1.25</v>
      </c>
      <c r="AE131" s="137">
        <f t="shared" si="33"/>
        <v>1.25</v>
      </c>
      <c r="AF131" s="137">
        <f t="shared" si="33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2"/>
        <v>1.1499999999999999</v>
      </c>
      <c r="D132" s="137">
        <f t="shared" si="32"/>
        <v>1.1499999999999999</v>
      </c>
      <c r="E132" s="137">
        <f t="shared" si="32"/>
        <v>1.1499999999999999</v>
      </c>
      <c r="F132" s="137">
        <f t="shared" si="32"/>
        <v>1.1499999999999999</v>
      </c>
      <c r="G132" s="137">
        <f t="shared" si="32"/>
        <v>1.1499999999999999</v>
      </c>
      <c r="H132" s="137">
        <f t="shared" si="32"/>
        <v>1.1499999999999999</v>
      </c>
      <c r="I132" s="137">
        <f t="shared" si="32"/>
        <v>1.1499999999999999</v>
      </c>
      <c r="J132" s="137">
        <f t="shared" si="32"/>
        <v>1.1499999999999999</v>
      </c>
      <c r="K132" s="137">
        <f t="shared" si="32"/>
        <v>1.1499999999999999</v>
      </c>
      <c r="L132" s="137">
        <f t="shared" si="32"/>
        <v>1.1499999999999999</v>
      </c>
      <c r="M132" s="137">
        <f t="shared" si="32"/>
        <v>1.1499999999999999</v>
      </c>
      <c r="N132" s="137">
        <f t="shared" si="32"/>
        <v>1.1499999999999999</v>
      </c>
      <c r="O132" s="137">
        <f t="shared" si="32"/>
        <v>1.1499999999999999</v>
      </c>
      <c r="P132" s="137">
        <f t="shared" si="32"/>
        <v>1.1499999999999999</v>
      </c>
      <c r="Q132" s="137">
        <f t="shared" si="32"/>
        <v>1.1499999999999999</v>
      </c>
      <c r="R132" s="137">
        <f t="shared" si="32"/>
        <v>1.1499999999999999</v>
      </c>
      <c r="S132" s="137">
        <f t="shared" si="33"/>
        <v>1.1499999999999999</v>
      </c>
      <c r="T132" s="137">
        <f t="shared" si="33"/>
        <v>1.1499999999999999</v>
      </c>
      <c r="U132" s="137">
        <f t="shared" si="33"/>
        <v>1.1499999999999999</v>
      </c>
      <c r="V132" s="137">
        <f t="shared" si="33"/>
        <v>1.1499999999999999</v>
      </c>
      <c r="W132" s="137">
        <f t="shared" si="33"/>
        <v>1.1499999999999999</v>
      </c>
      <c r="X132" s="137">
        <f t="shared" si="33"/>
        <v>1.1499999999999999</v>
      </c>
      <c r="Y132" s="137">
        <f t="shared" si="33"/>
        <v>1.1499999999999999</v>
      </c>
      <c r="Z132" s="137">
        <f t="shared" si="33"/>
        <v>1.1499999999999999</v>
      </c>
      <c r="AA132" s="137">
        <f t="shared" si="33"/>
        <v>1.1499999999999999</v>
      </c>
      <c r="AB132" s="137">
        <f t="shared" si="33"/>
        <v>1.1499999999999999</v>
      </c>
      <c r="AC132" s="137">
        <f t="shared" si="33"/>
        <v>1.1499999999999999</v>
      </c>
      <c r="AD132" s="137">
        <f t="shared" si="33"/>
        <v>1.1499999999999999</v>
      </c>
      <c r="AE132" s="137">
        <f t="shared" si="33"/>
        <v>1.1499999999999999</v>
      </c>
      <c r="AF132" s="137">
        <f t="shared" si="33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2"/>
        <v>2.133</v>
      </c>
      <c r="D133" s="137">
        <f t="shared" si="32"/>
        <v>2.133</v>
      </c>
      <c r="E133" s="137">
        <f t="shared" si="32"/>
        <v>2.133</v>
      </c>
      <c r="F133" s="137">
        <f t="shared" si="32"/>
        <v>2.133</v>
      </c>
      <c r="G133" s="137">
        <f t="shared" si="32"/>
        <v>2.133</v>
      </c>
      <c r="H133" s="137">
        <f t="shared" si="32"/>
        <v>2.133</v>
      </c>
      <c r="I133" s="137">
        <f t="shared" si="32"/>
        <v>2.133</v>
      </c>
      <c r="J133" s="137">
        <f t="shared" si="32"/>
        <v>2.133</v>
      </c>
      <c r="K133" s="137">
        <f t="shared" si="32"/>
        <v>2.133</v>
      </c>
      <c r="L133" s="137">
        <f t="shared" si="32"/>
        <v>2.133</v>
      </c>
      <c r="M133" s="137">
        <f t="shared" si="32"/>
        <v>2.133</v>
      </c>
      <c r="N133" s="137">
        <f t="shared" si="32"/>
        <v>2.133</v>
      </c>
      <c r="O133" s="137">
        <f t="shared" si="32"/>
        <v>2.133</v>
      </c>
      <c r="P133" s="137">
        <f t="shared" si="32"/>
        <v>2.133</v>
      </c>
      <c r="Q133" s="137">
        <f t="shared" si="32"/>
        <v>2.133</v>
      </c>
      <c r="R133" s="137">
        <f t="shared" si="32"/>
        <v>2.133</v>
      </c>
      <c r="S133" s="137">
        <f t="shared" si="33"/>
        <v>2.133</v>
      </c>
      <c r="T133" s="137">
        <f t="shared" si="33"/>
        <v>2.133</v>
      </c>
      <c r="U133" s="137">
        <f t="shared" si="33"/>
        <v>2.133</v>
      </c>
      <c r="V133" s="137">
        <f t="shared" si="33"/>
        <v>2.133</v>
      </c>
      <c r="W133" s="137">
        <f t="shared" si="33"/>
        <v>2.133</v>
      </c>
      <c r="X133" s="137">
        <f t="shared" si="33"/>
        <v>2.133</v>
      </c>
      <c r="Y133" s="137">
        <f t="shared" si="33"/>
        <v>2.133</v>
      </c>
      <c r="Z133" s="137">
        <f t="shared" si="33"/>
        <v>2.133</v>
      </c>
      <c r="AA133" s="137">
        <f t="shared" si="33"/>
        <v>2.133</v>
      </c>
      <c r="AB133" s="137">
        <f t="shared" si="33"/>
        <v>2.133</v>
      </c>
      <c r="AC133" s="137">
        <f t="shared" si="33"/>
        <v>2.133</v>
      </c>
      <c r="AD133" s="137">
        <f t="shared" si="33"/>
        <v>2.133</v>
      </c>
      <c r="AE133" s="137">
        <f t="shared" si="33"/>
        <v>2.133</v>
      </c>
      <c r="AF133" s="137">
        <f t="shared" si="33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2"/>
        <v>2.09</v>
      </c>
      <c r="D134" s="137">
        <f t="shared" si="32"/>
        <v>2.09</v>
      </c>
      <c r="E134" s="137">
        <f t="shared" si="32"/>
        <v>2.09</v>
      </c>
      <c r="F134" s="137">
        <f t="shared" si="32"/>
        <v>2.09</v>
      </c>
      <c r="G134" s="137">
        <f t="shared" si="32"/>
        <v>2.09</v>
      </c>
      <c r="H134" s="137">
        <f t="shared" si="32"/>
        <v>2.09</v>
      </c>
      <c r="I134" s="137">
        <f t="shared" si="32"/>
        <v>2.09</v>
      </c>
      <c r="J134" s="137">
        <f t="shared" si="32"/>
        <v>2.09</v>
      </c>
      <c r="K134" s="137">
        <f t="shared" si="32"/>
        <v>2.09</v>
      </c>
      <c r="L134" s="137">
        <f t="shared" si="32"/>
        <v>2.09</v>
      </c>
      <c r="M134" s="137">
        <f t="shared" si="32"/>
        <v>2.09</v>
      </c>
      <c r="N134" s="137">
        <f t="shared" si="32"/>
        <v>2.09</v>
      </c>
      <c r="O134" s="137">
        <f t="shared" si="32"/>
        <v>2.09</v>
      </c>
      <c r="P134" s="137">
        <f t="shared" si="32"/>
        <v>2.09</v>
      </c>
      <c r="Q134" s="137">
        <f t="shared" si="32"/>
        <v>2.09</v>
      </c>
      <c r="R134" s="137">
        <f t="shared" si="32"/>
        <v>2.09</v>
      </c>
      <c r="S134" s="137">
        <f t="shared" si="33"/>
        <v>2.09</v>
      </c>
      <c r="T134" s="137">
        <f t="shared" si="33"/>
        <v>2.09</v>
      </c>
      <c r="U134" s="137">
        <f t="shared" si="33"/>
        <v>2.09</v>
      </c>
      <c r="V134" s="137">
        <f t="shared" si="33"/>
        <v>2.09</v>
      </c>
      <c r="W134" s="137">
        <f t="shared" si="33"/>
        <v>2.09</v>
      </c>
      <c r="X134" s="137">
        <f t="shared" si="33"/>
        <v>2.09</v>
      </c>
      <c r="Y134" s="137">
        <f t="shared" si="33"/>
        <v>2.09</v>
      </c>
      <c r="Z134" s="137">
        <f t="shared" si="33"/>
        <v>2.09</v>
      </c>
      <c r="AA134" s="137">
        <f t="shared" si="33"/>
        <v>2.09</v>
      </c>
      <c r="AB134" s="137">
        <f t="shared" si="33"/>
        <v>2.09</v>
      </c>
      <c r="AC134" s="137">
        <f t="shared" si="33"/>
        <v>2.09</v>
      </c>
      <c r="AD134" s="137">
        <f t="shared" si="33"/>
        <v>2.09</v>
      </c>
      <c r="AE134" s="137">
        <f t="shared" si="33"/>
        <v>2.09</v>
      </c>
      <c r="AF134" s="137">
        <f t="shared" si="33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2"/>
        <v>1.1399999999999999</v>
      </c>
      <c r="D135" s="137">
        <f t="shared" si="32"/>
        <v>1.1399999999999999</v>
      </c>
      <c r="E135" s="137">
        <f t="shared" si="32"/>
        <v>1.1399999999999999</v>
      </c>
      <c r="F135" s="137">
        <f t="shared" si="32"/>
        <v>1.1399999999999999</v>
      </c>
      <c r="G135" s="137">
        <f t="shared" si="32"/>
        <v>1.1399999999999999</v>
      </c>
      <c r="H135" s="137">
        <f t="shared" si="32"/>
        <v>1.1399999999999999</v>
      </c>
      <c r="I135" s="137">
        <f t="shared" si="32"/>
        <v>1.1399999999999999</v>
      </c>
      <c r="J135" s="137">
        <f t="shared" si="32"/>
        <v>1.1399999999999999</v>
      </c>
      <c r="K135" s="137">
        <f t="shared" si="32"/>
        <v>1.1399999999999999</v>
      </c>
      <c r="L135" s="137">
        <f t="shared" si="32"/>
        <v>1.1399999999999999</v>
      </c>
      <c r="M135" s="137">
        <f t="shared" si="32"/>
        <v>1.1399999999999999</v>
      </c>
      <c r="N135" s="137">
        <f t="shared" si="32"/>
        <v>1.1399999999999999</v>
      </c>
      <c r="O135" s="137">
        <f t="shared" si="32"/>
        <v>1.1399999999999999</v>
      </c>
      <c r="P135" s="137">
        <f t="shared" si="32"/>
        <v>1.1399999999999999</v>
      </c>
      <c r="Q135" s="137">
        <f t="shared" si="32"/>
        <v>1.1399999999999999</v>
      </c>
      <c r="R135" s="137">
        <f t="shared" si="32"/>
        <v>1.1399999999999999</v>
      </c>
      <c r="S135" s="137">
        <f t="shared" si="33"/>
        <v>1.1399999999999999</v>
      </c>
      <c r="T135" s="137">
        <f t="shared" si="33"/>
        <v>1.1399999999999999</v>
      </c>
      <c r="U135" s="137">
        <f t="shared" si="33"/>
        <v>1.1399999999999999</v>
      </c>
      <c r="V135" s="137">
        <f t="shared" si="33"/>
        <v>1.1399999999999999</v>
      </c>
      <c r="W135" s="137">
        <f t="shared" si="33"/>
        <v>1.1399999999999999</v>
      </c>
      <c r="X135" s="137">
        <f t="shared" si="33"/>
        <v>1.1399999999999999</v>
      </c>
      <c r="Y135" s="137">
        <f t="shared" si="33"/>
        <v>1.1399999999999999</v>
      </c>
      <c r="Z135" s="137">
        <f t="shared" si="33"/>
        <v>1.1399999999999999</v>
      </c>
      <c r="AA135" s="137">
        <f t="shared" si="33"/>
        <v>1.1399999999999999</v>
      </c>
      <c r="AB135" s="137">
        <f t="shared" si="33"/>
        <v>1.1399999999999999</v>
      </c>
      <c r="AC135" s="137">
        <f t="shared" si="33"/>
        <v>1.1399999999999999</v>
      </c>
      <c r="AD135" s="137">
        <f t="shared" si="33"/>
        <v>1.1399999999999999</v>
      </c>
      <c r="AE135" s="137">
        <f t="shared" si="33"/>
        <v>1.1399999999999999</v>
      </c>
      <c r="AF135" s="137">
        <f t="shared" si="33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2"/>
        <v>0.82</v>
      </c>
      <c r="D136" s="137">
        <f t="shared" si="32"/>
        <v>0.82</v>
      </c>
      <c r="E136" s="137">
        <f t="shared" si="32"/>
        <v>0.82</v>
      </c>
      <c r="F136" s="137">
        <f t="shared" si="32"/>
        <v>0.82</v>
      </c>
      <c r="G136" s="137">
        <f t="shared" si="32"/>
        <v>0.82</v>
      </c>
      <c r="H136" s="137">
        <f t="shared" si="32"/>
        <v>0.82</v>
      </c>
      <c r="I136" s="137">
        <f t="shared" si="32"/>
        <v>0.82</v>
      </c>
      <c r="J136" s="137">
        <f t="shared" si="32"/>
        <v>0.82</v>
      </c>
      <c r="K136" s="137">
        <f t="shared" si="32"/>
        <v>0.82</v>
      </c>
      <c r="L136" s="137">
        <f t="shared" si="32"/>
        <v>0.82</v>
      </c>
      <c r="M136" s="137">
        <f t="shared" si="32"/>
        <v>0.82</v>
      </c>
      <c r="N136" s="137">
        <f t="shared" si="32"/>
        <v>0.82</v>
      </c>
      <c r="O136" s="137">
        <f t="shared" si="32"/>
        <v>0.82</v>
      </c>
      <c r="P136" s="137">
        <f t="shared" si="32"/>
        <v>0.82</v>
      </c>
      <c r="Q136" s="137">
        <f t="shared" si="32"/>
        <v>0.82</v>
      </c>
      <c r="R136" s="137">
        <f t="shared" si="32"/>
        <v>0.82</v>
      </c>
      <c r="S136" s="137">
        <f t="shared" si="33"/>
        <v>0.82</v>
      </c>
      <c r="T136" s="137">
        <f t="shared" si="33"/>
        <v>0.82</v>
      </c>
      <c r="U136" s="137">
        <f t="shared" si="33"/>
        <v>0.82</v>
      </c>
      <c r="V136" s="137">
        <f t="shared" si="33"/>
        <v>0.82</v>
      </c>
      <c r="W136" s="137">
        <f t="shared" si="33"/>
        <v>0.82</v>
      </c>
      <c r="X136" s="137">
        <f t="shared" si="33"/>
        <v>0.82</v>
      </c>
      <c r="Y136" s="137">
        <f t="shared" si="33"/>
        <v>0.82</v>
      </c>
      <c r="Z136" s="137">
        <f t="shared" si="33"/>
        <v>0.82</v>
      </c>
      <c r="AA136" s="137">
        <f t="shared" si="33"/>
        <v>0.82</v>
      </c>
      <c r="AB136" s="137">
        <f t="shared" si="33"/>
        <v>0.82</v>
      </c>
      <c r="AC136" s="137">
        <f t="shared" si="33"/>
        <v>0.82</v>
      </c>
      <c r="AD136" s="137">
        <f t="shared" si="33"/>
        <v>0.82</v>
      </c>
      <c r="AE136" s="137">
        <f t="shared" si="33"/>
        <v>0.82</v>
      </c>
      <c r="AF136" s="137">
        <f t="shared" si="33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4">B138</f>
        <v>2</v>
      </c>
      <c r="D138" s="137">
        <f t="shared" si="34"/>
        <v>2</v>
      </c>
      <c r="E138" s="137">
        <f t="shared" si="34"/>
        <v>2</v>
      </c>
      <c r="F138" s="137">
        <f t="shared" si="34"/>
        <v>2</v>
      </c>
      <c r="G138" s="137">
        <f t="shared" si="34"/>
        <v>2</v>
      </c>
      <c r="H138" s="137">
        <f t="shared" si="34"/>
        <v>2</v>
      </c>
      <c r="I138" s="137">
        <f t="shared" si="34"/>
        <v>2</v>
      </c>
      <c r="J138" s="137">
        <f t="shared" si="34"/>
        <v>2</v>
      </c>
      <c r="K138" s="137">
        <f t="shared" si="34"/>
        <v>2</v>
      </c>
      <c r="L138" s="137">
        <f t="shared" si="34"/>
        <v>2</v>
      </c>
      <c r="M138" s="137">
        <f t="shared" si="34"/>
        <v>2</v>
      </c>
      <c r="N138" s="137">
        <f t="shared" si="34"/>
        <v>2</v>
      </c>
      <c r="O138" s="137">
        <f t="shared" si="34"/>
        <v>2</v>
      </c>
      <c r="P138" s="137">
        <f t="shared" si="34"/>
        <v>2</v>
      </c>
      <c r="Q138" s="137">
        <f t="shared" si="34"/>
        <v>2</v>
      </c>
      <c r="R138" s="137">
        <f t="shared" si="34"/>
        <v>2</v>
      </c>
      <c r="S138" s="137">
        <f t="shared" ref="S138:AF144" si="35">R138</f>
        <v>2</v>
      </c>
      <c r="T138" s="137">
        <f t="shared" si="35"/>
        <v>2</v>
      </c>
      <c r="U138" s="137">
        <f t="shared" si="35"/>
        <v>2</v>
      </c>
      <c r="V138" s="137">
        <f t="shared" si="35"/>
        <v>2</v>
      </c>
      <c r="W138" s="137">
        <f t="shared" si="35"/>
        <v>2</v>
      </c>
      <c r="X138" s="137">
        <f t="shared" si="35"/>
        <v>2</v>
      </c>
      <c r="Y138" s="137">
        <f t="shared" si="35"/>
        <v>2</v>
      </c>
      <c r="Z138" s="137">
        <f t="shared" si="35"/>
        <v>2</v>
      </c>
      <c r="AA138" s="137">
        <f t="shared" si="35"/>
        <v>2</v>
      </c>
      <c r="AB138" s="137">
        <f t="shared" si="35"/>
        <v>2</v>
      </c>
      <c r="AC138" s="137">
        <f t="shared" si="35"/>
        <v>2</v>
      </c>
      <c r="AD138" s="137">
        <f t="shared" si="35"/>
        <v>2</v>
      </c>
      <c r="AE138" s="137">
        <f t="shared" si="35"/>
        <v>2</v>
      </c>
      <c r="AF138" s="137">
        <f t="shared" si="35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4"/>
        <v>5.61</v>
      </c>
      <c r="D139" s="137">
        <f t="shared" si="34"/>
        <v>5.61</v>
      </c>
      <c r="E139" s="137">
        <f t="shared" si="34"/>
        <v>5.61</v>
      </c>
      <c r="F139" s="137">
        <f t="shared" si="34"/>
        <v>5.61</v>
      </c>
      <c r="G139" s="137">
        <f t="shared" si="34"/>
        <v>5.61</v>
      </c>
      <c r="H139" s="137">
        <f t="shared" si="34"/>
        <v>5.61</v>
      </c>
      <c r="I139" s="137">
        <f t="shared" si="34"/>
        <v>5.61</v>
      </c>
      <c r="J139" s="137">
        <f t="shared" si="34"/>
        <v>5.61</v>
      </c>
      <c r="K139" s="137">
        <f t="shared" si="34"/>
        <v>5.61</v>
      </c>
      <c r="L139" s="137">
        <f t="shared" si="34"/>
        <v>5.61</v>
      </c>
      <c r="M139" s="137">
        <f t="shared" si="34"/>
        <v>5.61</v>
      </c>
      <c r="N139" s="137">
        <f t="shared" si="34"/>
        <v>5.61</v>
      </c>
      <c r="O139" s="137">
        <f t="shared" si="34"/>
        <v>5.61</v>
      </c>
      <c r="P139" s="137">
        <f t="shared" si="34"/>
        <v>5.61</v>
      </c>
      <c r="Q139" s="137">
        <f t="shared" si="34"/>
        <v>5.61</v>
      </c>
      <c r="R139" s="137">
        <f t="shared" si="34"/>
        <v>5.61</v>
      </c>
      <c r="S139" s="137">
        <f t="shared" si="35"/>
        <v>5.61</v>
      </c>
      <c r="T139" s="137">
        <f t="shared" si="35"/>
        <v>5.61</v>
      </c>
      <c r="U139" s="137">
        <f t="shared" si="35"/>
        <v>5.61</v>
      </c>
      <c r="V139" s="137">
        <f t="shared" si="35"/>
        <v>5.61</v>
      </c>
      <c r="W139" s="137">
        <f t="shared" si="35"/>
        <v>5.61</v>
      </c>
      <c r="X139" s="137">
        <f t="shared" si="35"/>
        <v>5.61</v>
      </c>
      <c r="Y139" s="137">
        <f t="shared" si="35"/>
        <v>5.61</v>
      </c>
      <c r="Z139" s="137">
        <f t="shared" si="35"/>
        <v>5.61</v>
      </c>
      <c r="AA139" s="137">
        <f t="shared" si="35"/>
        <v>5.61</v>
      </c>
      <c r="AB139" s="137">
        <f t="shared" si="35"/>
        <v>5.61</v>
      </c>
      <c r="AC139" s="137">
        <f t="shared" si="35"/>
        <v>5.61</v>
      </c>
      <c r="AD139" s="137">
        <f t="shared" si="35"/>
        <v>5.61</v>
      </c>
      <c r="AE139" s="137">
        <f t="shared" si="35"/>
        <v>5.61</v>
      </c>
      <c r="AF139" s="137">
        <f t="shared" si="35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4"/>
        <v>1.25</v>
      </c>
      <c r="D140" s="137">
        <f t="shared" si="34"/>
        <v>1.25</v>
      </c>
      <c r="E140" s="137">
        <f t="shared" si="34"/>
        <v>1.25</v>
      </c>
      <c r="F140" s="137">
        <f t="shared" si="34"/>
        <v>1.25</v>
      </c>
      <c r="G140" s="137">
        <f t="shared" si="34"/>
        <v>1.25</v>
      </c>
      <c r="H140" s="137">
        <f t="shared" si="34"/>
        <v>1.25</v>
      </c>
      <c r="I140" s="137">
        <f t="shared" si="34"/>
        <v>1.25</v>
      </c>
      <c r="J140" s="137">
        <f t="shared" si="34"/>
        <v>1.25</v>
      </c>
      <c r="K140" s="137">
        <f t="shared" si="34"/>
        <v>1.25</v>
      </c>
      <c r="L140" s="137">
        <f t="shared" si="34"/>
        <v>1.25</v>
      </c>
      <c r="M140" s="137">
        <f t="shared" si="34"/>
        <v>1.25</v>
      </c>
      <c r="N140" s="137">
        <f t="shared" si="34"/>
        <v>1.25</v>
      </c>
      <c r="O140" s="137">
        <f t="shared" si="34"/>
        <v>1.25</v>
      </c>
      <c r="P140" s="137">
        <f t="shared" si="34"/>
        <v>1.25</v>
      </c>
      <c r="Q140" s="137">
        <f t="shared" si="34"/>
        <v>1.25</v>
      </c>
      <c r="R140" s="137">
        <f t="shared" si="34"/>
        <v>1.25</v>
      </c>
      <c r="S140" s="137">
        <f t="shared" si="35"/>
        <v>1.25</v>
      </c>
      <c r="T140" s="137">
        <f t="shared" si="35"/>
        <v>1.25</v>
      </c>
      <c r="U140" s="137">
        <f t="shared" si="35"/>
        <v>1.25</v>
      </c>
      <c r="V140" s="137">
        <f t="shared" si="35"/>
        <v>1.25</v>
      </c>
      <c r="W140" s="137">
        <f t="shared" si="35"/>
        <v>1.25</v>
      </c>
      <c r="X140" s="137">
        <f t="shared" si="35"/>
        <v>1.25</v>
      </c>
      <c r="Y140" s="137">
        <f t="shared" si="35"/>
        <v>1.25</v>
      </c>
      <c r="Z140" s="137">
        <f t="shared" si="35"/>
        <v>1.25</v>
      </c>
      <c r="AA140" s="137">
        <f t="shared" si="35"/>
        <v>1.25</v>
      </c>
      <c r="AB140" s="137">
        <f t="shared" si="35"/>
        <v>1.25</v>
      </c>
      <c r="AC140" s="137">
        <f t="shared" si="35"/>
        <v>1.25</v>
      </c>
      <c r="AD140" s="137">
        <f t="shared" si="35"/>
        <v>1.25</v>
      </c>
      <c r="AE140" s="137">
        <f t="shared" si="35"/>
        <v>1.25</v>
      </c>
      <c r="AF140" s="137">
        <f t="shared" si="35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4"/>
        <v>1.25</v>
      </c>
      <c r="D141" s="137">
        <f t="shared" si="34"/>
        <v>1.25</v>
      </c>
      <c r="E141" s="137">
        <f t="shared" si="34"/>
        <v>1.25</v>
      </c>
      <c r="F141" s="137">
        <f t="shared" si="34"/>
        <v>1.25</v>
      </c>
      <c r="G141" s="137">
        <f t="shared" si="34"/>
        <v>1.25</v>
      </c>
      <c r="H141" s="137">
        <f t="shared" si="34"/>
        <v>1.25</v>
      </c>
      <c r="I141" s="137">
        <f t="shared" si="34"/>
        <v>1.25</v>
      </c>
      <c r="J141" s="137">
        <f t="shared" si="34"/>
        <v>1.25</v>
      </c>
      <c r="K141" s="137">
        <f t="shared" si="34"/>
        <v>1.25</v>
      </c>
      <c r="L141" s="137">
        <f t="shared" si="34"/>
        <v>1.25</v>
      </c>
      <c r="M141" s="137">
        <f t="shared" si="34"/>
        <v>1.25</v>
      </c>
      <c r="N141" s="137">
        <f t="shared" si="34"/>
        <v>1.25</v>
      </c>
      <c r="O141" s="137">
        <f t="shared" si="34"/>
        <v>1.25</v>
      </c>
      <c r="P141" s="137">
        <f t="shared" si="34"/>
        <v>1.25</v>
      </c>
      <c r="Q141" s="137">
        <f t="shared" si="34"/>
        <v>1.25</v>
      </c>
      <c r="R141" s="137">
        <f t="shared" si="34"/>
        <v>1.25</v>
      </c>
      <c r="S141" s="137">
        <f t="shared" si="35"/>
        <v>1.25</v>
      </c>
      <c r="T141" s="137">
        <f t="shared" si="35"/>
        <v>1.25</v>
      </c>
      <c r="U141" s="137">
        <f t="shared" si="35"/>
        <v>1.25</v>
      </c>
      <c r="V141" s="137">
        <f t="shared" si="35"/>
        <v>1.25</v>
      </c>
      <c r="W141" s="137">
        <f t="shared" si="35"/>
        <v>1.25</v>
      </c>
      <c r="X141" s="137">
        <f t="shared" si="35"/>
        <v>1.25</v>
      </c>
      <c r="Y141" s="137">
        <f t="shared" si="35"/>
        <v>1.25</v>
      </c>
      <c r="Z141" s="137">
        <f t="shared" si="35"/>
        <v>1.25</v>
      </c>
      <c r="AA141" s="137">
        <f t="shared" si="35"/>
        <v>1.25</v>
      </c>
      <c r="AB141" s="137">
        <f t="shared" si="35"/>
        <v>1.25</v>
      </c>
      <c r="AC141" s="137">
        <f t="shared" si="35"/>
        <v>1.25</v>
      </c>
      <c r="AD141" s="137">
        <f t="shared" si="35"/>
        <v>1.25</v>
      </c>
      <c r="AE141" s="137">
        <f t="shared" si="35"/>
        <v>1.25</v>
      </c>
      <c r="AF141" s="137">
        <f t="shared" si="35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4"/>
        <v>1.46</v>
      </c>
      <c r="D142" s="137">
        <f t="shared" si="34"/>
        <v>1.46</v>
      </c>
      <c r="E142" s="137">
        <f t="shared" si="34"/>
        <v>1.46</v>
      </c>
      <c r="F142" s="137">
        <f t="shared" si="34"/>
        <v>1.46</v>
      </c>
      <c r="G142" s="137">
        <f t="shared" si="34"/>
        <v>1.46</v>
      </c>
      <c r="H142" s="137">
        <f t="shared" si="34"/>
        <v>1.46</v>
      </c>
      <c r="I142" s="137">
        <f t="shared" si="34"/>
        <v>1.46</v>
      </c>
      <c r="J142" s="137">
        <f t="shared" si="34"/>
        <v>1.46</v>
      </c>
      <c r="K142" s="137">
        <f t="shared" si="34"/>
        <v>1.46</v>
      </c>
      <c r="L142" s="137">
        <f t="shared" si="34"/>
        <v>1.46</v>
      </c>
      <c r="M142" s="137">
        <f t="shared" si="34"/>
        <v>1.46</v>
      </c>
      <c r="N142" s="137">
        <f t="shared" si="34"/>
        <v>1.46</v>
      </c>
      <c r="O142" s="137">
        <f t="shared" si="34"/>
        <v>1.46</v>
      </c>
      <c r="P142" s="137">
        <f t="shared" si="34"/>
        <v>1.46</v>
      </c>
      <c r="Q142" s="137">
        <f t="shared" si="34"/>
        <v>1.46</v>
      </c>
      <c r="R142" s="137">
        <f t="shared" si="34"/>
        <v>1.46</v>
      </c>
      <c r="S142" s="137">
        <f t="shared" si="35"/>
        <v>1.46</v>
      </c>
      <c r="T142" s="137">
        <f t="shared" si="35"/>
        <v>1.46</v>
      </c>
      <c r="U142" s="137">
        <f t="shared" si="35"/>
        <v>1.46</v>
      </c>
      <c r="V142" s="137">
        <f t="shared" si="35"/>
        <v>1.46</v>
      </c>
      <c r="W142" s="137">
        <f t="shared" si="35"/>
        <v>1.46</v>
      </c>
      <c r="X142" s="137">
        <f t="shared" si="35"/>
        <v>1.46</v>
      </c>
      <c r="Y142" s="137">
        <f t="shared" si="35"/>
        <v>1.46</v>
      </c>
      <c r="Z142" s="137">
        <f t="shared" si="35"/>
        <v>1.46</v>
      </c>
      <c r="AA142" s="137">
        <f t="shared" si="35"/>
        <v>1.46</v>
      </c>
      <c r="AB142" s="137">
        <f t="shared" si="35"/>
        <v>1.46</v>
      </c>
      <c r="AC142" s="137">
        <f t="shared" si="35"/>
        <v>1.46</v>
      </c>
      <c r="AD142" s="137">
        <f t="shared" si="35"/>
        <v>1.46</v>
      </c>
      <c r="AE142" s="137">
        <f t="shared" si="35"/>
        <v>1.46</v>
      </c>
      <c r="AF142" s="137">
        <f t="shared" si="35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4"/>
        <v>3</v>
      </c>
      <c r="D143" s="137">
        <f t="shared" si="34"/>
        <v>3</v>
      </c>
      <c r="E143" s="137">
        <f t="shared" si="34"/>
        <v>3</v>
      </c>
      <c r="F143" s="137">
        <f t="shared" si="34"/>
        <v>3</v>
      </c>
      <c r="G143" s="137">
        <f t="shared" si="34"/>
        <v>3</v>
      </c>
      <c r="H143" s="137">
        <f t="shared" si="34"/>
        <v>3</v>
      </c>
      <c r="I143" s="137">
        <f t="shared" si="34"/>
        <v>3</v>
      </c>
      <c r="J143" s="137">
        <f t="shared" si="34"/>
        <v>3</v>
      </c>
      <c r="K143" s="137">
        <f t="shared" si="34"/>
        <v>3</v>
      </c>
      <c r="L143" s="137">
        <f t="shared" si="34"/>
        <v>3</v>
      </c>
      <c r="M143" s="137">
        <f t="shared" si="34"/>
        <v>3</v>
      </c>
      <c r="N143" s="137">
        <f t="shared" si="34"/>
        <v>3</v>
      </c>
      <c r="O143" s="137">
        <f t="shared" si="34"/>
        <v>3</v>
      </c>
      <c r="P143" s="137">
        <f t="shared" si="34"/>
        <v>3</v>
      </c>
      <c r="Q143" s="137">
        <f t="shared" si="34"/>
        <v>3</v>
      </c>
      <c r="R143" s="137">
        <f t="shared" si="34"/>
        <v>3</v>
      </c>
      <c r="S143" s="137">
        <f t="shared" si="35"/>
        <v>3</v>
      </c>
      <c r="T143" s="137">
        <f t="shared" si="35"/>
        <v>3</v>
      </c>
      <c r="U143" s="137">
        <f t="shared" si="35"/>
        <v>3</v>
      </c>
      <c r="V143" s="137">
        <f t="shared" si="35"/>
        <v>3</v>
      </c>
      <c r="W143" s="137">
        <f t="shared" si="35"/>
        <v>3</v>
      </c>
      <c r="X143" s="137">
        <f t="shared" si="35"/>
        <v>3</v>
      </c>
      <c r="Y143" s="137">
        <f t="shared" si="35"/>
        <v>3</v>
      </c>
      <c r="Z143" s="137">
        <f t="shared" si="35"/>
        <v>3</v>
      </c>
      <c r="AA143" s="137">
        <f t="shared" si="35"/>
        <v>3</v>
      </c>
      <c r="AB143" s="137">
        <f t="shared" si="35"/>
        <v>3</v>
      </c>
      <c r="AC143" s="137">
        <f t="shared" si="35"/>
        <v>3</v>
      </c>
      <c r="AD143" s="137">
        <f t="shared" si="35"/>
        <v>3</v>
      </c>
      <c r="AE143" s="137">
        <f t="shared" si="35"/>
        <v>3</v>
      </c>
      <c r="AF143" s="137">
        <f t="shared" si="35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4"/>
        <v>3.3</v>
      </c>
      <c r="D144" s="137">
        <f t="shared" si="34"/>
        <v>3.3</v>
      </c>
      <c r="E144" s="137">
        <f t="shared" si="34"/>
        <v>3.3</v>
      </c>
      <c r="F144" s="137">
        <f t="shared" si="34"/>
        <v>3.3</v>
      </c>
      <c r="G144" s="137">
        <f t="shared" si="34"/>
        <v>3.3</v>
      </c>
      <c r="H144" s="137">
        <f t="shared" si="34"/>
        <v>3.3</v>
      </c>
      <c r="I144" s="137">
        <f t="shared" si="34"/>
        <v>3.3</v>
      </c>
      <c r="J144" s="137">
        <f t="shared" si="34"/>
        <v>3.3</v>
      </c>
      <c r="K144" s="137">
        <f t="shared" si="34"/>
        <v>3.3</v>
      </c>
      <c r="L144" s="137">
        <f t="shared" si="34"/>
        <v>3.3</v>
      </c>
      <c r="M144" s="137">
        <f t="shared" si="34"/>
        <v>3.3</v>
      </c>
      <c r="N144" s="137">
        <f t="shared" si="34"/>
        <v>3.3</v>
      </c>
      <c r="O144" s="137">
        <f t="shared" si="34"/>
        <v>3.3</v>
      </c>
      <c r="P144" s="137">
        <f t="shared" si="34"/>
        <v>3.3</v>
      </c>
      <c r="Q144" s="137">
        <f t="shared" si="34"/>
        <v>3.3</v>
      </c>
      <c r="R144" s="137">
        <f t="shared" si="34"/>
        <v>3.3</v>
      </c>
      <c r="S144" s="137">
        <f t="shared" si="35"/>
        <v>3.3</v>
      </c>
      <c r="T144" s="137">
        <f t="shared" si="35"/>
        <v>3.3</v>
      </c>
      <c r="U144" s="137">
        <f t="shared" si="35"/>
        <v>3.3</v>
      </c>
      <c r="V144" s="137">
        <f t="shared" si="35"/>
        <v>3.3</v>
      </c>
      <c r="W144" s="137">
        <f t="shared" si="35"/>
        <v>3.3</v>
      </c>
      <c r="X144" s="137">
        <f t="shared" si="35"/>
        <v>3.3</v>
      </c>
      <c r="Y144" s="137">
        <f t="shared" si="35"/>
        <v>3.3</v>
      </c>
      <c r="Z144" s="137">
        <f t="shared" si="35"/>
        <v>3.3</v>
      </c>
      <c r="AA144" s="137">
        <f t="shared" si="35"/>
        <v>3.3</v>
      </c>
      <c r="AB144" s="137">
        <f t="shared" si="35"/>
        <v>3.3</v>
      </c>
      <c r="AC144" s="137">
        <f t="shared" si="35"/>
        <v>3.3</v>
      </c>
      <c r="AD144" s="137">
        <f t="shared" si="35"/>
        <v>3.3</v>
      </c>
      <c r="AE144" s="137">
        <f t="shared" si="35"/>
        <v>3.3</v>
      </c>
      <c r="AF144" s="137">
        <f t="shared" si="35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6">B146</f>
        <v>1.76</v>
      </c>
      <c r="D146" s="137">
        <f t="shared" si="36"/>
        <v>1.76</v>
      </c>
      <c r="E146" s="137">
        <f t="shared" si="36"/>
        <v>1.76</v>
      </c>
      <c r="F146" s="137">
        <f t="shared" si="36"/>
        <v>1.76</v>
      </c>
      <c r="G146" s="137">
        <f t="shared" si="36"/>
        <v>1.76</v>
      </c>
      <c r="H146" s="137">
        <f t="shared" si="36"/>
        <v>1.76</v>
      </c>
      <c r="I146" s="137">
        <f t="shared" si="36"/>
        <v>1.76</v>
      </c>
      <c r="J146" s="137">
        <f t="shared" si="36"/>
        <v>1.76</v>
      </c>
      <c r="K146" s="137">
        <f t="shared" si="36"/>
        <v>1.76</v>
      </c>
      <c r="L146" s="137">
        <f t="shared" si="36"/>
        <v>1.76</v>
      </c>
      <c r="M146" s="137">
        <f t="shared" si="36"/>
        <v>1.76</v>
      </c>
      <c r="N146" s="137">
        <f t="shared" si="36"/>
        <v>1.76</v>
      </c>
      <c r="O146" s="137">
        <f t="shared" si="36"/>
        <v>1.76</v>
      </c>
      <c r="P146" s="137">
        <f t="shared" si="36"/>
        <v>1.76</v>
      </c>
      <c r="Q146" s="137">
        <f t="shared" si="36"/>
        <v>1.76</v>
      </c>
      <c r="R146" s="137">
        <f t="shared" si="36"/>
        <v>1.76</v>
      </c>
      <c r="S146" s="137">
        <f t="shared" ref="S146:AF147" si="37">R146</f>
        <v>1.76</v>
      </c>
      <c r="T146" s="137">
        <f t="shared" si="37"/>
        <v>1.76</v>
      </c>
      <c r="U146" s="137">
        <f t="shared" si="37"/>
        <v>1.76</v>
      </c>
      <c r="V146" s="137">
        <f t="shared" si="37"/>
        <v>1.76</v>
      </c>
      <c r="W146" s="137">
        <f t="shared" si="37"/>
        <v>1.76</v>
      </c>
      <c r="X146" s="137">
        <f t="shared" si="37"/>
        <v>1.76</v>
      </c>
      <c r="Y146" s="137">
        <f t="shared" si="37"/>
        <v>1.76</v>
      </c>
      <c r="Z146" s="137">
        <f t="shared" si="37"/>
        <v>1.76</v>
      </c>
      <c r="AA146" s="137">
        <f t="shared" si="37"/>
        <v>1.76</v>
      </c>
      <c r="AB146" s="137">
        <f t="shared" si="37"/>
        <v>1.76</v>
      </c>
      <c r="AC146" s="137">
        <f t="shared" si="37"/>
        <v>1.76</v>
      </c>
      <c r="AD146" s="137">
        <f t="shared" si="37"/>
        <v>1.76</v>
      </c>
      <c r="AE146" s="137">
        <f t="shared" si="37"/>
        <v>1.76</v>
      </c>
      <c r="AF146" s="137">
        <f t="shared" si="37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6"/>
        <v>0</v>
      </c>
      <c r="D147" s="137">
        <f t="shared" si="36"/>
        <v>0</v>
      </c>
      <c r="E147" s="137">
        <f t="shared" si="36"/>
        <v>0</v>
      </c>
      <c r="F147" s="137">
        <f t="shared" si="36"/>
        <v>0</v>
      </c>
      <c r="G147" s="137">
        <f t="shared" si="36"/>
        <v>0</v>
      </c>
      <c r="H147" s="137">
        <f t="shared" si="36"/>
        <v>0</v>
      </c>
      <c r="I147" s="137">
        <f t="shared" si="36"/>
        <v>0</v>
      </c>
      <c r="J147" s="137">
        <f t="shared" si="36"/>
        <v>0</v>
      </c>
      <c r="K147" s="137">
        <f t="shared" si="36"/>
        <v>0</v>
      </c>
      <c r="L147" s="137">
        <f t="shared" si="36"/>
        <v>0</v>
      </c>
      <c r="M147" s="137">
        <f t="shared" si="36"/>
        <v>0</v>
      </c>
      <c r="N147" s="137">
        <f t="shared" si="36"/>
        <v>0</v>
      </c>
      <c r="O147" s="137">
        <f t="shared" si="36"/>
        <v>0</v>
      </c>
      <c r="P147" s="137">
        <f t="shared" si="36"/>
        <v>0</v>
      </c>
      <c r="Q147" s="137">
        <f t="shared" si="36"/>
        <v>0</v>
      </c>
      <c r="R147" s="137">
        <f t="shared" si="36"/>
        <v>0</v>
      </c>
      <c r="S147" s="137">
        <f t="shared" si="37"/>
        <v>0</v>
      </c>
      <c r="T147" s="137">
        <f t="shared" si="37"/>
        <v>0</v>
      </c>
      <c r="U147" s="137">
        <f t="shared" si="37"/>
        <v>0</v>
      </c>
      <c r="V147" s="137">
        <f t="shared" si="37"/>
        <v>0</v>
      </c>
      <c r="W147" s="137">
        <f t="shared" si="37"/>
        <v>0</v>
      </c>
      <c r="X147" s="137">
        <f t="shared" si="37"/>
        <v>0</v>
      </c>
      <c r="Y147" s="137">
        <f t="shared" si="37"/>
        <v>0</v>
      </c>
      <c r="Z147" s="137">
        <f t="shared" si="37"/>
        <v>0</v>
      </c>
      <c r="AA147" s="137">
        <f t="shared" si="37"/>
        <v>0</v>
      </c>
      <c r="AB147" s="137">
        <f t="shared" si="37"/>
        <v>0</v>
      </c>
      <c r="AC147" s="137">
        <f t="shared" si="37"/>
        <v>0</v>
      </c>
      <c r="AD147" s="137">
        <f t="shared" si="37"/>
        <v>0</v>
      </c>
      <c r="AE147" s="137">
        <f t="shared" si="37"/>
        <v>0</v>
      </c>
      <c r="AF147" s="137">
        <f t="shared" si="37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8">B149</f>
        <v>0.1</v>
      </c>
      <c r="D149" s="137">
        <f t="shared" si="38"/>
        <v>0.1</v>
      </c>
      <c r="E149" s="137">
        <f t="shared" si="38"/>
        <v>0.1</v>
      </c>
      <c r="F149" s="137">
        <f t="shared" si="38"/>
        <v>0.1</v>
      </c>
      <c r="G149" s="137">
        <f t="shared" si="38"/>
        <v>0.1</v>
      </c>
      <c r="H149" s="137">
        <f t="shared" si="38"/>
        <v>0.1</v>
      </c>
      <c r="I149" s="137">
        <f t="shared" si="38"/>
        <v>0.1</v>
      </c>
      <c r="J149" s="137">
        <f t="shared" si="38"/>
        <v>0.1</v>
      </c>
      <c r="K149" s="137">
        <f t="shared" si="38"/>
        <v>0.1</v>
      </c>
      <c r="L149" s="137">
        <f t="shared" si="38"/>
        <v>0.1</v>
      </c>
      <c r="M149" s="137">
        <f t="shared" si="38"/>
        <v>0.1</v>
      </c>
      <c r="N149" s="137">
        <f t="shared" si="38"/>
        <v>0.1</v>
      </c>
      <c r="O149" s="137">
        <f t="shared" si="38"/>
        <v>0.1</v>
      </c>
      <c r="P149" s="137">
        <f t="shared" si="38"/>
        <v>0.1</v>
      </c>
      <c r="Q149" s="137">
        <f t="shared" si="38"/>
        <v>0.1</v>
      </c>
      <c r="R149" s="137">
        <f t="shared" si="38"/>
        <v>0.1</v>
      </c>
      <c r="S149" s="137">
        <f t="shared" ref="S149:AF152" si="39">R149</f>
        <v>0.1</v>
      </c>
      <c r="T149" s="137">
        <f t="shared" si="39"/>
        <v>0.1</v>
      </c>
      <c r="U149" s="137">
        <f t="shared" si="39"/>
        <v>0.1</v>
      </c>
      <c r="V149" s="137">
        <f t="shared" si="39"/>
        <v>0.1</v>
      </c>
      <c r="W149" s="137">
        <f t="shared" si="39"/>
        <v>0.1</v>
      </c>
      <c r="X149" s="137">
        <f t="shared" si="39"/>
        <v>0.1</v>
      </c>
      <c r="Y149" s="137">
        <f t="shared" si="39"/>
        <v>0.1</v>
      </c>
      <c r="Z149" s="137">
        <f t="shared" si="39"/>
        <v>0.1</v>
      </c>
      <c r="AA149" s="137">
        <f t="shared" si="39"/>
        <v>0.1</v>
      </c>
      <c r="AB149" s="137">
        <f t="shared" si="39"/>
        <v>0.1</v>
      </c>
      <c r="AC149" s="137">
        <f t="shared" si="39"/>
        <v>0.1</v>
      </c>
      <c r="AD149" s="137">
        <f t="shared" si="39"/>
        <v>0.1</v>
      </c>
      <c r="AE149" s="137">
        <f t="shared" si="39"/>
        <v>0.1</v>
      </c>
      <c r="AF149" s="137">
        <f t="shared" si="39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8"/>
        <v>2.0499999999999998</v>
      </c>
      <c r="D150" s="137">
        <f t="shared" si="38"/>
        <v>2.0499999999999998</v>
      </c>
      <c r="E150" s="137">
        <f t="shared" si="38"/>
        <v>2.0499999999999998</v>
      </c>
      <c r="F150" s="137">
        <f t="shared" si="38"/>
        <v>2.0499999999999998</v>
      </c>
      <c r="G150" s="137">
        <f t="shared" si="38"/>
        <v>2.0499999999999998</v>
      </c>
      <c r="H150" s="137">
        <f t="shared" si="38"/>
        <v>2.0499999999999998</v>
      </c>
      <c r="I150" s="137">
        <f t="shared" si="38"/>
        <v>2.0499999999999998</v>
      </c>
      <c r="J150" s="137">
        <f t="shared" si="38"/>
        <v>2.0499999999999998</v>
      </c>
      <c r="K150" s="137">
        <f t="shared" si="38"/>
        <v>2.0499999999999998</v>
      </c>
      <c r="L150" s="137">
        <f t="shared" si="38"/>
        <v>2.0499999999999998</v>
      </c>
      <c r="M150" s="137">
        <f t="shared" si="38"/>
        <v>2.0499999999999998</v>
      </c>
      <c r="N150" s="137">
        <f t="shared" si="38"/>
        <v>2.0499999999999998</v>
      </c>
      <c r="O150" s="137">
        <f t="shared" si="38"/>
        <v>2.0499999999999998</v>
      </c>
      <c r="P150" s="137">
        <f t="shared" si="38"/>
        <v>2.0499999999999998</v>
      </c>
      <c r="Q150" s="137">
        <f t="shared" si="38"/>
        <v>2.0499999999999998</v>
      </c>
      <c r="R150" s="137">
        <f t="shared" si="38"/>
        <v>2.0499999999999998</v>
      </c>
      <c r="S150" s="137">
        <f t="shared" si="39"/>
        <v>2.0499999999999998</v>
      </c>
      <c r="T150" s="137">
        <f t="shared" si="39"/>
        <v>2.0499999999999998</v>
      </c>
      <c r="U150" s="137">
        <f t="shared" si="39"/>
        <v>2.0499999999999998</v>
      </c>
      <c r="V150" s="137">
        <f t="shared" si="39"/>
        <v>2.0499999999999998</v>
      </c>
      <c r="W150" s="137">
        <f t="shared" si="39"/>
        <v>2.0499999999999998</v>
      </c>
      <c r="X150" s="137">
        <f t="shared" si="39"/>
        <v>2.0499999999999998</v>
      </c>
      <c r="Y150" s="137">
        <f t="shared" si="39"/>
        <v>2.0499999999999998</v>
      </c>
      <c r="Z150" s="137">
        <f t="shared" si="39"/>
        <v>2.0499999999999998</v>
      </c>
      <c r="AA150" s="137">
        <f t="shared" si="39"/>
        <v>2.0499999999999998</v>
      </c>
      <c r="AB150" s="137">
        <f t="shared" si="39"/>
        <v>2.0499999999999998</v>
      </c>
      <c r="AC150" s="137">
        <f t="shared" si="39"/>
        <v>2.0499999999999998</v>
      </c>
      <c r="AD150" s="137">
        <f t="shared" si="39"/>
        <v>2.0499999999999998</v>
      </c>
      <c r="AE150" s="137">
        <f t="shared" si="39"/>
        <v>2.0499999999999998</v>
      </c>
      <c r="AF150" s="137">
        <f t="shared" si="39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8"/>
        <v>2.7</v>
      </c>
      <c r="D151" s="137">
        <f t="shared" si="38"/>
        <v>2.7</v>
      </c>
      <c r="E151" s="137">
        <f t="shared" si="38"/>
        <v>2.7</v>
      </c>
      <c r="F151" s="137">
        <f t="shared" si="38"/>
        <v>2.7</v>
      </c>
      <c r="G151" s="137">
        <f t="shared" si="38"/>
        <v>2.7</v>
      </c>
      <c r="H151" s="137">
        <f t="shared" si="38"/>
        <v>2.7</v>
      </c>
      <c r="I151" s="137">
        <f t="shared" si="38"/>
        <v>2.7</v>
      </c>
      <c r="J151" s="137">
        <f t="shared" si="38"/>
        <v>2.7</v>
      </c>
      <c r="K151" s="137">
        <f t="shared" si="38"/>
        <v>2.7</v>
      </c>
      <c r="L151" s="137">
        <f t="shared" si="38"/>
        <v>2.7</v>
      </c>
      <c r="M151" s="137">
        <f t="shared" si="38"/>
        <v>2.7</v>
      </c>
      <c r="N151" s="137">
        <f t="shared" si="38"/>
        <v>2.7</v>
      </c>
      <c r="O151" s="137">
        <f t="shared" si="38"/>
        <v>2.7</v>
      </c>
      <c r="P151" s="137">
        <f t="shared" si="38"/>
        <v>2.7</v>
      </c>
      <c r="Q151" s="137">
        <f t="shared" si="38"/>
        <v>2.7</v>
      </c>
      <c r="R151" s="137">
        <f t="shared" si="38"/>
        <v>2.7</v>
      </c>
      <c r="S151" s="137">
        <f t="shared" si="39"/>
        <v>2.7</v>
      </c>
      <c r="T151" s="137">
        <f t="shared" si="39"/>
        <v>2.7</v>
      </c>
      <c r="U151" s="137">
        <f t="shared" si="39"/>
        <v>2.7</v>
      </c>
      <c r="V151" s="137">
        <f t="shared" si="39"/>
        <v>2.7</v>
      </c>
      <c r="W151" s="137">
        <f t="shared" si="39"/>
        <v>2.7</v>
      </c>
      <c r="X151" s="137">
        <f t="shared" si="39"/>
        <v>2.7</v>
      </c>
      <c r="Y151" s="137">
        <f t="shared" si="39"/>
        <v>2.7</v>
      </c>
      <c r="Z151" s="137">
        <f t="shared" si="39"/>
        <v>2.7</v>
      </c>
      <c r="AA151" s="137">
        <f t="shared" si="39"/>
        <v>2.7</v>
      </c>
      <c r="AB151" s="137">
        <f t="shared" si="39"/>
        <v>2.7</v>
      </c>
      <c r="AC151" s="137">
        <f t="shared" si="39"/>
        <v>2.7</v>
      </c>
      <c r="AD151" s="137">
        <f t="shared" si="39"/>
        <v>2.7</v>
      </c>
      <c r="AE151" s="137">
        <f t="shared" si="39"/>
        <v>2.7</v>
      </c>
      <c r="AF151" s="137">
        <f t="shared" si="39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8"/>
        <v>2.15</v>
      </c>
      <c r="D152" s="137">
        <f t="shared" si="38"/>
        <v>2.15</v>
      </c>
      <c r="E152" s="137">
        <f t="shared" si="38"/>
        <v>2.15</v>
      </c>
      <c r="F152" s="137">
        <f t="shared" si="38"/>
        <v>2.15</v>
      </c>
      <c r="G152" s="137">
        <f t="shared" si="38"/>
        <v>2.15</v>
      </c>
      <c r="H152" s="137">
        <f t="shared" si="38"/>
        <v>2.15</v>
      </c>
      <c r="I152" s="137">
        <f t="shared" si="38"/>
        <v>2.15</v>
      </c>
      <c r="J152" s="137">
        <f t="shared" si="38"/>
        <v>2.15</v>
      </c>
      <c r="K152" s="137">
        <f t="shared" si="38"/>
        <v>2.15</v>
      </c>
      <c r="L152" s="137">
        <f t="shared" si="38"/>
        <v>2.15</v>
      </c>
      <c r="M152" s="137">
        <f t="shared" si="38"/>
        <v>2.15</v>
      </c>
      <c r="N152" s="137">
        <f t="shared" si="38"/>
        <v>2.15</v>
      </c>
      <c r="O152" s="137">
        <f t="shared" si="38"/>
        <v>2.15</v>
      </c>
      <c r="P152" s="137">
        <f t="shared" si="38"/>
        <v>2.15</v>
      </c>
      <c r="Q152" s="137">
        <f t="shared" si="38"/>
        <v>2.15</v>
      </c>
      <c r="R152" s="137">
        <f t="shared" si="38"/>
        <v>2.15</v>
      </c>
      <c r="S152" s="137">
        <f t="shared" si="39"/>
        <v>2.15</v>
      </c>
      <c r="T152" s="137">
        <f t="shared" si="39"/>
        <v>2.15</v>
      </c>
      <c r="U152" s="137">
        <f t="shared" si="39"/>
        <v>2.15</v>
      </c>
      <c r="V152" s="137">
        <f t="shared" si="39"/>
        <v>2.15</v>
      </c>
      <c r="W152" s="137">
        <f t="shared" si="39"/>
        <v>2.15</v>
      </c>
      <c r="X152" s="137">
        <f t="shared" si="39"/>
        <v>2.15</v>
      </c>
      <c r="Y152" s="137">
        <f t="shared" si="39"/>
        <v>2.15</v>
      </c>
      <c r="Z152" s="137">
        <f t="shared" si="39"/>
        <v>2.15</v>
      </c>
      <c r="AA152" s="137">
        <f t="shared" si="39"/>
        <v>2.15</v>
      </c>
      <c r="AB152" s="137">
        <f t="shared" si="39"/>
        <v>2.15</v>
      </c>
      <c r="AC152" s="137">
        <f t="shared" si="39"/>
        <v>2.15</v>
      </c>
      <c r="AD152" s="137">
        <f t="shared" si="39"/>
        <v>2.15</v>
      </c>
      <c r="AE152" s="137">
        <f t="shared" si="39"/>
        <v>2.15</v>
      </c>
      <c r="AF152" s="137">
        <f t="shared" si="39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40">B154</f>
        <v>0.9</v>
      </c>
      <c r="D154" s="137">
        <f t="shared" si="40"/>
        <v>0.9</v>
      </c>
      <c r="E154" s="137">
        <f t="shared" si="40"/>
        <v>0.9</v>
      </c>
      <c r="F154" s="137">
        <f t="shared" si="40"/>
        <v>0.9</v>
      </c>
      <c r="G154" s="137">
        <f t="shared" si="40"/>
        <v>0.9</v>
      </c>
      <c r="H154" s="137">
        <f t="shared" si="40"/>
        <v>0.9</v>
      </c>
      <c r="I154" s="137">
        <f t="shared" si="40"/>
        <v>0.9</v>
      </c>
      <c r="J154" s="137">
        <f t="shared" si="40"/>
        <v>0.9</v>
      </c>
      <c r="K154" s="137">
        <f t="shared" si="40"/>
        <v>0.9</v>
      </c>
      <c r="L154" s="137">
        <f t="shared" si="40"/>
        <v>0.9</v>
      </c>
      <c r="M154" s="137">
        <f t="shared" si="40"/>
        <v>0.9</v>
      </c>
      <c r="N154" s="137">
        <f t="shared" si="40"/>
        <v>0.9</v>
      </c>
      <c r="O154" s="137">
        <f t="shared" si="40"/>
        <v>0.9</v>
      </c>
      <c r="P154" s="137">
        <f t="shared" si="40"/>
        <v>0.9</v>
      </c>
      <c r="Q154" s="137">
        <f t="shared" si="40"/>
        <v>0.9</v>
      </c>
      <c r="R154" s="137">
        <f t="shared" si="40"/>
        <v>0.9</v>
      </c>
      <c r="S154" s="137">
        <f t="shared" ref="R154:AF166" si="41">R154</f>
        <v>0.9</v>
      </c>
      <c r="T154" s="137">
        <f t="shared" si="41"/>
        <v>0.9</v>
      </c>
      <c r="U154" s="137">
        <f t="shared" si="41"/>
        <v>0.9</v>
      </c>
      <c r="V154" s="137">
        <f t="shared" si="41"/>
        <v>0.9</v>
      </c>
      <c r="W154" s="137">
        <f t="shared" si="41"/>
        <v>0.9</v>
      </c>
      <c r="X154" s="137">
        <f t="shared" si="41"/>
        <v>0.9</v>
      </c>
      <c r="Y154" s="137">
        <f t="shared" si="41"/>
        <v>0.9</v>
      </c>
      <c r="Z154" s="137">
        <f t="shared" si="41"/>
        <v>0.9</v>
      </c>
      <c r="AA154" s="137">
        <f t="shared" si="41"/>
        <v>0.9</v>
      </c>
      <c r="AB154" s="137">
        <f t="shared" si="41"/>
        <v>0.9</v>
      </c>
      <c r="AC154" s="137">
        <f t="shared" si="41"/>
        <v>0.9</v>
      </c>
      <c r="AD154" s="137">
        <f t="shared" si="41"/>
        <v>0.9</v>
      </c>
      <c r="AE154" s="137">
        <f t="shared" si="41"/>
        <v>0.9</v>
      </c>
      <c r="AF154" s="137">
        <f t="shared" si="41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40"/>
        <v>1.08</v>
      </c>
      <c r="D155" s="137">
        <f t="shared" si="40"/>
        <v>1.08</v>
      </c>
      <c r="E155" s="137">
        <f t="shared" si="40"/>
        <v>1.08</v>
      </c>
      <c r="F155" s="137">
        <f t="shared" si="40"/>
        <v>1.08</v>
      </c>
      <c r="G155" s="137">
        <f t="shared" si="40"/>
        <v>1.08</v>
      </c>
      <c r="H155" s="137">
        <f t="shared" si="40"/>
        <v>1.08</v>
      </c>
      <c r="I155" s="137">
        <f t="shared" si="40"/>
        <v>1.08</v>
      </c>
      <c r="J155" s="137">
        <f t="shared" si="40"/>
        <v>1.08</v>
      </c>
      <c r="K155" s="137">
        <f t="shared" si="40"/>
        <v>1.08</v>
      </c>
      <c r="L155" s="137">
        <f t="shared" si="40"/>
        <v>1.08</v>
      </c>
      <c r="M155" s="137">
        <f t="shared" si="40"/>
        <v>1.08</v>
      </c>
      <c r="N155" s="137">
        <f t="shared" si="40"/>
        <v>1.08</v>
      </c>
      <c r="O155" s="137">
        <f t="shared" si="40"/>
        <v>1.08</v>
      </c>
      <c r="P155" s="137">
        <f t="shared" si="40"/>
        <v>1.08</v>
      </c>
      <c r="Q155" s="137">
        <f t="shared" si="40"/>
        <v>1.08</v>
      </c>
      <c r="R155" s="137">
        <f t="shared" si="40"/>
        <v>1.08</v>
      </c>
      <c r="S155" s="137">
        <f t="shared" si="41"/>
        <v>1.08</v>
      </c>
      <c r="T155" s="137">
        <f t="shared" si="41"/>
        <v>1.08</v>
      </c>
      <c r="U155" s="137">
        <f t="shared" si="41"/>
        <v>1.08</v>
      </c>
      <c r="V155" s="137">
        <f t="shared" si="41"/>
        <v>1.08</v>
      </c>
      <c r="W155" s="137">
        <f t="shared" si="41"/>
        <v>1.08</v>
      </c>
      <c r="X155" s="137">
        <f t="shared" si="41"/>
        <v>1.08</v>
      </c>
      <c r="Y155" s="137">
        <f t="shared" si="41"/>
        <v>1.08</v>
      </c>
      <c r="Z155" s="137">
        <f t="shared" si="41"/>
        <v>1.08</v>
      </c>
      <c r="AA155" s="137">
        <f t="shared" si="41"/>
        <v>1.08</v>
      </c>
      <c r="AB155" s="137">
        <f t="shared" si="41"/>
        <v>1.08</v>
      </c>
      <c r="AC155" s="137">
        <f t="shared" si="41"/>
        <v>1.08</v>
      </c>
      <c r="AD155" s="137">
        <f t="shared" si="41"/>
        <v>1.08</v>
      </c>
      <c r="AE155" s="137">
        <f t="shared" si="41"/>
        <v>1.08</v>
      </c>
      <c r="AF155" s="137">
        <f t="shared" si="41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40"/>
        <v>2.37</v>
      </c>
      <c r="D156" s="137">
        <f t="shared" si="40"/>
        <v>2.37</v>
      </c>
      <c r="E156" s="137">
        <f t="shared" si="40"/>
        <v>2.37</v>
      </c>
      <c r="F156" s="137">
        <f t="shared" si="40"/>
        <v>2.37</v>
      </c>
      <c r="G156" s="137">
        <f t="shared" si="40"/>
        <v>2.37</v>
      </c>
      <c r="H156" s="137">
        <f t="shared" si="40"/>
        <v>2.37</v>
      </c>
      <c r="I156" s="137">
        <f t="shared" si="40"/>
        <v>2.37</v>
      </c>
      <c r="J156" s="137">
        <f t="shared" si="40"/>
        <v>2.37</v>
      </c>
      <c r="K156" s="137">
        <f t="shared" si="40"/>
        <v>2.37</v>
      </c>
      <c r="L156" s="137">
        <f t="shared" si="40"/>
        <v>2.37</v>
      </c>
      <c r="M156" s="137">
        <f t="shared" si="40"/>
        <v>2.37</v>
      </c>
      <c r="N156" s="137">
        <f t="shared" si="40"/>
        <v>2.37</v>
      </c>
      <c r="O156" s="137">
        <f t="shared" si="40"/>
        <v>2.37</v>
      </c>
      <c r="P156" s="137">
        <f t="shared" si="40"/>
        <v>2.37</v>
      </c>
      <c r="Q156" s="137">
        <f t="shared" si="40"/>
        <v>2.37</v>
      </c>
      <c r="R156" s="137">
        <f t="shared" si="40"/>
        <v>2.37</v>
      </c>
      <c r="S156" s="137">
        <f t="shared" si="41"/>
        <v>2.37</v>
      </c>
      <c r="T156" s="137">
        <f t="shared" si="41"/>
        <v>2.37</v>
      </c>
      <c r="U156" s="137">
        <f t="shared" si="41"/>
        <v>2.37</v>
      </c>
      <c r="V156" s="137">
        <f t="shared" si="41"/>
        <v>2.37</v>
      </c>
      <c r="W156" s="137">
        <f t="shared" si="41"/>
        <v>2.37</v>
      </c>
      <c r="X156" s="137">
        <f t="shared" si="41"/>
        <v>2.37</v>
      </c>
      <c r="Y156" s="137">
        <f t="shared" si="41"/>
        <v>2.37</v>
      </c>
      <c r="Z156" s="137">
        <f t="shared" si="41"/>
        <v>2.37</v>
      </c>
      <c r="AA156" s="137">
        <f t="shared" si="41"/>
        <v>2.37</v>
      </c>
      <c r="AB156" s="137">
        <f t="shared" si="41"/>
        <v>2.37</v>
      </c>
      <c r="AC156" s="137">
        <f t="shared" si="41"/>
        <v>2.37</v>
      </c>
      <c r="AD156" s="137">
        <f t="shared" si="41"/>
        <v>2.37</v>
      </c>
      <c r="AE156" s="137">
        <f t="shared" si="41"/>
        <v>2.37</v>
      </c>
      <c r="AF156" s="137">
        <f t="shared" si="41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40"/>
        <v>1.81</v>
      </c>
      <c r="D157" s="137">
        <f t="shared" si="40"/>
        <v>1.81</v>
      </c>
      <c r="E157" s="137">
        <f t="shared" si="40"/>
        <v>1.81</v>
      </c>
      <c r="F157" s="137">
        <f t="shared" si="40"/>
        <v>1.81</v>
      </c>
      <c r="G157" s="137">
        <f t="shared" si="40"/>
        <v>1.81</v>
      </c>
      <c r="H157" s="137">
        <f t="shared" si="40"/>
        <v>1.81</v>
      </c>
      <c r="I157" s="137">
        <f t="shared" si="40"/>
        <v>1.81</v>
      </c>
      <c r="J157" s="137">
        <f t="shared" si="40"/>
        <v>1.81</v>
      </c>
      <c r="K157" s="137">
        <f t="shared" si="40"/>
        <v>1.81</v>
      </c>
      <c r="L157" s="137">
        <f t="shared" si="40"/>
        <v>1.81</v>
      </c>
      <c r="M157" s="137">
        <f t="shared" si="40"/>
        <v>1.81</v>
      </c>
      <c r="N157" s="137">
        <f t="shared" si="40"/>
        <v>1.81</v>
      </c>
      <c r="O157" s="137">
        <f t="shared" si="40"/>
        <v>1.81</v>
      </c>
      <c r="P157" s="137">
        <f t="shared" si="40"/>
        <v>1.81</v>
      </c>
      <c r="Q157" s="137">
        <f t="shared" si="40"/>
        <v>1.81</v>
      </c>
      <c r="R157" s="137">
        <f t="shared" si="40"/>
        <v>1.81</v>
      </c>
      <c r="S157" s="137">
        <f t="shared" si="41"/>
        <v>1.81</v>
      </c>
      <c r="T157" s="137">
        <f t="shared" si="41"/>
        <v>1.81</v>
      </c>
      <c r="U157" s="137">
        <f t="shared" si="41"/>
        <v>1.81</v>
      </c>
      <c r="V157" s="137">
        <f t="shared" si="41"/>
        <v>1.81</v>
      </c>
      <c r="W157" s="137">
        <f t="shared" si="41"/>
        <v>1.81</v>
      </c>
      <c r="X157" s="137">
        <f t="shared" si="41"/>
        <v>1.81</v>
      </c>
      <c r="Y157" s="137">
        <f t="shared" si="41"/>
        <v>1.81</v>
      </c>
      <c r="Z157" s="137">
        <f t="shared" si="41"/>
        <v>1.81</v>
      </c>
      <c r="AA157" s="137">
        <f t="shared" si="41"/>
        <v>1.81</v>
      </c>
      <c r="AB157" s="137">
        <f t="shared" si="41"/>
        <v>1.81</v>
      </c>
      <c r="AC157" s="137">
        <f t="shared" si="41"/>
        <v>1.81</v>
      </c>
      <c r="AD157" s="137">
        <f t="shared" si="41"/>
        <v>1.81</v>
      </c>
      <c r="AE157" s="137">
        <f t="shared" si="41"/>
        <v>1.81</v>
      </c>
      <c r="AF157" s="137">
        <f t="shared" si="41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40"/>
        <v>1.0900000000000001</v>
      </c>
      <c r="D158" s="137">
        <f t="shared" si="40"/>
        <v>1.0900000000000001</v>
      </c>
      <c r="E158" s="137">
        <f t="shared" si="40"/>
        <v>1.0900000000000001</v>
      </c>
      <c r="F158" s="137">
        <f t="shared" si="40"/>
        <v>1.0900000000000001</v>
      </c>
      <c r="G158" s="137">
        <f t="shared" si="40"/>
        <v>1.0900000000000001</v>
      </c>
      <c r="H158" s="137">
        <f t="shared" si="40"/>
        <v>1.0900000000000001</v>
      </c>
      <c r="I158" s="137">
        <f t="shared" si="40"/>
        <v>1.0900000000000001</v>
      </c>
      <c r="J158" s="137">
        <f t="shared" si="40"/>
        <v>1.0900000000000001</v>
      </c>
      <c r="K158" s="137">
        <f t="shared" si="40"/>
        <v>1.0900000000000001</v>
      </c>
      <c r="L158" s="137">
        <f t="shared" si="40"/>
        <v>1.0900000000000001</v>
      </c>
      <c r="M158" s="137">
        <f t="shared" si="40"/>
        <v>1.0900000000000001</v>
      </c>
      <c r="N158" s="137">
        <f t="shared" si="40"/>
        <v>1.0900000000000001</v>
      </c>
      <c r="O158" s="137">
        <f t="shared" si="40"/>
        <v>1.0900000000000001</v>
      </c>
      <c r="P158" s="137">
        <f t="shared" si="40"/>
        <v>1.0900000000000001</v>
      </c>
      <c r="Q158" s="137">
        <f t="shared" si="40"/>
        <v>1.0900000000000001</v>
      </c>
      <c r="R158" s="137">
        <f t="shared" si="40"/>
        <v>1.0900000000000001</v>
      </c>
      <c r="S158" s="137">
        <f t="shared" si="41"/>
        <v>1.0900000000000001</v>
      </c>
      <c r="T158" s="137">
        <f t="shared" si="41"/>
        <v>1.0900000000000001</v>
      </c>
      <c r="U158" s="137">
        <f t="shared" si="41"/>
        <v>1.0900000000000001</v>
      </c>
      <c r="V158" s="137">
        <f t="shared" si="41"/>
        <v>1.0900000000000001</v>
      </c>
      <c r="W158" s="137">
        <f t="shared" si="41"/>
        <v>1.0900000000000001</v>
      </c>
      <c r="X158" s="137">
        <f t="shared" si="41"/>
        <v>1.0900000000000001</v>
      </c>
      <c r="Y158" s="137">
        <f t="shared" si="41"/>
        <v>1.0900000000000001</v>
      </c>
      <c r="Z158" s="137">
        <f t="shared" si="41"/>
        <v>1.0900000000000001</v>
      </c>
      <c r="AA158" s="137">
        <f t="shared" si="41"/>
        <v>1.0900000000000001</v>
      </c>
      <c r="AB158" s="137">
        <f t="shared" si="41"/>
        <v>1.0900000000000001</v>
      </c>
      <c r="AC158" s="137">
        <f t="shared" si="41"/>
        <v>1.0900000000000001</v>
      </c>
      <c r="AD158" s="137">
        <f t="shared" si="41"/>
        <v>1.0900000000000001</v>
      </c>
      <c r="AE158" s="137">
        <f t="shared" si="41"/>
        <v>1.0900000000000001</v>
      </c>
      <c r="AF158" s="137">
        <f t="shared" si="41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40"/>
        <v>1.58</v>
      </c>
      <c r="D159" s="137">
        <f t="shared" si="40"/>
        <v>1.58</v>
      </c>
      <c r="E159" s="137">
        <f t="shared" si="40"/>
        <v>1.58</v>
      </c>
      <c r="F159" s="137">
        <f t="shared" si="40"/>
        <v>1.58</v>
      </c>
      <c r="G159" s="137">
        <f t="shared" si="40"/>
        <v>1.58</v>
      </c>
      <c r="H159" s="137">
        <f t="shared" si="40"/>
        <v>1.58</v>
      </c>
      <c r="I159" s="137">
        <f t="shared" si="40"/>
        <v>1.58</v>
      </c>
      <c r="J159" s="137">
        <f t="shared" si="40"/>
        <v>1.58</v>
      </c>
      <c r="K159" s="137">
        <f t="shared" si="40"/>
        <v>1.58</v>
      </c>
      <c r="L159" s="137">
        <f t="shared" si="40"/>
        <v>1.58</v>
      </c>
      <c r="M159" s="137">
        <f t="shared" si="40"/>
        <v>1.58</v>
      </c>
      <c r="N159" s="137">
        <f t="shared" si="40"/>
        <v>1.58</v>
      </c>
      <c r="O159" s="137">
        <f t="shared" si="40"/>
        <v>1.58</v>
      </c>
      <c r="P159" s="137">
        <f t="shared" si="40"/>
        <v>1.58</v>
      </c>
      <c r="Q159" s="137">
        <f t="shared" si="40"/>
        <v>1.58</v>
      </c>
      <c r="R159" s="137">
        <f t="shared" si="40"/>
        <v>1.58</v>
      </c>
      <c r="S159" s="137">
        <f t="shared" si="41"/>
        <v>1.58</v>
      </c>
      <c r="T159" s="137">
        <f t="shared" si="41"/>
        <v>1.58</v>
      </c>
      <c r="U159" s="137">
        <f t="shared" si="41"/>
        <v>1.58</v>
      </c>
      <c r="V159" s="137">
        <f t="shared" si="41"/>
        <v>1.58</v>
      </c>
      <c r="W159" s="137">
        <f t="shared" si="41"/>
        <v>1.58</v>
      </c>
      <c r="X159" s="137">
        <f t="shared" si="41"/>
        <v>1.58</v>
      </c>
      <c r="Y159" s="137">
        <f t="shared" si="41"/>
        <v>1.58</v>
      </c>
      <c r="Z159" s="137">
        <f t="shared" si="41"/>
        <v>1.58</v>
      </c>
      <c r="AA159" s="137">
        <f t="shared" si="41"/>
        <v>1.58</v>
      </c>
      <c r="AB159" s="137">
        <f t="shared" si="41"/>
        <v>1.58</v>
      </c>
      <c r="AC159" s="137">
        <f t="shared" si="41"/>
        <v>1.58</v>
      </c>
      <c r="AD159" s="137">
        <f t="shared" si="41"/>
        <v>1.58</v>
      </c>
      <c r="AE159" s="137">
        <f t="shared" si="41"/>
        <v>1.58</v>
      </c>
      <c r="AF159" s="137">
        <f t="shared" si="41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40"/>
        <v>2</v>
      </c>
      <c r="D160" s="137">
        <f t="shared" si="40"/>
        <v>2</v>
      </c>
      <c r="E160" s="137">
        <f t="shared" si="40"/>
        <v>2</v>
      </c>
      <c r="F160" s="137">
        <f t="shared" si="40"/>
        <v>2</v>
      </c>
      <c r="G160" s="137">
        <f t="shared" si="40"/>
        <v>2</v>
      </c>
      <c r="H160" s="137">
        <f t="shared" si="40"/>
        <v>2</v>
      </c>
      <c r="I160" s="137">
        <f t="shared" si="40"/>
        <v>2</v>
      </c>
      <c r="J160" s="137">
        <f t="shared" si="40"/>
        <v>2</v>
      </c>
      <c r="K160" s="137">
        <f t="shared" si="40"/>
        <v>2</v>
      </c>
      <c r="L160" s="137">
        <f t="shared" si="40"/>
        <v>2</v>
      </c>
      <c r="M160" s="137">
        <f t="shared" si="40"/>
        <v>2</v>
      </c>
      <c r="N160" s="137">
        <f t="shared" si="40"/>
        <v>2</v>
      </c>
      <c r="O160" s="137">
        <f t="shared" si="40"/>
        <v>2</v>
      </c>
      <c r="P160" s="137">
        <f t="shared" si="40"/>
        <v>2</v>
      </c>
      <c r="Q160" s="137">
        <f t="shared" si="40"/>
        <v>2</v>
      </c>
      <c r="R160" s="137">
        <f t="shared" si="40"/>
        <v>2</v>
      </c>
      <c r="S160" s="137">
        <f t="shared" si="41"/>
        <v>2</v>
      </c>
      <c r="T160" s="137">
        <f t="shared" si="41"/>
        <v>2</v>
      </c>
      <c r="U160" s="137">
        <f t="shared" si="41"/>
        <v>2</v>
      </c>
      <c r="V160" s="137">
        <f t="shared" si="41"/>
        <v>2</v>
      </c>
      <c r="W160" s="137">
        <f t="shared" si="41"/>
        <v>2</v>
      </c>
      <c r="X160" s="137">
        <f t="shared" si="41"/>
        <v>2</v>
      </c>
      <c r="Y160" s="137">
        <f t="shared" si="41"/>
        <v>2</v>
      </c>
      <c r="Z160" s="137">
        <f t="shared" si="41"/>
        <v>2</v>
      </c>
      <c r="AA160" s="137">
        <f t="shared" si="41"/>
        <v>2</v>
      </c>
      <c r="AB160" s="137">
        <f t="shared" si="41"/>
        <v>2</v>
      </c>
      <c r="AC160" s="137">
        <f t="shared" si="41"/>
        <v>2</v>
      </c>
      <c r="AD160" s="137">
        <f t="shared" si="41"/>
        <v>2</v>
      </c>
      <c r="AE160" s="137">
        <f t="shared" si="41"/>
        <v>2</v>
      </c>
      <c r="AF160" s="137">
        <f t="shared" si="41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40"/>
        <v>0.47</v>
      </c>
      <c r="D161" s="137">
        <f t="shared" si="40"/>
        <v>0.47</v>
      </c>
      <c r="E161" s="137">
        <f t="shared" si="40"/>
        <v>0.47</v>
      </c>
      <c r="F161" s="137">
        <f t="shared" si="40"/>
        <v>0.47</v>
      </c>
      <c r="G161" s="137">
        <f t="shared" si="40"/>
        <v>0.47</v>
      </c>
      <c r="H161" s="137">
        <f t="shared" si="40"/>
        <v>0.47</v>
      </c>
      <c r="I161" s="137">
        <f t="shared" si="40"/>
        <v>0.47</v>
      </c>
      <c r="J161" s="137">
        <f t="shared" si="40"/>
        <v>0.47</v>
      </c>
      <c r="K161" s="137">
        <f t="shared" si="40"/>
        <v>0.47</v>
      </c>
      <c r="L161" s="137">
        <f t="shared" si="40"/>
        <v>0.47</v>
      </c>
      <c r="M161" s="137">
        <f t="shared" si="40"/>
        <v>0.47</v>
      </c>
      <c r="N161" s="137">
        <f t="shared" si="40"/>
        <v>0.47</v>
      </c>
      <c r="O161" s="137">
        <f t="shared" si="40"/>
        <v>0.47</v>
      </c>
      <c r="P161" s="137">
        <f t="shared" si="40"/>
        <v>0.47</v>
      </c>
      <c r="Q161" s="137">
        <f t="shared" si="40"/>
        <v>0.47</v>
      </c>
      <c r="R161" s="137">
        <f t="shared" si="40"/>
        <v>0.47</v>
      </c>
      <c r="S161" s="137">
        <f t="shared" si="41"/>
        <v>0.47</v>
      </c>
      <c r="T161" s="137">
        <f t="shared" si="41"/>
        <v>0.47</v>
      </c>
      <c r="U161" s="137">
        <f t="shared" si="41"/>
        <v>0.47</v>
      </c>
      <c r="V161" s="137">
        <f t="shared" si="41"/>
        <v>0.47</v>
      </c>
      <c r="W161" s="137">
        <f t="shared" si="41"/>
        <v>0.47</v>
      </c>
      <c r="X161" s="137">
        <f t="shared" si="41"/>
        <v>0.47</v>
      </c>
      <c r="Y161" s="137">
        <f t="shared" si="41"/>
        <v>0.47</v>
      </c>
      <c r="Z161" s="137">
        <f t="shared" si="41"/>
        <v>0.47</v>
      </c>
      <c r="AA161" s="137">
        <f t="shared" si="41"/>
        <v>0.47</v>
      </c>
      <c r="AB161" s="137">
        <f t="shared" si="41"/>
        <v>0.47</v>
      </c>
      <c r="AC161" s="137">
        <f t="shared" si="41"/>
        <v>0.47</v>
      </c>
      <c r="AD161" s="137">
        <f t="shared" si="41"/>
        <v>0.47</v>
      </c>
      <c r="AE161" s="137">
        <f t="shared" si="41"/>
        <v>0.47</v>
      </c>
      <c r="AF161" s="137">
        <f t="shared" si="41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40"/>
        <v>0</v>
      </c>
      <c r="D162" s="137">
        <f t="shared" si="40"/>
        <v>0</v>
      </c>
      <c r="E162" s="137">
        <f t="shared" si="40"/>
        <v>0</v>
      </c>
      <c r="F162" s="137">
        <f t="shared" si="40"/>
        <v>0</v>
      </c>
      <c r="G162" s="137">
        <f t="shared" si="40"/>
        <v>0</v>
      </c>
      <c r="H162" s="137">
        <f t="shared" si="40"/>
        <v>0</v>
      </c>
      <c r="I162" s="137">
        <f t="shared" si="40"/>
        <v>0</v>
      </c>
      <c r="J162" s="137">
        <f t="shared" si="40"/>
        <v>0</v>
      </c>
      <c r="K162" s="137">
        <f t="shared" si="40"/>
        <v>0</v>
      </c>
      <c r="L162" s="137">
        <f t="shared" si="40"/>
        <v>0</v>
      </c>
      <c r="M162" s="137">
        <f t="shared" si="40"/>
        <v>0</v>
      </c>
      <c r="N162" s="137">
        <f t="shared" si="40"/>
        <v>0</v>
      </c>
      <c r="O162" s="137">
        <f t="shared" si="40"/>
        <v>0</v>
      </c>
      <c r="P162" s="137">
        <f t="shared" si="40"/>
        <v>0</v>
      </c>
      <c r="Q162" s="137">
        <f t="shared" si="40"/>
        <v>0</v>
      </c>
      <c r="R162" s="137">
        <f t="shared" si="40"/>
        <v>0</v>
      </c>
      <c r="S162" s="137">
        <f t="shared" si="41"/>
        <v>0</v>
      </c>
      <c r="T162" s="137">
        <f t="shared" si="41"/>
        <v>0</v>
      </c>
      <c r="U162" s="137">
        <f t="shared" si="41"/>
        <v>0</v>
      </c>
      <c r="V162" s="137">
        <f t="shared" si="41"/>
        <v>0</v>
      </c>
      <c r="W162" s="137">
        <f t="shared" si="41"/>
        <v>0</v>
      </c>
      <c r="X162" s="137">
        <f t="shared" si="41"/>
        <v>0</v>
      </c>
      <c r="Y162" s="137">
        <f t="shared" si="41"/>
        <v>0</v>
      </c>
      <c r="Z162" s="137">
        <f t="shared" si="41"/>
        <v>0</v>
      </c>
      <c r="AA162" s="137">
        <f t="shared" si="41"/>
        <v>0</v>
      </c>
      <c r="AB162" s="137">
        <f t="shared" si="41"/>
        <v>0</v>
      </c>
      <c r="AC162" s="137">
        <f t="shared" si="41"/>
        <v>0</v>
      </c>
      <c r="AD162" s="137">
        <f t="shared" si="41"/>
        <v>0</v>
      </c>
      <c r="AE162" s="137">
        <f t="shared" si="41"/>
        <v>0</v>
      </c>
      <c r="AF162" s="137">
        <f t="shared" si="41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40"/>
        <v>0</v>
      </c>
      <c r="D163" s="137">
        <f t="shared" si="40"/>
        <v>0</v>
      </c>
      <c r="E163" s="137">
        <f t="shared" si="40"/>
        <v>0</v>
      </c>
      <c r="F163" s="137">
        <f t="shared" si="40"/>
        <v>0</v>
      </c>
      <c r="G163" s="137">
        <f t="shared" si="40"/>
        <v>0</v>
      </c>
      <c r="H163" s="137">
        <f t="shared" si="40"/>
        <v>0</v>
      </c>
      <c r="I163" s="137">
        <f t="shared" si="40"/>
        <v>0</v>
      </c>
      <c r="J163" s="137">
        <f t="shared" si="40"/>
        <v>0</v>
      </c>
      <c r="K163" s="137">
        <f t="shared" si="40"/>
        <v>0</v>
      </c>
      <c r="L163" s="137">
        <f t="shared" si="40"/>
        <v>0</v>
      </c>
      <c r="M163" s="137">
        <f t="shared" si="40"/>
        <v>0</v>
      </c>
      <c r="N163" s="137">
        <f t="shared" si="40"/>
        <v>0</v>
      </c>
      <c r="O163" s="137">
        <f t="shared" si="40"/>
        <v>0</v>
      </c>
      <c r="P163" s="137">
        <f t="shared" si="40"/>
        <v>0</v>
      </c>
      <c r="Q163" s="137">
        <f t="shared" si="40"/>
        <v>0</v>
      </c>
      <c r="R163" s="137">
        <f t="shared" si="41"/>
        <v>0</v>
      </c>
      <c r="S163" s="137">
        <f t="shared" si="41"/>
        <v>0</v>
      </c>
      <c r="T163" s="137">
        <f t="shared" si="41"/>
        <v>0</v>
      </c>
      <c r="U163" s="137">
        <f t="shared" si="41"/>
        <v>0</v>
      </c>
      <c r="V163" s="137">
        <f t="shared" si="41"/>
        <v>0</v>
      </c>
      <c r="W163" s="137">
        <f t="shared" si="41"/>
        <v>0</v>
      </c>
      <c r="X163" s="137">
        <f t="shared" si="41"/>
        <v>0</v>
      </c>
      <c r="Y163" s="137">
        <f t="shared" si="41"/>
        <v>0</v>
      </c>
      <c r="Z163" s="137">
        <f t="shared" si="41"/>
        <v>0</v>
      </c>
      <c r="AA163" s="137">
        <f t="shared" si="41"/>
        <v>0</v>
      </c>
      <c r="AB163" s="137">
        <f t="shared" si="41"/>
        <v>0</v>
      </c>
      <c r="AC163" s="137">
        <f t="shared" si="41"/>
        <v>0</v>
      </c>
      <c r="AD163" s="137">
        <f t="shared" si="41"/>
        <v>0</v>
      </c>
      <c r="AE163" s="137">
        <f t="shared" si="41"/>
        <v>0</v>
      </c>
      <c r="AF163" s="137">
        <f t="shared" si="41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40"/>
        <v>0.8</v>
      </c>
      <c r="D164" s="137">
        <f t="shared" si="40"/>
        <v>0.8</v>
      </c>
      <c r="E164" s="137">
        <f t="shared" si="40"/>
        <v>0.8</v>
      </c>
      <c r="F164" s="137">
        <f t="shared" si="40"/>
        <v>0.8</v>
      </c>
      <c r="G164" s="137">
        <f t="shared" si="40"/>
        <v>0.8</v>
      </c>
      <c r="H164" s="137">
        <f t="shared" si="40"/>
        <v>0.8</v>
      </c>
      <c r="I164" s="137">
        <f t="shared" si="40"/>
        <v>0.8</v>
      </c>
      <c r="J164" s="137">
        <f t="shared" si="40"/>
        <v>0.8</v>
      </c>
      <c r="K164" s="137">
        <f t="shared" si="40"/>
        <v>0.8</v>
      </c>
      <c r="L164" s="137">
        <f t="shared" si="40"/>
        <v>0.8</v>
      </c>
      <c r="M164" s="137">
        <f t="shared" si="40"/>
        <v>0.8</v>
      </c>
      <c r="N164" s="137">
        <f t="shared" si="40"/>
        <v>0.8</v>
      </c>
      <c r="O164" s="137">
        <f t="shared" si="40"/>
        <v>0.8</v>
      </c>
      <c r="P164" s="137">
        <f t="shared" si="40"/>
        <v>0.8</v>
      </c>
      <c r="Q164" s="137">
        <f t="shared" si="40"/>
        <v>0.8</v>
      </c>
      <c r="R164" s="137">
        <f t="shared" si="41"/>
        <v>0.8</v>
      </c>
      <c r="S164" s="137">
        <f t="shared" si="41"/>
        <v>0.8</v>
      </c>
      <c r="T164" s="137">
        <f t="shared" si="41"/>
        <v>0.8</v>
      </c>
      <c r="U164" s="137">
        <f t="shared" si="41"/>
        <v>0.8</v>
      </c>
      <c r="V164" s="137">
        <f t="shared" si="41"/>
        <v>0.8</v>
      </c>
      <c r="W164" s="137">
        <f t="shared" si="41"/>
        <v>0.8</v>
      </c>
      <c r="X164" s="137">
        <f t="shared" si="41"/>
        <v>0.8</v>
      </c>
      <c r="Y164" s="137">
        <f t="shared" si="41"/>
        <v>0.8</v>
      </c>
      <c r="Z164" s="137">
        <f t="shared" si="41"/>
        <v>0.8</v>
      </c>
      <c r="AA164" s="137">
        <f t="shared" si="41"/>
        <v>0.8</v>
      </c>
      <c r="AB164" s="137">
        <f t="shared" si="41"/>
        <v>0.8</v>
      </c>
      <c r="AC164" s="137">
        <f t="shared" si="41"/>
        <v>0.8</v>
      </c>
      <c r="AD164" s="137">
        <f t="shared" si="41"/>
        <v>0.8</v>
      </c>
      <c r="AE164" s="137">
        <f t="shared" si="41"/>
        <v>0.8</v>
      </c>
      <c r="AF164" s="137">
        <f t="shared" si="41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40"/>
        <v>1.5</v>
      </c>
      <c r="D165" s="137">
        <f t="shared" si="40"/>
        <v>1.5</v>
      </c>
      <c r="E165" s="137">
        <f t="shared" si="40"/>
        <v>1.5</v>
      </c>
      <c r="F165" s="137">
        <f t="shared" si="40"/>
        <v>1.5</v>
      </c>
      <c r="G165" s="137">
        <f t="shared" si="40"/>
        <v>1.5</v>
      </c>
      <c r="H165" s="137">
        <f t="shared" si="40"/>
        <v>1.5</v>
      </c>
      <c r="I165" s="137">
        <f t="shared" si="40"/>
        <v>1.5</v>
      </c>
      <c r="J165" s="137">
        <f t="shared" si="40"/>
        <v>1.5</v>
      </c>
      <c r="K165" s="137">
        <f t="shared" si="40"/>
        <v>1.5</v>
      </c>
      <c r="L165" s="137">
        <f t="shared" si="40"/>
        <v>1.5</v>
      </c>
      <c r="M165" s="137">
        <f t="shared" si="40"/>
        <v>1.5</v>
      </c>
      <c r="N165" s="137">
        <f t="shared" si="40"/>
        <v>1.5</v>
      </c>
      <c r="O165" s="137">
        <f t="shared" si="40"/>
        <v>1.5</v>
      </c>
      <c r="P165" s="137">
        <f t="shared" si="40"/>
        <v>1.5</v>
      </c>
      <c r="Q165" s="137">
        <f t="shared" si="40"/>
        <v>1.5</v>
      </c>
      <c r="R165" s="137">
        <f t="shared" si="41"/>
        <v>1.5</v>
      </c>
      <c r="S165" s="137">
        <f t="shared" si="41"/>
        <v>1.5</v>
      </c>
      <c r="T165" s="137">
        <f t="shared" si="41"/>
        <v>1.5</v>
      </c>
      <c r="U165" s="137">
        <f t="shared" si="41"/>
        <v>1.5</v>
      </c>
      <c r="V165" s="137">
        <f t="shared" si="41"/>
        <v>1.5</v>
      </c>
      <c r="W165" s="137">
        <f t="shared" si="41"/>
        <v>1.5</v>
      </c>
      <c r="X165" s="137">
        <f t="shared" si="41"/>
        <v>1.5</v>
      </c>
      <c r="Y165" s="137">
        <f t="shared" si="41"/>
        <v>1.5</v>
      </c>
      <c r="Z165" s="137">
        <f t="shared" si="41"/>
        <v>1.5</v>
      </c>
      <c r="AA165" s="137">
        <f t="shared" si="41"/>
        <v>1.5</v>
      </c>
      <c r="AB165" s="137">
        <f t="shared" si="41"/>
        <v>1.5</v>
      </c>
      <c r="AC165" s="137">
        <f t="shared" si="41"/>
        <v>1.5</v>
      </c>
      <c r="AD165" s="137">
        <f t="shared" si="41"/>
        <v>1.5</v>
      </c>
      <c r="AE165" s="137">
        <f t="shared" si="41"/>
        <v>1.5</v>
      </c>
      <c r="AF165" s="137">
        <f t="shared" si="41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40"/>
        <v>1</v>
      </c>
      <c r="D166" s="137">
        <f t="shared" si="40"/>
        <v>1</v>
      </c>
      <c r="E166" s="137">
        <f t="shared" si="40"/>
        <v>1</v>
      </c>
      <c r="F166" s="137">
        <f t="shared" si="40"/>
        <v>1</v>
      </c>
      <c r="G166" s="137">
        <f t="shared" si="40"/>
        <v>1</v>
      </c>
      <c r="H166" s="137">
        <f t="shared" si="40"/>
        <v>1</v>
      </c>
      <c r="I166" s="137">
        <f t="shared" si="40"/>
        <v>1</v>
      </c>
      <c r="J166" s="137">
        <f t="shared" si="40"/>
        <v>1</v>
      </c>
      <c r="K166" s="137">
        <f t="shared" si="40"/>
        <v>1</v>
      </c>
      <c r="L166" s="137">
        <f t="shared" si="40"/>
        <v>1</v>
      </c>
      <c r="M166" s="137">
        <f t="shared" si="40"/>
        <v>1</v>
      </c>
      <c r="N166" s="137">
        <f t="shared" si="40"/>
        <v>1</v>
      </c>
      <c r="O166" s="137">
        <f t="shared" si="40"/>
        <v>1</v>
      </c>
      <c r="P166" s="137">
        <f t="shared" si="40"/>
        <v>1</v>
      </c>
      <c r="Q166" s="137">
        <f t="shared" si="40"/>
        <v>1</v>
      </c>
      <c r="R166" s="137">
        <f t="shared" si="41"/>
        <v>1</v>
      </c>
      <c r="S166" s="137">
        <f t="shared" si="41"/>
        <v>1</v>
      </c>
      <c r="T166" s="137">
        <f t="shared" si="41"/>
        <v>1</v>
      </c>
      <c r="U166" s="137">
        <f t="shared" si="41"/>
        <v>1</v>
      </c>
      <c r="V166" s="137">
        <f t="shared" si="41"/>
        <v>1</v>
      </c>
      <c r="W166" s="137">
        <f t="shared" si="41"/>
        <v>1</v>
      </c>
      <c r="X166" s="137">
        <f t="shared" si="41"/>
        <v>1</v>
      </c>
      <c r="Y166" s="137">
        <f t="shared" si="41"/>
        <v>1</v>
      </c>
      <c r="Z166" s="137">
        <f t="shared" si="41"/>
        <v>1</v>
      </c>
      <c r="AA166" s="137">
        <f t="shared" si="41"/>
        <v>1</v>
      </c>
      <c r="AB166" s="137">
        <f t="shared" si="41"/>
        <v>1</v>
      </c>
      <c r="AC166" s="137">
        <f t="shared" si="41"/>
        <v>1</v>
      </c>
      <c r="AD166" s="137">
        <f t="shared" si="41"/>
        <v>1</v>
      </c>
      <c r="AE166" s="137">
        <f t="shared" si="41"/>
        <v>1</v>
      </c>
      <c r="AF166" s="137">
        <f t="shared" si="41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2">B168</f>
        <v>1</v>
      </c>
      <c r="D168" s="137">
        <f t="shared" si="42"/>
        <v>1</v>
      </c>
      <c r="E168" s="137">
        <f t="shared" si="42"/>
        <v>1</v>
      </c>
      <c r="F168" s="137">
        <f t="shared" si="42"/>
        <v>1</v>
      </c>
      <c r="G168" s="137">
        <f t="shared" si="42"/>
        <v>1</v>
      </c>
      <c r="H168" s="137">
        <f t="shared" si="42"/>
        <v>1</v>
      </c>
      <c r="I168" s="137">
        <f t="shared" si="42"/>
        <v>1</v>
      </c>
      <c r="J168" s="137">
        <f t="shared" si="42"/>
        <v>1</v>
      </c>
      <c r="K168" s="137">
        <f t="shared" si="42"/>
        <v>1</v>
      </c>
      <c r="L168" s="137">
        <f t="shared" si="42"/>
        <v>1</v>
      </c>
      <c r="M168" s="137">
        <f t="shared" si="42"/>
        <v>1</v>
      </c>
      <c r="N168" s="137">
        <f t="shared" si="42"/>
        <v>1</v>
      </c>
      <c r="O168" s="137">
        <f t="shared" si="42"/>
        <v>1</v>
      </c>
      <c r="P168" s="137">
        <f t="shared" si="42"/>
        <v>1</v>
      </c>
      <c r="Q168" s="137">
        <f t="shared" si="42"/>
        <v>1</v>
      </c>
      <c r="R168" s="137">
        <f t="shared" si="42"/>
        <v>1</v>
      </c>
      <c r="S168" s="137">
        <f t="shared" ref="R168:AF175" si="43">R168</f>
        <v>1</v>
      </c>
      <c r="T168" s="137">
        <f t="shared" si="43"/>
        <v>1</v>
      </c>
      <c r="U168" s="137">
        <f t="shared" si="43"/>
        <v>1</v>
      </c>
      <c r="V168" s="137">
        <f t="shared" si="43"/>
        <v>1</v>
      </c>
      <c r="W168" s="137">
        <f t="shared" si="43"/>
        <v>1</v>
      </c>
      <c r="X168" s="137">
        <f t="shared" si="43"/>
        <v>1</v>
      </c>
      <c r="Y168" s="137">
        <f t="shared" si="43"/>
        <v>1</v>
      </c>
      <c r="Z168" s="137">
        <f t="shared" si="43"/>
        <v>1</v>
      </c>
      <c r="AA168" s="137">
        <f t="shared" si="43"/>
        <v>1</v>
      </c>
      <c r="AB168" s="137">
        <f t="shared" si="43"/>
        <v>1</v>
      </c>
      <c r="AC168" s="137">
        <f t="shared" si="43"/>
        <v>1</v>
      </c>
      <c r="AD168" s="137">
        <f t="shared" si="43"/>
        <v>1</v>
      </c>
      <c r="AE168" s="137">
        <f t="shared" si="43"/>
        <v>1</v>
      </c>
      <c r="AF168" s="137">
        <f t="shared" si="43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2"/>
        <v>0.42</v>
      </c>
      <c r="D169" s="137">
        <f t="shared" si="42"/>
        <v>0.42</v>
      </c>
      <c r="E169" s="137">
        <f t="shared" si="42"/>
        <v>0.42</v>
      </c>
      <c r="F169" s="137">
        <f t="shared" si="42"/>
        <v>0.42</v>
      </c>
      <c r="G169" s="137">
        <f t="shared" si="42"/>
        <v>0.42</v>
      </c>
      <c r="H169" s="137">
        <f t="shared" si="42"/>
        <v>0.42</v>
      </c>
      <c r="I169" s="137">
        <f t="shared" si="42"/>
        <v>0.42</v>
      </c>
      <c r="J169" s="137">
        <f t="shared" si="42"/>
        <v>0.42</v>
      </c>
      <c r="K169" s="137">
        <f t="shared" si="42"/>
        <v>0.42</v>
      </c>
      <c r="L169" s="137">
        <f t="shared" si="42"/>
        <v>0.42</v>
      </c>
      <c r="M169" s="137">
        <f t="shared" si="42"/>
        <v>0.42</v>
      </c>
      <c r="N169" s="137">
        <f t="shared" si="42"/>
        <v>0.42</v>
      </c>
      <c r="O169" s="137">
        <f t="shared" si="42"/>
        <v>0.42</v>
      </c>
      <c r="P169" s="137">
        <f t="shared" si="42"/>
        <v>0.42</v>
      </c>
      <c r="Q169" s="137">
        <f t="shared" si="42"/>
        <v>0.42</v>
      </c>
      <c r="R169" s="137">
        <f t="shared" si="43"/>
        <v>0.42</v>
      </c>
      <c r="S169" s="137">
        <f t="shared" si="43"/>
        <v>0.42</v>
      </c>
      <c r="T169" s="137">
        <f t="shared" si="43"/>
        <v>0.42</v>
      </c>
      <c r="U169" s="137">
        <f t="shared" si="43"/>
        <v>0.42</v>
      </c>
      <c r="V169" s="137">
        <f t="shared" si="43"/>
        <v>0.42</v>
      </c>
      <c r="W169" s="137">
        <f t="shared" si="43"/>
        <v>0.42</v>
      </c>
      <c r="X169" s="137">
        <f t="shared" si="43"/>
        <v>0.42</v>
      </c>
      <c r="Y169" s="137">
        <f t="shared" si="43"/>
        <v>0.42</v>
      </c>
      <c r="Z169" s="137">
        <f t="shared" si="43"/>
        <v>0.42</v>
      </c>
      <c r="AA169" s="137">
        <f t="shared" si="43"/>
        <v>0.42</v>
      </c>
      <c r="AB169" s="137">
        <f t="shared" si="43"/>
        <v>0.42</v>
      </c>
      <c r="AC169" s="137">
        <f t="shared" si="43"/>
        <v>0.42</v>
      </c>
      <c r="AD169" s="137">
        <f t="shared" si="43"/>
        <v>0.42</v>
      </c>
      <c r="AE169" s="137">
        <f t="shared" si="43"/>
        <v>0.42</v>
      </c>
      <c r="AF169" s="137">
        <f t="shared" si="43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2"/>
        <v>0.46</v>
      </c>
      <c r="D170" s="137">
        <f t="shared" si="42"/>
        <v>0.46</v>
      </c>
      <c r="E170" s="137">
        <f t="shared" si="42"/>
        <v>0.46</v>
      </c>
      <c r="F170" s="137">
        <f t="shared" si="42"/>
        <v>0.46</v>
      </c>
      <c r="G170" s="137">
        <f t="shared" si="42"/>
        <v>0.46</v>
      </c>
      <c r="H170" s="137">
        <f t="shared" si="42"/>
        <v>0.46</v>
      </c>
      <c r="I170" s="137">
        <f t="shared" si="42"/>
        <v>0.46</v>
      </c>
      <c r="J170" s="137">
        <f t="shared" si="42"/>
        <v>0.46</v>
      </c>
      <c r="K170" s="137">
        <f t="shared" si="42"/>
        <v>0.46</v>
      </c>
      <c r="L170" s="137">
        <f t="shared" si="42"/>
        <v>0.46</v>
      </c>
      <c r="M170" s="137">
        <f t="shared" si="42"/>
        <v>0.46</v>
      </c>
      <c r="N170" s="137">
        <f t="shared" si="42"/>
        <v>0.46</v>
      </c>
      <c r="O170" s="137">
        <f t="shared" si="42"/>
        <v>0.46</v>
      </c>
      <c r="P170" s="137">
        <f t="shared" si="42"/>
        <v>0.46</v>
      </c>
      <c r="Q170" s="137">
        <f t="shared" si="42"/>
        <v>0.46</v>
      </c>
      <c r="R170" s="137">
        <f t="shared" si="43"/>
        <v>0.46</v>
      </c>
      <c r="S170" s="137">
        <f t="shared" si="43"/>
        <v>0.46</v>
      </c>
      <c r="T170" s="137">
        <f t="shared" si="43"/>
        <v>0.46</v>
      </c>
      <c r="U170" s="137">
        <f t="shared" si="43"/>
        <v>0.46</v>
      </c>
      <c r="V170" s="137">
        <f t="shared" si="43"/>
        <v>0.46</v>
      </c>
      <c r="W170" s="137">
        <f t="shared" si="43"/>
        <v>0.46</v>
      </c>
      <c r="X170" s="137">
        <f t="shared" si="43"/>
        <v>0.46</v>
      </c>
      <c r="Y170" s="137">
        <f t="shared" si="43"/>
        <v>0.46</v>
      </c>
      <c r="Z170" s="137">
        <f t="shared" si="43"/>
        <v>0.46</v>
      </c>
      <c r="AA170" s="137">
        <f t="shared" si="43"/>
        <v>0.46</v>
      </c>
      <c r="AB170" s="137">
        <f t="shared" si="43"/>
        <v>0.46</v>
      </c>
      <c r="AC170" s="137">
        <f t="shared" si="43"/>
        <v>0.46</v>
      </c>
      <c r="AD170" s="137">
        <f t="shared" si="43"/>
        <v>0.46</v>
      </c>
      <c r="AE170" s="137">
        <f t="shared" si="43"/>
        <v>0.46</v>
      </c>
      <c r="AF170" s="137">
        <f t="shared" si="43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2"/>
        <v>0.85</v>
      </c>
      <c r="D171" s="137">
        <f t="shared" si="42"/>
        <v>0.85</v>
      </c>
      <c r="E171" s="137">
        <f t="shared" si="42"/>
        <v>0.85</v>
      </c>
      <c r="F171" s="137">
        <f t="shared" si="42"/>
        <v>0.85</v>
      </c>
      <c r="G171" s="137">
        <f t="shared" si="42"/>
        <v>0.85</v>
      </c>
      <c r="H171" s="137">
        <f t="shared" si="42"/>
        <v>0.85</v>
      </c>
      <c r="I171" s="137">
        <f t="shared" si="42"/>
        <v>0.85</v>
      </c>
      <c r="J171" s="137">
        <f t="shared" si="42"/>
        <v>0.85</v>
      </c>
      <c r="K171" s="137">
        <f t="shared" si="42"/>
        <v>0.85</v>
      </c>
      <c r="L171" s="137">
        <f t="shared" si="42"/>
        <v>0.85</v>
      </c>
      <c r="M171" s="137">
        <f t="shared" si="42"/>
        <v>0.85</v>
      </c>
      <c r="N171" s="137">
        <f t="shared" si="42"/>
        <v>0.85</v>
      </c>
      <c r="O171" s="137">
        <f t="shared" si="42"/>
        <v>0.85</v>
      </c>
      <c r="P171" s="137">
        <f t="shared" si="42"/>
        <v>0.85</v>
      </c>
      <c r="Q171" s="137">
        <f t="shared" si="42"/>
        <v>0.85</v>
      </c>
      <c r="R171" s="137">
        <f t="shared" si="43"/>
        <v>0.85</v>
      </c>
      <c r="S171" s="137">
        <f t="shared" si="43"/>
        <v>0.85</v>
      </c>
      <c r="T171" s="137">
        <f t="shared" si="43"/>
        <v>0.85</v>
      </c>
      <c r="U171" s="137">
        <f t="shared" si="43"/>
        <v>0.85</v>
      </c>
      <c r="V171" s="137">
        <f t="shared" si="43"/>
        <v>0.85</v>
      </c>
      <c r="W171" s="137">
        <f t="shared" si="43"/>
        <v>0.85</v>
      </c>
      <c r="X171" s="137">
        <f t="shared" si="43"/>
        <v>0.85</v>
      </c>
      <c r="Y171" s="137">
        <f t="shared" si="43"/>
        <v>0.85</v>
      </c>
      <c r="Z171" s="137">
        <f t="shared" si="43"/>
        <v>0.85</v>
      </c>
      <c r="AA171" s="137">
        <f t="shared" si="43"/>
        <v>0.85</v>
      </c>
      <c r="AB171" s="137">
        <f t="shared" si="43"/>
        <v>0.85</v>
      </c>
      <c r="AC171" s="137">
        <f t="shared" si="43"/>
        <v>0.85</v>
      </c>
      <c r="AD171" s="137">
        <f t="shared" si="43"/>
        <v>0.85</v>
      </c>
      <c r="AE171" s="137">
        <f t="shared" si="43"/>
        <v>0.85</v>
      </c>
      <c r="AF171" s="137">
        <f t="shared" si="43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2"/>
        <v>0.9</v>
      </c>
      <c r="D172" s="137">
        <f t="shared" si="42"/>
        <v>0.9</v>
      </c>
      <c r="E172" s="137">
        <f t="shared" si="42"/>
        <v>0.9</v>
      </c>
      <c r="F172" s="137">
        <f t="shared" si="42"/>
        <v>0.9</v>
      </c>
      <c r="G172" s="137">
        <f t="shared" si="42"/>
        <v>0.9</v>
      </c>
      <c r="H172" s="137">
        <f t="shared" si="42"/>
        <v>0.9</v>
      </c>
      <c r="I172" s="137">
        <f t="shared" si="42"/>
        <v>0.9</v>
      </c>
      <c r="J172" s="137">
        <f t="shared" si="42"/>
        <v>0.9</v>
      </c>
      <c r="K172" s="137">
        <f t="shared" si="42"/>
        <v>0.9</v>
      </c>
      <c r="L172" s="137">
        <f t="shared" si="42"/>
        <v>0.9</v>
      </c>
      <c r="M172" s="137">
        <f t="shared" si="42"/>
        <v>0.9</v>
      </c>
      <c r="N172" s="137">
        <f t="shared" si="42"/>
        <v>0.9</v>
      </c>
      <c r="O172" s="137">
        <f t="shared" si="42"/>
        <v>0.9</v>
      </c>
      <c r="P172" s="137">
        <f t="shared" si="42"/>
        <v>0.9</v>
      </c>
      <c r="Q172" s="137">
        <f t="shared" si="42"/>
        <v>0.9</v>
      </c>
      <c r="R172" s="137">
        <f t="shared" si="43"/>
        <v>0.9</v>
      </c>
      <c r="S172" s="137">
        <f t="shared" si="43"/>
        <v>0.9</v>
      </c>
      <c r="T172" s="137">
        <f t="shared" si="43"/>
        <v>0.9</v>
      </c>
      <c r="U172" s="137">
        <f t="shared" si="43"/>
        <v>0.9</v>
      </c>
      <c r="V172" s="137">
        <f t="shared" si="43"/>
        <v>0.9</v>
      </c>
      <c r="W172" s="137">
        <f t="shared" si="43"/>
        <v>0.9</v>
      </c>
      <c r="X172" s="137">
        <f t="shared" si="43"/>
        <v>0.9</v>
      </c>
      <c r="Y172" s="137">
        <f t="shared" si="43"/>
        <v>0.9</v>
      </c>
      <c r="Z172" s="137">
        <f t="shared" si="43"/>
        <v>0.9</v>
      </c>
      <c r="AA172" s="137">
        <f t="shared" si="43"/>
        <v>0.9</v>
      </c>
      <c r="AB172" s="137">
        <f t="shared" si="43"/>
        <v>0.9</v>
      </c>
      <c r="AC172" s="137">
        <f t="shared" si="43"/>
        <v>0.9</v>
      </c>
      <c r="AD172" s="137">
        <f t="shared" si="43"/>
        <v>0.9</v>
      </c>
      <c r="AE172" s="137">
        <f t="shared" si="43"/>
        <v>0.9</v>
      </c>
      <c r="AF172" s="137">
        <f t="shared" si="43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2"/>
        <v>0.44</v>
      </c>
      <c r="D173" s="137">
        <f t="shared" si="42"/>
        <v>0.44</v>
      </c>
      <c r="E173" s="137">
        <f t="shared" si="42"/>
        <v>0.44</v>
      </c>
      <c r="F173" s="137">
        <f t="shared" si="42"/>
        <v>0.44</v>
      </c>
      <c r="G173" s="137">
        <f t="shared" si="42"/>
        <v>0.44</v>
      </c>
      <c r="H173" s="137">
        <f t="shared" si="42"/>
        <v>0.44</v>
      </c>
      <c r="I173" s="137">
        <f t="shared" si="42"/>
        <v>0.44</v>
      </c>
      <c r="J173" s="137">
        <f t="shared" si="42"/>
        <v>0.44</v>
      </c>
      <c r="K173" s="137">
        <f t="shared" si="42"/>
        <v>0.44</v>
      </c>
      <c r="L173" s="137">
        <f t="shared" si="42"/>
        <v>0.44</v>
      </c>
      <c r="M173" s="137">
        <f t="shared" si="42"/>
        <v>0.44</v>
      </c>
      <c r="N173" s="137">
        <f t="shared" si="42"/>
        <v>0.44</v>
      </c>
      <c r="O173" s="137">
        <f t="shared" si="42"/>
        <v>0.44</v>
      </c>
      <c r="P173" s="137">
        <f t="shared" si="42"/>
        <v>0.44</v>
      </c>
      <c r="Q173" s="137">
        <f t="shared" si="42"/>
        <v>0.44</v>
      </c>
      <c r="R173" s="137">
        <f t="shared" si="43"/>
        <v>0.44</v>
      </c>
      <c r="S173" s="137">
        <f t="shared" si="43"/>
        <v>0.44</v>
      </c>
      <c r="T173" s="137">
        <f t="shared" si="43"/>
        <v>0.44</v>
      </c>
      <c r="U173" s="137">
        <f t="shared" si="43"/>
        <v>0.44</v>
      </c>
      <c r="V173" s="137">
        <f t="shared" si="43"/>
        <v>0.44</v>
      </c>
      <c r="W173" s="137">
        <f t="shared" si="43"/>
        <v>0.44</v>
      </c>
      <c r="X173" s="137">
        <f t="shared" si="43"/>
        <v>0.44</v>
      </c>
      <c r="Y173" s="137">
        <f t="shared" si="43"/>
        <v>0.44</v>
      </c>
      <c r="Z173" s="137">
        <f t="shared" si="43"/>
        <v>0.44</v>
      </c>
      <c r="AA173" s="137">
        <f t="shared" si="43"/>
        <v>0.44</v>
      </c>
      <c r="AB173" s="137">
        <f t="shared" si="43"/>
        <v>0.44</v>
      </c>
      <c r="AC173" s="137">
        <f t="shared" si="43"/>
        <v>0.44</v>
      </c>
      <c r="AD173" s="137">
        <f t="shared" si="43"/>
        <v>0.44</v>
      </c>
      <c r="AE173" s="137">
        <f t="shared" si="43"/>
        <v>0.44</v>
      </c>
      <c r="AF173" s="137">
        <f t="shared" si="43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2"/>
        <v>2.1</v>
      </c>
      <c r="D174" s="137">
        <f t="shared" si="42"/>
        <v>2.1</v>
      </c>
      <c r="E174" s="137">
        <f t="shared" si="42"/>
        <v>2.1</v>
      </c>
      <c r="F174" s="137">
        <f t="shared" si="42"/>
        <v>2.1</v>
      </c>
      <c r="G174" s="137">
        <f t="shared" si="42"/>
        <v>2.1</v>
      </c>
      <c r="H174" s="137">
        <f t="shared" si="42"/>
        <v>2.1</v>
      </c>
      <c r="I174" s="137">
        <f t="shared" si="42"/>
        <v>2.1</v>
      </c>
      <c r="J174" s="137">
        <f t="shared" si="42"/>
        <v>2.1</v>
      </c>
      <c r="K174" s="137">
        <f t="shared" si="42"/>
        <v>2.1</v>
      </c>
      <c r="L174" s="137">
        <f t="shared" si="42"/>
        <v>2.1</v>
      </c>
      <c r="M174" s="137">
        <f t="shared" si="42"/>
        <v>2.1</v>
      </c>
      <c r="N174" s="137">
        <f t="shared" si="42"/>
        <v>2.1</v>
      </c>
      <c r="O174" s="137">
        <f t="shared" si="42"/>
        <v>2.1</v>
      </c>
      <c r="P174" s="137">
        <f t="shared" si="42"/>
        <v>2.1</v>
      </c>
      <c r="Q174" s="137">
        <f t="shared" si="42"/>
        <v>2.1</v>
      </c>
      <c r="R174" s="137">
        <f t="shared" si="43"/>
        <v>2.1</v>
      </c>
      <c r="S174" s="137">
        <f t="shared" si="43"/>
        <v>2.1</v>
      </c>
      <c r="T174" s="137">
        <f t="shared" si="43"/>
        <v>2.1</v>
      </c>
      <c r="U174" s="137">
        <f t="shared" si="43"/>
        <v>2.1</v>
      </c>
      <c r="V174" s="137">
        <f t="shared" si="43"/>
        <v>2.1</v>
      </c>
      <c r="W174" s="137">
        <f t="shared" si="43"/>
        <v>2.1</v>
      </c>
      <c r="X174" s="137">
        <f t="shared" si="43"/>
        <v>2.1</v>
      </c>
      <c r="Y174" s="137">
        <f t="shared" si="43"/>
        <v>2.1</v>
      </c>
      <c r="Z174" s="137">
        <f t="shared" si="43"/>
        <v>2.1</v>
      </c>
      <c r="AA174" s="137">
        <f t="shared" si="43"/>
        <v>2.1</v>
      </c>
      <c r="AB174" s="137">
        <f t="shared" si="43"/>
        <v>2.1</v>
      </c>
      <c r="AC174" s="137">
        <f t="shared" si="43"/>
        <v>2.1</v>
      </c>
      <c r="AD174" s="137">
        <f t="shared" si="43"/>
        <v>2.1</v>
      </c>
      <c r="AE174" s="137">
        <f t="shared" si="43"/>
        <v>2.1</v>
      </c>
      <c r="AF174" s="137">
        <f t="shared" si="43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2"/>
        <v>0.9</v>
      </c>
      <c r="D175" s="137">
        <f t="shared" si="42"/>
        <v>0.9</v>
      </c>
      <c r="E175" s="137">
        <f t="shared" si="42"/>
        <v>0.9</v>
      </c>
      <c r="F175" s="137">
        <f t="shared" si="42"/>
        <v>0.9</v>
      </c>
      <c r="G175" s="137">
        <f t="shared" si="42"/>
        <v>0.9</v>
      </c>
      <c r="H175" s="137">
        <f t="shared" si="42"/>
        <v>0.9</v>
      </c>
      <c r="I175" s="137">
        <f t="shared" si="42"/>
        <v>0.9</v>
      </c>
      <c r="J175" s="137">
        <f t="shared" si="42"/>
        <v>0.9</v>
      </c>
      <c r="K175" s="137">
        <f t="shared" si="42"/>
        <v>0.9</v>
      </c>
      <c r="L175" s="137">
        <f t="shared" si="42"/>
        <v>0.9</v>
      </c>
      <c r="M175" s="137">
        <f t="shared" si="42"/>
        <v>0.9</v>
      </c>
      <c r="N175" s="137">
        <f t="shared" si="42"/>
        <v>0.9</v>
      </c>
      <c r="O175" s="137">
        <f t="shared" si="42"/>
        <v>0.9</v>
      </c>
      <c r="P175" s="137">
        <f t="shared" si="42"/>
        <v>0.9</v>
      </c>
      <c r="Q175" s="137">
        <f t="shared" si="42"/>
        <v>0.9</v>
      </c>
      <c r="R175" s="137">
        <f t="shared" si="43"/>
        <v>0.9</v>
      </c>
      <c r="S175" s="137">
        <f t="shared" si="43"/>
        <v>0.9</v>
      </c>
      <c r="T175" s="137">
        <f t="shared" si="43"/>
        <v>0.9</v>
      </c>
      <c r="U175" s="137">
        <f t="shared" si="43"/>
        <v>0.9</v>
      </c>
      <c r="V175" s="137">
        <f t="shared" si="43"/>
        <v>0.9</v>
      </c>
      <c r="W175" s="137">
        <f t="shared" si="43"/>
        <v>0.9</v>
      </c>
      <c r="X175" s="137">
        <f t="shared" si="43"/>
        <v>0.9</v>
      </c>
      <c r="Y175" s="137">
        <f t="shared" si="43"/>
        <v>0.9</v>
      </c>
      <c r="Z175" s="137">
        <f t="shared" si="43"/>
        <v>0.9</v>
      </c>
      <c r="AA175" s="137">
        <f t="shared" si="43"/>
        <v>0.9</v>
      </c>
      <c r="AB175" s="137">
        <f t="shared" si="43"/>
        <v>0.9</v>
      </c>
      <c r="AC175" s="137">
        <f t="shared" si="43"/>
        <v>0.9</v>
      </c>
      <c r="AD175" s="137">
        <f t="shared" si="43"/>
        <v>0.9</v>
      </c>
      <c r="AE175" s="137">
        <f t="shared" si="43"/>
        <v>0.9</v>
      </c>
      <c r="AF175" s="137">
        <f t="shared" si="43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4">B177</f>
        <v>0.57999999999999996</v>
      </c>
      <c r="D177" s="137">
        <f t="shared" si="44"/>
        <v>0.57999999999999996</v>
      </c>
      <c r="E177" s="137">
        <f t="shared" si="44"/>
        <v>0.57999999999999996</v>
      </c>
      <c r="F177" s="137">
        <f t="shared" si="44"/>
        <v>0.57999999999999996</v>
      </c>
      <c r="G177" s="137">
        <f t="shared" si="44"/>
        <v>0.57999999999999996</v>
      </c>
      <c r="H177" s="137">
        <f t="shared" si="44"/>
        <v>0.57999999999999996</v>
      </c>
      <c r="I177" s="137">
        <f t="shared" si="44"/>
        <v>0.57999999999999996</v>
      </c>
      <c r="J177" s="137">
        <f t="shared" si="44"/>
        <v>0.57999999999999996</v>
      </c>
      <c r="K177" s="137">
        <f t="shared" si="44"/>
        <v>0.57999999999999996</v>
      </c>
      <c r="L177" s="137">
        <f t="shared" si="44"/>
        <v>0.57999999999999996</v>
      </c>
      <c r="M177" s="137">
        <f t="shared" si="44"/>
        <v>0.57999999999999996</v>
      </c>
      <c r="N177" s="137">
        <f t="shared" si="44"/>
        <v>0.57999999999999996</v>
      </c>
      <c r="O177" s="137">
        <f t="shared" si="44"/>
        <v>0.57999999999999996</v>
      </c>
      <c r="P177" s="137">
        <f t="shared" si="44"/>
        <v>0.57999999999999996</v>
      </c>
      <c r="Q177" s="137">
        <f t="shared" si="44"/>
        <v>0.57999999999999996</v>
      </c>
      <c r="R177" s="137">
        <f t="shared" si="44"/>
        <v>0.57999999999999996</v>
      </c>
      <c r="S177" s="137">
        <f t="shared" ref="R177:AF189" si="45">R177</f>
        <v>0.57999999999999996</v>
      </c>
      <c r="T177" s="137">
        <f t="shared" si="45"/>
        <v>0.57999999999999996</v>
      </c>
      <c r="U177" s="137">
        <f t="shared" si="45"/>
        <v>0.57999999999999996</v>
      </c>
      <c r="V177" s="137">
        <f t="shared" si="45"/>
        <v>0.57999999999999996</v>
      </c>
      <c r="W177" s="137">
        <f t="shared" si="45"/>
        <v>0.57999999999999996</v>
      </c>
      <c r="X177" s="137">
        <f t="shared" si="45"/>
        <v>0.57999999999999996</v>
      </c>
      <c r="Y177" s="137">
        <f t="shared" si="45"/>
        <v>0.57999999999999996</v>
      </c>
      <c r="Z177" s="137">
        <f t="shared" si="45"/>
        <v>0.57999999999999996</v>
      </c>
      <c r="AA177" s="137">
        <f t="shared" si="45"/>
        <v>0.57999999999999996</v>
      </c>
      <c r="AB177" s="137">
        <f t="shared" si="45"/>
        <v>0.57999999999999996</v>
      </c>
      <c r="AC177" s="137">
        <f t="shared" si="45"/>
        <v>0.57999999999999996</v>
      </c>
      <c r="AD177" s="137">
        <f t="shared" si="45"/>
        <v>0.57999999999999996</v>
      </c>
      <c r="AE177" s="137">
        <f t="shared" si="45"/>
        <v>0.57999999999999996</v>
      </c>
      <c r="AF177" s="137">
        <f t="shared" si="45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4"/>
        <v>0.8</v>
      </c>
      <c r="D178" s="137">
        <f t="shared" si="44"/>
        <v>0.8</v>
      </c>
      <c r="E178" s="137">
        <f t="shared" si="44"/>
        <v>0.8</v>
      </c>
      <c r="F178" s="137">
        <f t="shared" si="44"/>
        <v>0.8</v>
      </c>
      <c r="G178" s="137">
        <f t="shared" si="44"/>
        <v>0.8</v>
      </c>
      <c r="H178" s="137">
        <f t="shared" si="44"/>
        <v>0.8</v>
      </c>
      <c r="I178" s="137">
        <f t="shared" si="44"/>
        <v>0.8</v>
      </c>
      <c r="J178" s="137">
        <f t="shared" si="44"/>
        <v>0.8</v>
      </c>
      <c r="K178" s="137">
        <f t="shared" si="44"/>
        <v>0.8</v>
      </c>
      <c r="L178" s="137">
        <f t="shared" si="44"/>
        <v>0.8</v>
      </c>
      <c r="M178" s="137">
        <f t="shared" si="44"/>
        <v>0.8</v>
      </c>
      <c r="N178" s="137">
        <f t="shared" si="44"/>
        <v>0.8</v>
      </c>
      <c r="O178" s="137">
        <f t="shared" si="44"/>
        <v>0.8</v>
      </c>
      <c r="P178" s="137">
        <f t="shared" si="44"/>
        <v>0.8</v>
      </c>
      <c r="Q178" s="137">
        <f t="shared" si="44"/>
        <v>0.8</v>
      </c>
      <c r="R178" s="137">
        <f t="shared" si="44"/>
        <v>0.8</v>
      </c>
      <c r="S178" s="137">
        <f t="shared" si="45"/>
        <v>0.8</v>
      </c>
      <c r="T178" s="137">
        <f t="shared" si="45"/>
        <v>0.8</v>
      </c>
      <c r="U178" s="137">
        <f t="shared" si="45"/>
        <v>0.8</v>
      </c>
      <c r="V178" s="137">
        <f t="shared" si="45"/>
        <v>0.8</v>
      </c>
      <c r="W178" s="137">
        <f t="shared" si="45"/>
        <v>0.8</v>
      </c>
      <c r="X178" s="137">
        <f t="shared" si="45"/>
        <v>0.8</v>
      </c>
      <c r="Y178" s="137">
        <f t="shared" si="45"/>
        <v>0.8</v>
      </c>
      <c r="Z178" s="137">
        <f t="shared" si="45"/>
        <v>0.8</v>
      </c>
      <c r="AA178" s="137">
        <f t="shared" si="45"/>
        <v>0.8</v>
      </c>
      <c r="AB178" s="137">
        <f t="shared" si="45"/>
        <v>0.8</v>
      </c>
      <c r="AC178" s="137">
        <f t="shared" si="45"/>
        <v>0.8</v>
      </c>
      <c r="AD178" s="137">
        <f t="shared" si="45"/>
        <v>0.8</v>
      </c>
      <c r="AE178" s="137">
        <f t="shared" si="45"/>
        <v>0.8</v>
      </c>
      <c r="AF178" s="137">
        <f t="shared" si="45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4"/>
        <v>0</v>
      </c>
      <c r="D179" s="137">
        <f t="shared" si="44"/>
        <v>0</v>
      </c>
      <c r="E179" s="137">
        <f t="shared" si="44"/>
        <v>0</v>
      </c>
      <c r="F179" s="137">
        <f t="shared" si="44"/>
        <v>0</v>
      </c>
      <c r="G179" s="137">
        <f t="shared" si="44"/>
        <v>0</v>
      </c>
      <c r="H179" s="137">
        <f t="shared" si="44"/>
        <v>0</v>
      </c>
      <c r="I179" s="137">
        <f t="shared" si="44"/>
        <v>0</v>
      </c>
      <c r="J179" s="137">
        <f t="shared" si="44"/>
        <v>0</v>
      </c>
      <c r="K179" s="137">
        <f t="shared" si="44"/>
        <v>0</v>
      </c>
      <c r="L179" s="137">
        <f t="shared" si="44"/>
        <v>0</v>
      </c>
      <c r="M179" s="137">
        <f t="shared" si="44"/>
        <v>0</v>
      </c>
      <c r="N179" s="137">
        <f t="shared" si="44"/>
        <v>0</v>
      </c>
      <c r="O179" s="137">
        <f t="shared" si="44"/>
        <v>0</v>
      </c>
      <c r="P179" s="137">
        <f t="shared" si="44"/>
        <v>0</v>
      </c>
      <c r="Q179" s="137">
        <f t="shared" si="44"/>
        <v>0</v>
      </c>
      <c r="R179" s="137">
        <f t="shared" si="44"/>
        <v>0</v>
      </c>
      <c r="S179" s="137">
        <f t="shared" si="45"/>
        <v>0</v>
      </c>
      <c r="T179" s="137">
        <f t="shared" si="45"/>
        <v>0</v>
      </c>
      <c r="U179" s="137">
        <f t="shared" si="45"/>
        <v>0</v>
      </c>
      <c r="V179" s="137">
        <f t="shared" si="45"/>
        <v>0</v>
      </c>
      <c r="W179" s="137">
        <f t="shared" si="45"/>
        <v>0</v>
      </c>
      <c r="X179" s="137">
        <f t="shared" si="45"/>
        <v>0</v>
      </c>
      <c r="Y179" s="137">
        <f t="shared" si="45"/>
        <v>0</v>
      </c>
      <c r="Z179" s="137">
        <f t="shared" si="45"/>
        <v>0</v>
      </c>
      <c r="AA179" s="137">
        <f t="shared" si="45"/>
        <v>0</v>
      </c>
      <c r="AB179" s="137">
        <f t="shared" si="45"/>
        <v>0</v>
      </c>
      <c r="AC179" s="137">
        <f t="shared" si="45"/>
        <v>0</v>
      </c>
      <c r="AD179" s="137">
        <f t="shared" si="45"/>
        <v>0</v>
      </c>
      <c r="AE179" s="137">
        <f t="shared" si="45"/>
        <v>0</v>
      </c>
      <c r="AF179" s="137">
        <f t="shared" si="45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4"/>
        <v>0.6</v>
      </c>
      <c r="D180" s="137">
        <f t="shared" si="44"/>
        <v>0.6</v>
      </c>
      <c r="E180" s="137">
        <f t="shared" si="44"/>
        <v>0.6</v>
      </c>
      <c r="F180" s="137">
        <f t="shared" si="44"/>
        <v>0.6</v>
      </c>
      <c r="G180" s="137">
        <f t="shared" si="44"/>
        <v>0.6</v>
      </c>
      <c r="H180" s="137">
        <f t="shared" si="44"/>
        <v>0.6</v>
      </c>
      <c r="I180" s="137">
        <f t="shared" si="44"/>
        <v>0.6</v>
      </c>
      <c r="J180" s="137">
        <f t="shared" si="44"/>
        <v>0.6</v>
      </c>
      <c r="K180" s="137">
        <f t="shared" si="44"/>
        <v>0.6</v>
      </c>
      <c r="L180" s="137">
        <f t="shared" si="44"/>
        <v>0.6</v>
      </c>
      <c r="M180" s="137">
        <f t="shared" si="44"/>
        <v>0.6</v>
      </c>
      <c r="N180" s="137">
        <f t="shared" si="44"/>
        <v>0.6</v>
      </c>
      <c r="O180" s="137">
        <f t="shared" si="44"/>
        <v>0.6</v>
      </c>
      <c r="P180" s="137">
        <f t="shared" si="44"/>
        <v>0.6</v>
      </c>
      <c r="Q180" s="137">
        <f t="shared" si="44"/>
        <v>0.6</v>
      </c>
      <c r="R180" s="137">
        <f t="shared" si="44"/>
        <v>0.6</v>
      </c>
      <c r="S180" s="137">
        <f t="shared" si="45"/>
        <v>0.6</v>
      </c>
      <c r="T180" s="137">
        <f t="shared" si="45"/>
        <v>0.6</v>
      </c>
      <c r="U180" s="137">
        <f t="shared" si="45"/>
        <v>0.6</v>
      </c>
      <c r="V180" s="137">
        <f t="shared" si="45"/>
        <v>0.6</v>
      </c>
      <c r="W180" s="137">
        <f t="shared" si="45"/>
        <v>0.6</v>
      </c>
      <c r="X180" s="137">
        <f t="shared" si="45"/>
        <v>0.6</v>
      </c>
      <c r="Y180" s="137">
        <f t="shared" si="45"/>
        <v>0.6</v>
      </c>
      <c r="Z180" s="137">
        <f t="shared" si="45"/>
        <v>0.6</v>
      </c>
      <c r="AA180" s="137">
        <f t="shared" si="45"/>
        <v>0.6</v>
      </c>
      <c r="AB180" s="137">
        <f t="shared" si="45"/>
        <v>0.6</v>
      </c>
      <c r="AC180" s="137">
        <f t="shared" si="45"/>
        <v>0.6</v>
      </c>
      <c r="AD180" s="137">
        <f t="shared" si="45"/>
        <v>0.6</v>
      </c>
      <c r="AE180" s="137">
        <f t="shared" si="45"/>
        <v>0.6</v>
      </c>
      <c r="AF180" s="137">
        <f t="shared" si="45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4"/>
        <v>0.6</v>
      </c>
      <c r="D181" s="137">
        <f t="shared" si="44"/>
        <v>0.6</v>
      </c>
      <c r="E181" s="137">
        <f t="shared" si="44"/>
        <v>0.6</v>
      </c>
      <c r="F181" s="137">
        <f t="shared" si="44"/>
        <v>0.6</v>
      </c>
      <c r="G181" s="137">
        <f t="shared" si="44"/>
        <v>0.6</v>
      </c>
      <c r="H181" s="137">
        <f t="shared" si="44"/>
        <v>0.6</v>
      </c>
      <c r="I181" s="137">
        <f t="shared" si="44"/>
        <v>0.6</v>
      </c>
      <c r="J181" s="137">
        <f t="shared" si="44"/>
        <v>0.6</v>
      </c>
      <c r="K181" s="137">
        <f t="shared" si="44"/>
        <v>0.6</v>
      </c>
      <c r="L181" s="137">
        <f t="shared" si="44"/>
        <v>0.6</v>
      </c>
      <c r="M181" s="137">
        <f t="shared" si="44"/>
        <v>0.6</v>
      </c>
      <c r="N181" s="137">
        <f t="shared" si="44"/>
        <v>0.6</v>
      </c>
      <c r="O181" s="137">
        <f t="shared" si="44"/>
        <v>0.6</v>
      </c>
      <c r="P181" s="137">
        <f t="shared" si="44"/>
        <v>0.6</v>
      </c>
      <c r="Q181" s="137">
        <f t="shared" si="44"/>
        <v>0.6</v>
      </c>
      <c r="R181" s="137">
        <f t="shared" si="44"/>
        <v>0.6</v>
      </c>
      <c r="S181" s="137">
        <f t="shared" si="45"/>
        <v>0.6</v>
      </c>
      <c r="T181" s="137">
        <f t="shared" si="45"/>
        <v>0.6</v>
      </c>
      <c r="U181" s="137">
        <f t="shared" si="45"/>
        <v>0.6</v>
      </c>
      <c r="V181" s="137">
        <f t="shared" si="45"/>
        <v>0.6</v>
      </c>
      <c r="W181" s="137">
        <f t="shared" si="45"/>
        <v>0.6</v>
      </c>
      <c r="X181" s="137">
        <f t="shared" si="45"/>
        <v>0.6</v>
      </c>
      <c r="Y181" s="137">
        <f t="shared" si="45"/>
        <v>0.6</v>
      </c>
      <c r="Z181" s="137">
        <f t="shared" si="45"/>
        <v>0.6</v>
      </c>
      <c r="AA181" s="137">
        <f t="shared" si="45"/>
        <v>0.6</v>
      </c>
      <c r="AB181" s="137">
        <f t="shared" si="45"/>
        <v>0.6</v>
      </c>
      <c r="AC181" s="137">
        <f t="shared" si="45"/>
        <v>0.6</v>
      </c>
      <c r="AD181" s="137">
        <f t="shared" si="45"/>
        <v>0.6</v>
      </c>
      <c r="AE181" s="137">
        <f t="shared" si="45"/>
        <v>0.6</v>
      </c>
      <c r="AF181" s="137">
        <f t="shared" si="45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4"/>
        <v>0.35</v>
      </c>
      <c r="D182" s="137">
        <f t="shared" si="44"/>
        <v>0.35</v>
      </c>
      <c r="E182" s="137">
        <f t="shared" si="44"/>
        <v>0.35</v>
      </c>
      <c r="F182" s="137">
        <f t="shared" si="44"/>
        <v>0.35</v>
      </c>
      <c r="G182" s="137">
        <f t="shared" si="44"/>
        <v>0.35</v>
      </c>
      <c r="H182" s="137">
        <f t="shared" si="44"/>
        <v>0.35</v>
      </c>
      <c r="I182" s="137">
        <f t="shared" si="44"/>
        <v>0.35</v>
      </c>
      <c r="J182" s="137">
        <f t="shared" si="44"/>
        <v>0.35</v>
      </c>
      <c r="K182" s="137">
        <f t="shared" si="44"/>
        <v>0.35</v>
      </c>
      <c r="L182" s="137">
        <f t="shared" si="44"/>
        <v>0.35</v>
      </c>
      <c r="M182" s="137">
        <f t="shared" si="44"/>
        <v>0.35</v>
      </c>
      <c r="N182" s="137">
        <f t="shared" si="44"/>
        <v>0.35</v>
      </c>
      <c r="O182" s="137">
        <f t="shared" si="44"/>
        <v>0.35</v>
      </c>
      <c r="P182" s="137">
        <f t="shared" si="44"/>
        <v>0.35</v>
      </c>
      <c r="Q182" s="137">
        <f t="shared" si="44"/>
        <v>0.35</v>
      </c>
      <c r="R182" s="137">
        <f t="shared" si="44"/>
        <v>0.35</v>
      </c>
      <c r="S182" s="137">
        <f t="shared" si="45"/>
        <v>0.35</v>
      </c>
      <c r="T182" s="137">
        <f t="shared" si="45"/>
        <v>0.35</v>
      </c>
      <c r="U182" s="137">
        <f t="shared" si="45"/>
        <v>0.35</v>
      </c>
      <c r="V182" s="137">
        <f t="shared" si="45"/>
        <v>0.35</v>
      </c>
      <c r="W182" s="137">
        <f t="shared" si="45"/>
        <v>0.35</v>
      </c>
      <c r="X182" s="137">
        <f t="shared" si="45"/>
        <v>0.35</v>
      </c>
      <c r="Y182" s="137">
        <f t="shared" si="45"/>
        <v>0.35</v>
      </c>
      <c r="Z182" s="137">
        <f t="shared" si="45"/>
        <v>0.35</v>
      </c>
      <c r="AA182" s="137">
        <f t="shared" si="45"/>
        <v>0.35</v>
      </c>
      <c r="AB182" s="137">
        <f t="shared" si="45"/>
        <v>0.35</v>
      </c>
      <c r="AC182" s="137">
        <f t="shared" si="45"/>
        <v>0.35</v>
      </c>
      <c r="AD182" s="137">
        <f t="shared" si="45"/>
        <v>0.35</v>
      </c>
      <c r="AE182" s="137">
        <f t="shared" si="45"/>
        <v>0.35</v>
      </c>
      <c r="AF182" s="137">
        <f t="shared" si="45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4"/>
        <v>0.28999999999999998</v>
      </c>
      <c r="D183" s="137">
        <f t="shared" si="44"/>
        <v>0.28999999999999998</v>
      </c>
      <c r="E183" s="137">
        <f t="shared" si="44"/>
        <v>0.28999999999999998</v>
      </c>
      <c r="F183" s="137">
        <f t="shared" si="44"/>
        <v>0.28999999999999998</v>
      </c>
      <c r="G183" s="137">
        <f t="shared" si="44"/>
        <v>0.28999999999999998</v>
      </c>
      <c r="H183" s="137">
        <f t="shared" si="44"/>
        <v>0.28999999999999998</v>
      </c>
      <c r="I183" s="137">
        <f t="shared" si="44"/>
        <v>0.28999999999999998</v>
      </c>
      <c r="J183" s="137">
        <f t="shared" si="44"/>
        <v>0.28999999999999998</v>
      </c>
      <c r="K183" s="137">
        <f t="shared" si="44"/>
        <v>0.28999999999999998</v>
      </c>
      <c r="L183" s="137">
        <f t="shared" si="44"/>
        <v>0.28999999999999998</v>
      </c>
      <c r="M183" s="137">
        <f t="shared" si="44"/>
        <v>0.28999999999999998</v>
      </c>
      <c r="N183" s="137">
        <f t="shared" si="44"/>
        <v>0.28999999999999998</v>
      </c>
      <c r="O183" s="137">
        <f t="shared" si="44"/>
        <v>0.28999999999999998</v>
      </c>
      <c r="P183" s="137">
        <f t="shared" si="44"/>
        <v>0.28999999999999998</v>
      </c>
      <c r="Q183" s="137">
        <f t="shared" si="44"/>
        <v>0.28999999999999998</v>
      </c>
      <c r="R183" s="137">
        <f t="shared" si="44"/>
        <v>0.28999999999999998</v>
      </c>
      <c r="S183" s="137">
        <f t="shared" si="45"/>
        <v>0.28999999999999998</v>
      </c>
      <c r="T183" s="137">
        <f t="shared" si="45"/>
        <v>0.28999999999999998</v>
      </c>
      <c r="U183" s="137">
        <f t="shared" si="45"/>
        <v>0.28999999999999998</v>
      </c>
      <c r="V183" s="137">
        <f t="shared" si="45"/>
        <v>0.28999999999999998</v>
      </c>
      <c r="W183" s="137">
        <f t="shared" si="45"/>
        <v>0.28999999999999998</v>
      </c>
      <c r="X183" s="137">
        <f t="shared" si="45"/>
        <v>0.28999999999999998</v>
      </c>
      <c r="Y183" s="137">
        <f t="shared" si="45"/>
        <v>0.28999999999999998</v>
      </c>
      <c r="Z183" s="137">
        <f t="shared" si="45"/>
        <v>0.28999999999999998</v>
      </c>
      <c r="AA183" s="137">
        <f t="shared" si="45"/>
        <v>0.28999999999999998</v>
      </c>
      <c r="AB183" s="137">
        <f t="shared" si="45"/>
        <v>0.28999999999999998</v>
      </c>
      <c r="AC183" s="137">
        <f t="shared" si="45"/>
        <v>0.28999999999999998</v>
      </c>
      <c r="AD183" s="137">
        <f t="shared" si="45"/>
        <v>0.28999999999999998</v>
      </c>
      <c r="AE183" s="137">
        <f t="shared" si="45"/>
        <v>0.28999999999999998</v>
      </c>
      <c r="AF183" s="137">
        <f t="shared" si="45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4"/>
        <v>0.06</v>
      </c>
      <c r="D184" s="137">
        <f t="shared" si="44"/>
        <v>0.06</v>
      </c>
      <c r="E184" s="137">
        <f t="shared" si="44"/>
        <v>0.06</v>
      </c>
      <c r="F184" s="137">
        <f t="shared" si="44"/>
        <v>0.06</v>
      </c>
      <c r="G184" s="137">
        <f t="shared" si="44"/>
        <v>0.06</v>
      </c>
      <c r="H184" s="137">
        <f t="shared" si="44"/>
        <v>0.06</v>
      </c>
      <c r="I184" s="137">
        <f t="shared" si="44"/>
        <v>0.06</v>
      </c>
      <c r="J184" s="137">
        <f t="shared" si="44"/>
        <v>0.06</v>
      </c>
      <c r="K184" s="137">
        <f t="shared" si="44"/>
        <v>0.06</v>
      </c>
      <c r="L184" s="137">
        <f t="shared" si="44"/>
        <v>0.06</v>
      </c>
      <c r="M184" s="137">
        <f t="shared" si="44"/>
        <v>0.06</v>
      </c>
      <c r="N184" s="137">
        <f t="shared" si="44"/>
        <v>0.06</v>
      </c>
      <c r="O184" s="137">
        <f t="shared" si="44"/>
        <v>0.06</v>
      </c>
      <c r="P184" s="137">
        <f t="shared" si="44"/>
        <v>0.06</v>
      </c>
      <c r="Q184" s="137">
        <f t="shared" si="44"/>
        <v>0.06</v>
      </c>
      <c r="R184" s="137">
        <f t="shared" si="44"/>
        <v>0.06</v>
      </c>
      <c r="S184" s="137">
        <f t="shared" si="45"/>
        <v>0.06</v>
      </c>
      <c r="T184" s="137">
        <f t="shared" si="45"/>
        <v>0.06</v>
      </c>
      <c r="U184" s="137">
        <f t="shared" si="45"/>
        <v>0.06</v>
      </c>
      <c r="V184" s="137">
        <f t="shared" si="45"/>
        <v>0.06</v>
      </c>
      <c r="W184" s="137">
        <f t="shared" si="45"/>
        <v>0.06</v>
      </c>
      <c r="X184" s="137">
        <f t="shared" si="45"/>
        <v>0.06</v>
      </c>
      <c r="Y184" s="137">
        <f t="shared" si="45"/>
        <v>0.06</v>
      </c>
      <c r="Z184" s="137">
        <f t="shared" si="45"/>
        <v>0.06</v>
      </c>
      <c r="AA184" s="137">
        <f t="shared" si="45"/>
        <v>0.06</v>
      </c>
      <c r="AB184" s="137">
        <f t="shared" si="45"/>
        <v>0.06</v>
      </c>
      <c r="AC184" s="137">
        <f t="shared" si="45"/>
        <v>0.06</v>
      </c>
      <c r="AD184" s="137">
        <f t="shared" si="45"/>
        <v>0.06</v>
      </c>
      <c r="AE184" s="137">
        <f t="shared" si="45"/>
        <v>0.06</v>
      </c>
      <c r="AF184" s="137">
        <f t="shared" si="45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4"/>
        <v>0.11</v>
      </c>
      <c r="D185" s="137">
        <f t="shared" si="44"/>
        <v>0.11</v>
      </c>
      <c r="E185" s="137">
        <f t="shared" si="44"/>
        <v>0.11</v>
      </c>
      <c r="F185" s="137">
        <f t="shared" si="44"/>
        <v>0.11</v>
      </c>
      <c r="G185" s="137">
        <f t="shared" si="44"/>
        <v>0.11</v>
      </c>
      <c r="H185" s="137">
        <f t="shared" si="44"/>
        <v>0.11</v>
      </c>
      <c r="I185" s="137">
        <f t="shared" si="44"/>
        <v>0.11</v>
      </c>
      <c r="J185" s="137">
        <f t="shared" si="44"/>
        <v>0.11</v>
      </c>
      <c r="K185" s="137">
        <f t="shared" si="44"/>
        <v>0.11</v>
      </c>
      <c r="L185" s="137">
        <f t="shared" si="44"/>
        <v>0.11</v>
      </c>
      <c r="M185" s="137">
        <f t="shared" si="44"/>
        <v>0.11</v>
      </c>
      <c r="N185" s="137">
        <f t="shared" si="44"/>
        <v>0.11</v>
      </c>
      <c r="O185" s="137">
        <f t="shared" si="44"/>
        <v>0.11</v>
      </c>
      <c r="P185" s="137">
        <f t="shared" si="44"/>
        <v>0.11</v>
      </c>
      <c r="Q185" s="137">
        <f t="shared" si="44"/>
        <v>0.11</v>
      </c>
      <c r="R185" s="137">
        <f t="shared" si="44"/>
        <v>0.11</v>
      </c>
      <c r="S185" s="137">
        <f t="shared" si="45"/>
        <v>0.11</v>
      </c>
      <c r="T185" s="137">
        <f t="shared" si="45"/>
        <v>0.11</v>
      </c>
      <c r="U185" s="137">
        <f t="shared" si="45"/>
        <v>0.11</v>
      </c>
      <c r="V185" s="137">
        <f t="shared" si="45"/>
        <v>0.11</v>
      </c>
      <c r="W185" s="137">
        <f t="shared" si="45"/>
        <v>0.11</v>
      </c>
      <c r="X185" s="137">
        <f t="shared" si="45"/>
        <v>0.11</v>
      </c>
      <c r="Y185" s="137">
        <f t="shared" si="45"/>
        <v>0.11</v>
      </c>
      <c r="Z185" s="137">
        <f t="shared" si="45"/>
        <v>0.11</v>
      </c>
      <c r="AA185" s="137">
        <f t="shared" si="45"/>
        <v>0.11</v>
      </c>
      <c r="AB185" s="137">
        <f t="shared" si="45"/>
        <v>0.11</v>
      </c>
      <c r="AC185" s="137">
        <f t="shared" si="45"/>
        <v>0.11</v>
      </c>
      <c r="AD185" s="137">
        <f t="shared" si="45"/>
        <v>0.11</v>
      </c>
      <c r="AE185" s="137">
        <f t="shared" si="45"/>
        <v>0.11</v>
      </c>
      <c r="AF185" s="137">
        <f t="shared" si="45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4"/>
        <v>0.1</v>
      </c>
      <c r="D186" s="137">
        <f t="shared" si="44"/>
        <v>0.1</v>
      </c>
      <c r="E186" s="137">
        <f t="shared" si="44"/>
        <v>0.1</v>
      </c>
      <c r="F186" s="137">
        <f t="shared" si="44"/>
        <v>0.1</v>
      </c>
      <c r="G186" s="137">
        <f t="shared" si="44"/>
        <v>0.1</v>
      </c>
      <c r="H186" s="137">
        <f t="shared" si="44"/>
        <v>0.1</v>
      </c>
      <c r="I186" s="137">
        <f t="shared" si="44"/>
        <v>0.1</v>
      </c>
      <c r="J186" s="137">
        <f t="shared" si="44"/>
        <v>0.1</v>
      </c>
      <c r="K186" s="137">
        <f t="shared" si="44"/>
        <v>0.1</v>
      </c>
      <c r="L186" s="137">
        <f t="shared" si="44"/>
        <v>0.1</v>
      </c>
      <c r="M186" s="137">
        <f t="shared" si="44"/>
        <v>0.1</v>
      </c>
      <c r="N186" s="137">
        <f t="shared" si="44"/>
        <v>0.1</v>
      </c>
      <c r="O186" s="137">
        <f t="shared" si="44"/>
        <v>0.1</v>
      </c>
      <c r="P186" s="137">
        <f t="shared" si="44"/>
        <v>0.1</v>
      </c>
      <c r="Q186" s="137">
        <f t="shared" si="44"/>
        <v>0.1</v>
      </c>
      <c r="R186" s="137">
        <f t="shared" si="45"/>
        <v>0.1</v>
      </c>
      <c r="S186" s="137">
        <f t="shared" si="45"/>
        <v>0.1</v>
      </c>
      <c r="T186" s="137">
        <f t="shared" si="45"/>
        <v>0.1</v>
      </c>
      <c r="U186" s="137">
        <f t="shared" si="45"/>
        <v>0.1</v>
      </c>
      <c r="V186" s="137">
        <f t="shared" si="45"/>
        <v>0.1</v>
      </c>
      <c r="W186" s="137">
        <f t="shared" si="45"/>
        <v>0.1</v>
      </c>
      <c r="X186" s="137">
        <f t="shared" si="45"/>
        <v>0.1</v>
      </c>
      <c r="Y186" s="137">
        <f t="shared" si="45"/>
        <v>0.1</v>
      </c>
      <c r="Z186" s="137">
        <f t="shared" si="45"/>
        <v>0.1</v>
      </c>
      <c r="AA186" s="137">
        <f t="shared" si="45"/>
        <v>0.1</v>
      </c>
      <c r="AB186" s="137">
        <f t="shared" si="45"/>
        <v>0.1</v>
      </c>
      <c r="AC186" s="137">
        <f t="shared" si="45"/>
        <v>0.1</v>
      </c>
      <c r="AD186" s="137">
        <f t="shared" si="45"/>
        <v>0.1</v>
      </c>
      <c r="AE186" s="137">
        <f t="shared" si="45"/>
        <v>0.1</v>
      </c>
      <c r="AF186" s="137">
        <f t="shared" si="45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4"/>
        <v>0.09</v>
      </c>
      <c r="D187" s="137">
        <f t="shared" si="44"/>
        <v>0.09</v>
      </c>
      <c r="E187" s="137">
        <f t="shared" si="44"/>
        <v>0.09</v>
      </c>
      <c r="F187" s="137">
        <f t="shared" si="44"/>
        <v>0.09</v>
      </c>
      <c r="G187" s="137">
        <f t="shared" si="44"/>
        <v>0.09</v>
      </c>
      <c r="H187" s="137">
        <f t="shared" si="44"/>
        <v>0.09</v>
      </c>
      <c r="I187" s="137">
        <f t="shared" si="44"/>
        <v>0.09</v>
      </c>
      <c r="J187" s="137">
        <f t="shared" si="44"/>
        <v>0.09</v>
      </c>
      <c r="K187" s="137">
        <f t="shared" si="44"/>
        <v>0.09</v>
      </c>
      <c r="L187" s="137">
        <f t="shared" si="44"/>
        <v>0.09</v>
      </c>
      <c r="M187" s="137">
        <f t="shared" si="44"/>
        <v>0.09</v>
      </c>
      <c r="N187" s="137">
        <f t="shared" si="44"/>
        <v>0.09</v>
      </c>
      <c r="O187" s="137">
        <f t="shared" si="44"/>
        <v>0.09</v>
      </c>
      <c r="P187" s="137">
        <f t="shared" si="44"/>
        <v>0.09</v>
      </c>
      <c r="Q187" s="137">
        <f t="shared" si="44"/>
        <v>0.09</v>
      </c>
      <c r="R187" s="137">
        <f t="shared" si="45"/>
        <v>0.09</v>
      </c>
      <c r="S187" s="137">
        <f t="shared" si="45"/>
        <v>0.09</v>
      </c>
      <c r="T187" s="137">
        <f t="shared" si="45"/>
        <v>0.09</v>
      </c>
      <c r="U187" s="137">
        <f t="shared" si="45"/>
        <v>0.09</v>
      </c>
      <c r="V187" s="137">
        <f t="shared" si="45"/>
        <v>0.09</v>
      </c>
      <c r="W187" s="137">
        <f t="shared" si="45"/>
        <v>0.09</v>
      </c>
      <c r="X187" s="137">
        <f t="shared" si="45"/>
        <v>0.09</v>
      </c>
      <c r="Y187" s="137">
        <f t="shared" si="45"/>
        <v>0.09</v>
      </c>
      <c r="Z187" s="137">
        <f t="shared" si="45"/>
        <v>0.09</v>
      </c>
      <c r="AA187" s="137">
        <f t="shared" si="45"/>
        <v>0.09</v>
      </c>
      <c r="AB187" s="137">
        <f t="shared" si="45"/>
        <v>0.09</v>
      </c>
      <c r="AC187" s="137">
        <f t="shared" si="45"/>
        <v>0.09</v>
      </c>
      <c r="AD187" s="137">
        <f t="shared" si="45"/>
        <v>0.09</v>
      </c>
      <c r="AE187" s="137">
        <f t="shared" si="45"/>
        <v>0.09</v>
      </c>
      <c r="AF187" s="137">
        <f t="shared" si="45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4"/>
        <v>0.04</v>
      </c>
      <c r="D188" s="137">
        <f t="shared" si="44"/>
        <v>0.04</v>
      </c>
      <c r="E188" s="137">
        <f t="shared" si="44"/>
        <v>0.04</v>
      </c>
      <c r="F188" s="137">
        <f t="shared" si="44"/>
        <v>0.04</v>
      </c>
      <c r="G188" s="137">
        <f t="shared" si="44"/>
        <v>0.04</v>
      </c>
      <c r="H188" s="137">
        <f t="shared" si="44"/>
        <v>0.04</v>
      </c>
      <c r="I188" s="137">
        <f t="shared" si="44"/>
        <v>0.04</v>
      </c>
      <c r="J188" s="137">
        <f t="shared" si="44"/>
        <v>0.04</v>
      </c>
      <c r="K188" s="137">
        <f t="shared" si="44"/>
        <v>0.04</v>
      </c>
      <c r="L188" s="137">
        <f t="shared" si="44"/>
        <v>0.04</v>
      </c>
      <c r="M188" s="137">
        <f t="shared" si="44"/>
        <v>0.04</v>
      </c>
      <c r="N188" s="137">
        <f t="shared" si="44"/>
        <v>0.04</v>
      </c>
      <c r="O188" s="137">
        <f t="shared" si="44"/>
        <v>0.04</v>
      </c>
      <c r="P188" s="137">
        <f t="shared" si="44"/>
        <v>0.04</v>
      </c>
      <c r="Q188" s="137">
        <f t="shared" si="44"/>
        <v>0.04</v>
      </c>
      <c r="R188" s="137">
        <f t="shared" si="45"/>
        <v>0.04</v>
      </c>
      <c r="S188" s="137">
        <f t="shared" si="45"/>
        <v>0.04</v>
      </c>
      <c r="T188" s="137">
        <f t="shared" si="45"/>
        <v>0.04</v>
      </c>
      <c r="U188" s="137">
        <f t="shared" si="45"/>
        <v>0.04</v>
      </c>
      <c r="V188" s="137">
        <f t="shared" si="45"/>
        <v>0.04</v>
      </c>
      <c r="W188" s="137">
        <f t="shared" si="45"/>
        <v>0.04</v>
      </c>
      <c r="X188" s="137">
        <f t="shared" si="45"/>
        <v>0.04</v>
      </c>
      <c r="Y188" s="137">
        <f t="shared" si="45"/>
        <v>0.04</v>
      </c>
      <c r="Z188" s="137">
        <f t="shared" si="45"/>
        <v>0.04</v>
      </c>
      <c r="AA188" s="137">
        <f t="shared" si="45"/>
        <v>0.04</v>
      </c>
      <c r="AB188" s="137">
        <f t="shared" si="45"/>
        <v>0.04</v>
      </c>
      <c r="AC188" s="137">
        <f t="shared" si="45"/>
        <v>0.04</v>
      </c>
      <c r="AD188" s="137">
        <f t="shared" si="45"/>
        <v>0.04</v>
      </c>
      <c r="AE188" s="137">
        <f t="shared" si="45"/>
        <v>0.04</v>
      </c>
      <c r="AF188" s="137">
        <f t="shared" si="45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4"/>
        <v>2.3E-2</v>
      </c>
      <c r="E189" s="137">
        <f t="shared" si="44"/>
        <v>2.3E-2</v>
      </c>
      <c r="F189" s="137">
        <f t="shared" si="44"/>
        <v>2.3E-2</v>
      </c>
      <c r="G189" s="137">
        <f t="shared" si="44"/>
        <v>2.3E-2</v>
      </c>
      <c r="H189" s="137">
        <f t="shared" si="44"/>
        <v>2.3E-2</v>
      </c>
      <c r="I189" s="137">
        <f t="shared" si="44"/>
        <v>2.3E-2</v>
      </c>
      <c r="J189" s="137">
        <f t="shared" si="44"/>
        <v>2.3E-2</v>
      </c>
      <c r="K189" s="137">
        <f t="shared" si="44"/>
        <v>2.3E-2</v>
      </c>
      <c r="L189" s="137">
        <f t="shared" si="44"/>
        <v>2.3E-2</v>
      </c>
      <c r="M189" s="137">
        <f t="shared" si="44"/>
        <v>2.3E-2</v>
      </c>
      <c r="N189" s="137">
        <f t="shared" si="44"/>
        <v>2.3E-2</v>
      </c>
      <c r="O189" s="137">
        <f t="shared" si="44"/>
        <v>2.3E-2</v>
      </c>
      <c r="P189" s="137">
        <f t="shared" si="44"/>
        <v>2.3E-2</v>
      </c>
      <c r="Q189" s="137">
        <f t="shared" si="44"/>
        <v>2.3E-2</v>
      </c>
      <c r="R189" s="137">
        <f t="shared" si="45"/>
        <v>2.3E-2</v>
      </c>
      <c r="S189" s="137">
        <f t="shared" si="45"/>
        <v>2.3E-2</v>
      </c>
      <c r="T189" s="137">
        <f t="shared" si="45"/>
        <v>2.3E-2</v>
      </c>
      <c r="U189" s="137">
        <f t="shared" si="45"/>
        <v>2.3E-2</v>
      </c>
      <c r="V189" s="137">
        <f t="shared" si="45"/>
        <v>2.3E-2</v>
      </c>
      <c r="W189" s="137">
        <f t="shared" si="45"/>
        <v>2.3E-2</v>
      </c>
      <c r="X189" s="137">
        <f t="shared" si="45"/>
        <v>2.3E-2</v>
      </c>
      <c r="Y189" s="137">
        <f t="shared" si="45"/>
        <v>2.3E-2</v>
      </c>
      <c r="Z189" s="137">
        <f t="shared" si="45"/>
        <v>2.3E-2</v>
      </c>
      <c r="AA189" s="137">
        <f t="shared" si="45"/>
        <v>2.3E-2</v>
      </c>
      <c r="AB189" s="137">
        <f t="shared" si="45"/>
        <v>2.3E-2</v>
      </c>
      <c r="AC189" s="137">
        <f t="shared" si="45"/>
        <v>2.3E-2</v>
      </c>
      <c r="AD189" s="137">
        <f t="shared" si="45"/>
        <v>2.3E-2</v>
      </c>
      <c r="AE189" s="137">
        <f t="shared" si="45"/>
        <v>2.3E-2</v>
      </c>
      <c r="AF189" s="137">
        <f t="shared" si="45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6">SUM(B100:B189)</f>
        <v>194.70600000000002</v>
      </c>
      <c r="C190" s="141">
        <f t="shared" si="46"/>
        <v>194.70600000000002</v>
      </c>
      <c r="D190" s="141">
        <f t="shared" si="46"/>
        <v>194.70600000000002</v>
      </c>
      <c r="E190" s="141">
        <f t="shared" si="46"/>
        <v>194.70600000000002</v>
      </c>
      <c r="F190" s="141">
        <f t="shared" si="46"/>
        <v>194.70600000000002</v>
      </c>
      <c r="G190" s="141">
        <f t="shared" si="46"/>
        <v>194.70600000000002</v>
      </c>
      <c r="H190" s="141">
        <f t="shared" si="46"/>
        <v>194.70600000000002</v>
      </c>
      <c r="I190" s="141">
        <f t="shared" si="46"/>
        <v>192.10600000000005</v>
      </c>
      <c r="J190" s="141">
        <f t="shared" si="46"/>
        <v>192.10600000000005</v>
      </c>
      <c r="K190" s="141">
        <f t="shared" si="46"/>
        <v>192.10600000000005</v>
      </c>
      <c r="L190" s="141">
        <f t="shared" si="46"/>
        <v>192.10600000000005</v>
      </c>
      <c r="M190" s="141">
        <f t="shared" si="46"/>
        <v>192.10600000000005</v>
      </c>
      <c r="N190" s="141">
        <f t="shared" si="46"/>
        <v>192.10600000000005</v>
      </c>
      <c r="O190" s="141">
        <f t="shared" si="46"/>
        <v>192.10600000000005</v>
      </c>
      <c r="P190" s="141">
        <f t="shared" si="46"/>
        <v>192.10600000000005</v>
      </c>
      <c r="Q190" s="141">
        <f t="shared" si="46"/>
        <v>192.10600000000005</v>
      </c>
      <c r="R190" s="141">
        <f t="shared" si="46"/>
        <v>192.10600000000005</v>
      </c>
      <c r="S190" s="141">
        <f t="shared" si="46"/>
        <v>192.10600000000005</v>
      </c>
      <c r="T190" s="141">
        <f t="shared" si="46"/>
        <v>192.10600000000005</v>
      </c>
      <c r="U190" s="141">
        <f t="shared" si="46"/>
        <v>192.10600000000005</v>
      </c>
      <c r="V190" s="141">
        <f t="shared" si="46"/>
        <v>192.10600000000005</v>
      </c>
      <c r="W190" s="141">
        <f t="shared" si="46"/>
        <v>192.10600000000005</v>
      </c>
      <c r="X190" s="141">
        <f t="shared" si="46"/>
        <v>192.10600000000005</v>
      </c>
      <c r="Y190" s="141">
        <f t="shared" si="46"/>
        <v>192.10600000000005</v>
      </c>
      <c r="Z190" s="141">
        <f t="shared" si="46"/>
        <v>192.10600000000005</v>
      </c>
      <c r="AA190" s="141">
        <f t="shared" si="46"/>
        <v>192.10600000000005</v>
      </c>
      <c r="AB190" s="141">
        <f t="shared" si="46"/>
        <v>192.10600000000005</v>
      </c>
      <c r="AC190" s="141">
        <f t="shared" si="46"/>
        <v>192.10600000000005</v>
      </c>
      <c r="AD190" s="141">
        <f t="shared" si="46"/>
        <v>192.10600000000005</v>
      </c>
      <c r="AE190" s="141">
        <f t="shared" si="46"/>
        <v>192.10600000000005</v>
      </c>
      <c r="AF190" s="141">
        <f t="shared" si="46"/>
        <v>192.10600000000005</v>
      </c>
      <c r="AG190" s="142">
        <f t="shared" si="46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7">B192</f>
        <v>0.3</v>
      </c>
      <c r="D192" s="143">
        <f t="shared" si="47"/>
        <v>0.3</v>
      </c>
      <c r="E192" s="143">
        <f t="shared" si="47"/>
        <v>0.3</v>
      </c>
      <c r="F192" s="143">
        <f t="shared" si="47"/>
        <v>0.3</v>
      </c>
      <c r="G192" s="143">
        <f t="shared" si="47"/>
        <v>0.3</v>
      </c>
      <c r="H192" s="143">
        <f t="shared" si="47"/>
        <v>0.3</v>
      </c>
      <c r="I192" s="143">
        <f t="shared" si="47"/>
        <v>0.3</v>
      </c>
      <c r="J192" s="143">
        <f t="shared" si="47"/>
        <v>0.3</v>
      </c>
      <c r="K192" s="143">
        <f t="shared" si="47"/>
        <v>0.3</v>
      </c>
      <c r="L192" s="143">
        <f t="shared" si="47"/>
        <v>0.3</v>
      </c>
      <c r="M192" s="143">
        <f t="shared" si="47"/>
        <v>0.3</v>
      </c>
      <c r="N192" s="143">
        <f t="shared" si="47"/>
        <v>0.3</v>
      </c>
      <c r="O192" s="143">
        <f t="shared" si="47"/>
        <v>0.3</v>
      </c>
      <c r="P192" s="143">
        <f t="shared" si="47"/>
        <v>0.3</v>
      </c>
      <c r="Q192" s="143">
        <f t="shared" si="47"/>
        <v>0.3</v>
      </c>
      <c r="R192" s="143">
        <f t="shared" si="47"/>
        <v>0.3</v>
      </c>
      <c r="S192" s="143">
        <f t="shared" ref="S192:AF197" si="48">R192</f>
        <v>0.3</v>
      </c>
      <c r="T192" s="143">
        <f t="shared" si="48"/>
        <v>0.3</v>
      </c>
      <c r="U192" s="143">
        <f t="shared" si="48"/>
        <v>0.3</v>
      </c>
      <c r="V192" s="143">
        <f t="shared" si="48"/>
        <v>0.3</v>
      </c>
      <c r="W192" s="143">
        <f t="shared" si="48"/>
        <v>0.3</v>
      </c>
      <c r="X192" s="143">
        <f t="shared" si="48"/>
        <v>0.3</v>
      </c>
      <c r="Y192" s="143">
        <f t="shared" si="48"/>
        <v>0.3</v>
      </c>
      <c r="Z192" s="143">
        <f t="shared" si="48"/>
        <v>0.3</v>
      </c>
      <c r="AA192" s="143">
        <f t="shared" si="48"/>
        <v>0.3</v>
      </c>
      <c r="AB192" s="143">
        <f t="shared" si="48"/>
        <v>0.3</v>
      </c>
      <c r="AC192" s="143">
        <f t="shared" si="48"/>
        <v>0.3</v>
      </c>
      <c r="AD192" s="143">
        <f t="shared" si="48"/>
        <v>0.3</v>
      </c>
      <c r="AE192" s="143">
        <f t="shared" si="48"/>
        <v>0.3</v>
      </c>
      <c r="AF192" s="143">
        <f t="shared" si="48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7"/>
        <v>0.4</v>
      </c>
      <c r="D193" s="137">
        <f t="shared" si="47"/>
        <v>0.4</v>
      </c>
      <c r="E193" s="137">
        <f t="shared" si="47"/>
        <v>0.4</v>
      </c>
      <c r="F193" s="137">
        <f t="shared" si="47"/>
        <v>0.4</v>
      </c>
      <c r="G193" s="137">
        <f t="shared" si="47"/>
        <v>0.4</v>
      </c>
      <c r="H193" s="137">
        <f t="shared" si="47"/>
        <v>0.4</v>
      </c>
      <c r="I193" s="137">
        <f t="shared" si="47"/>
        <v>0.4</v>
      </c>
      <c r="J193" s="137">
        <f t="shared" si="47"/>
        <v>0.4</v>
      </c>
      <c r="K193" s="137">
        <f t="shared" si="47"/>
        <v>0.4</v>
      </c>
      <c r="L193" s="137">
        <f t="shared" si="47"/>
        <v>0.4</v>
      </c>
      <c r="M193" s="137">
        <f t="shared" si="47"/>
        <v>0.4</v>
      </c>
      <c r="N193" s="137">
        <f t="shared" si="47"/>
        <v>0.4</v>
      </c>
      <c r="O193" s="137">
        <f t="shared" si="47"/>
        <v>0.4</v>
      </c>
      <c r="P193" s="137">
        <f t="shared" si="47"/>
        <v>0.4</v>
      </c>
      <c r="Q193" s="137">
        <f t="shared" si="47"/>
        <v>0.4</v>
      </c>
      <c r="R193" s="137">
        <f t="shared" si="47"/>
        <v>0.4</v>
      </c>
      <c r="S193" s="137">
        <f t="shared" si="48"/>
        <v>0.4</v>
      </c>
      <c r="T193" s="137">
        <f t="shared" si="48"/>
        <v>0.4</v>
      </c>
      <c r="U193" s="137">
        <f t="shared" si="48"/>
        <v>0.4</v>
      </c>
      <c r="V193" s="137">
        <f>U193</f>
        <v>0.4</v>
      </c>
      <c r="W193" s="137">
        <f>V193</f>
        <v>0.4</v>
      </c>
      <c r="X193" s="137">
        <f t="shared" si="48"/>
        <v>0.4</v>
      </c>
      <c r="Y193" s="137">
        <f t="shared" si="48"/>
        <v>0.4</v>
      </c>
      <c r="Z193" s="137">
        <f t="shared" si="48"/>
        <v>0.4</v>
      </c>
      <c r="AA193" s="137">
        <f t="shared" si="48"/>
        <v>0.4</v>
      </c>
      <c r="AB193" s="137">
        <f t="shared" si="48"/>
        <v>0.4</v>
      </c>
      <c r="AC193" s="137">
        <f t="shared" si="48"/>
        <v>0.4</v>
      </c>
      <c r="AD193" s="137">
        <f t="shared" si="48"/>
        <v>0.4</v>
      </c>
      <c r="AE193" s="137">
        <f t="shared" si="48"/>
        <v>0.4</v>
      </c>
      <c r="AF193" s="137">
        <f t="shared" si="48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7"/>
        <v>1.5</v>
      </c>
      <c r="D194" s="137">
        <f t="shared" si="47"/>
        <v>1.5</v>
      </c>
      <c r="E194" s="137">
        <f t="shared" si="47"/>
        <v>1.5</v>
      </c>
      <c r="F194" s="137">
        <f t="shared" si="47"/>
        <v>1.5</v>
      </c>
      <c r="G194" s="137">
        <f t="shared" si="47"/>
        <v>1.5</v>
      </c>
      <c r="H194" s="137">
        <f t="shared" si="47"/>
        <v>1.5</v>
      </c>
      <c r="I194" s="137">
        <f t="shared" si="47"/>
        <v>1.5</v>
      </c>
      <c r="J194" s="137">
        <f t="shared" si="47"/>
        <v>1.5</v>
      </c>
      <c r="K194" s="137">
        <f t="shared" si="47"/>
        <v>1.5</v>
      </c>
      <c r="L194" s="137">
        <f t="shared" si="47"/>
        <v>1.5</v>
      </c>
      <c r="M194" s="137">
        <f t="shared" si="47"/>
        <v>1.5</v>
      </c>
      <c r="N194" s="137">
        <f t="shared" si="47"/>
        <v>1.5</v>
      </c>
      <c r="O194" s="137">
        <f t="shared" si="47"/>
        <v>1.5</v>
      </c>
      <c r="P194" s="137">
        <f t="shared" si="47"/>
        <v>1.5</v>
      </c>
      <c r="Q194" s="137">
        <f t="shared" si="47"/>
        <v>1.5</v>
      </c>
      <c r="R194" s="137">
        <f t="shared" si="47"/>
        <v>1.5</v>
      </c>
      <c r="S194" s="137">
        <f t="shared" si="48"/>
        <v>1.5</v>
      </c>
      <c r="T194" s="137">
        <f t="shared" si="48"/>
        <v>1.5</v>
      </c>
      <c r="U194" s="137">
        <f t="shared" si="48"/>
        <v>1.5</v>
      </c>
      <c r="V194" s="137">
        <f t="shared" si="48"/>
        <v>1.5</v>
      </c>
      <c r="W194" s="137">
        <f t="shared" si="48"/>
        <v>1.5</v>
      </c>
      <c r="X194" s="137">
        <f t="shared" si="48"/>
        <v>1.5</v>
      </c>
      <c r="Y194" s="137">
        <f t="shared" si="48"/>
        <v>1.5</v>
      </c>
      <c r="Z194" s="137">
        <f t="shared" si="48"/>
        <v>1.5</v>
      </c>
      <c r="AA194" s="137">
        <f t="shared" si="48"/>
        <v>1.5</v>
      </c>
      <c r="AB194" s="137">
        <f t="shared" si="48"/>
        <v>1.5</v>
      </c>
      <c r="AC194" s="137">
        <f t="shared" si="48"/>
        <v>1.5</v>
      </c>
      <c r="AD194" s="137">
        <f t="shared" si="48"/>
        <v>1.5</v>
      </c>
      <c r="AE194" s="137">
        <f t="shared" si="48"/>
        <v>1.5</v>
      </c>
      <c r="AF194" s="137">
        <f t="shared" si="48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7"/>
        <v>0.3</v>
      </c>
      <c r="D195" s="137">
        <f t="shared" si="47"/>
        <v>0.3</v>
      </c>
      <c r="E195" s="137">
        <f t="shared" si="47"/>
        <v>0.3</v>
      </c>
      <c r="F195" s="137">
        <f t="shared" si="47"/>
        <v>0.3</v>
      </c>
      <c r="G195" s="137">
        <f t="shared" si="47"/>
        <v>0.3</v>
      </c>
      <c r="H195" s="137">
        <f t="shared" si="47"/>
        <v>0.3</v>
      </c>
      <c r="I195" s="137">
        <f t="shared" si="47"/>
        <v>0.3</v>
      </c>
      <c r="J195" s="137">
        <f t="shared" si="47"/>
        <v>0.3</v>
      </c>
      <c r="K195" s="137">
        <f t="shared" si="47"/>
        <v>0.3</v>
      </c>
      <c r="L195" s="137">
        <f t="shared" si="47"/>
        <v>0.3</v>
      </c>
      <c r="M195" s="137">
        <f t="shared" si="47"/>
        <v>0.3</v>
      </c>
      <c r="N195" s="137">
        <f t="shared" si="47"/>
        <v>0.3</v>
      </c>
      <c r="O195" s="137">
        <f t="shared" si="47"/>
        <v>0.3</v>
      </c>
      <c r="P195" s="137">
        <f t="shared" si="47"/>
        <v>0.3</v>
      </c>
      <c r="Q195" s="137">
        <f t="shared" si="47"/>
        <v>0.3</v>
      </c>
      <c r="R195" s="137">
        <f t="shared" si="47"/>
        <v>0.3</v>
      </c>
      <c r="S195" s="137">
        <f t="shared" si="48"/>
        <v>0.3</v>
      </c>
      <c r="T195" s="137">
        <f t="shared" si="48"/>
        <v>0.3</v>
      </c>
      <c r="U195" s="137">
        <f t="shared" si="48"/>
        <v>0.3</v>
      </c>
      <c r="V195" s="137">
        <f t="shared" si="48"/>
        <v>0.3</v>
      </c>
      <c r="W195" s="137">
        <f t="shared" si="48"/>
        <v>0.3</v>
      </c>
      <c r="X195" s="137">
        <f t="shared" si="48"/>
        <v>0.3</v>
      </c>
      <c r="Y195" s="137">
        <f t="shared" si="48"/>
        <v>0.3</v>
      </c>
      <c r="Z195" s="137">
        <f t="shared" si="48"/>
        <v>0.3</v>
      </c>
      <c r="AA195" s="137">
        <f t="shared" si="48"/>
        <v>0.3</v>
      </c>
      <c r="AB195" s="137">
        <f t="shared" si="48"/>
        <v>0.3</v>
      </c>
      <c r="AC195" s="137">
        <f t="shared" si="48"/>
        <v>0.3</v>
      </c>
      <c r="AD195" s="137">
        <f t="shared" si="48"/>
        <v>0.3</v>
      </c>
      <c r="AE195" s="137">
        <f t="shared" si="48"/>
        <v>0.3</v>
      </c>
      <c r="AF195" s="137">
        <f t="shared" si="48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7"/>
        <v>0.4</v>
      </c>
      <c r="D196" s="137">
        <f t="shared" si="47"/>
        <v>0.4</v>
      </c>
      <c r="E196" s="137">
        <f t="shared" si="47"/>
        <v>0.4</v>
      </c>
      <c r="F196" s="137">
        <f t="shared" si="47"/>
        <v>0.4</v>
      </c>
      <c r="G196" s="137">
        <f t="shared" si="47"/>
        <v>0.4</v>
      </c>
      <c r="H196" s="137">
        <f t="shared" si="47"/>
        <v>0.4</v>
      </c>
      <c r="I196" s="137">
        <f t="shared" si="47"/>
        <v>0.4</v>
      </c>
      <c r="J196" s="137">
        <f t="shared" si="47"/>
        <v>0.4</v>
      </c>
      <c r="K196" s="137">
        <f t="shared" si="47"/>
        <v>0.4</v>
      </c>
      <c r="L196" s="137">
        <f t="shared" si="47"/>
        <v>0.4</v>
      </c>
      <c r="M196" s="137">
        <f t="shared" si="47"/>
        <v>0.4</v>
      </c>
      <c r="N196" s="137">
        <f t="shared" si="47"/>
        <v>0.4</v>
      </c>
      <c r="O196" s="137">
        <f t="shared" si="47"/>
        <v>0.4</v>
      </c>
      <c r="P196" s="137">
        <f t="shared" si="47"/>
        <v>0.4</v>
      </c>
      <c r="Q196" s="137">
        <f t="shared" si="47"/>
        <v>0.4</v>
      </c>
      <c r="R196" s="137">
        <f t="shared" si="47"/>
        <v>0.4</v>
      </c>
      <c r="S196" s="137">
        <f t="shared" si="48"/>
        <v>0.4</v>
      </c>
      <c r="T196" s="137">
        <f t="shared" si="48"/>
        <v>0.4</v>
      </c>
      <c r="U196" s="137">
        <f t="shared" si="48"/>
        <v>0.4</v>
      </c>
      <c r="V196" s="137">
        <f t="shared" si="48"/>
        <v>0.4</v>
      </c>
      <c r="W196" s="137">
        <f t="shared" si="48"/>
        <v>0.4</v>
      </c>
      <c r="X196" s="137">
        <f t="shared" si="48"/>
        <v>0.4</v>
      </c>
      <c r="Y196" s="137">
        <f t="shared" si="48"/>
        <v>0.4</v>
      </c>
      <c r="Z196" s="137">
        <f t="shared" si="48"/>
        <v>0.4</v>
      </c>
      <c r="AA196" s="137">
        <f t="shared" si="48"/>
        <v>0.4</v>
      </c>
      <c r="AB196" s="137">
        <f t="shared" si="48"/>
        <v>0.4</v>
      </c>
      <c r="AC196" s="137">
        <f t="shared" si="48"/>
        <v>0.4</v>
      </c>
      <c r="AD196" s="137">
        <f t="shared" si="48"/>
        <v>0.4</v>
      </c>
      <c r="AE196" s="137">
        <f t="shared" si="48"/>
        <v>0.4</v>
      </c>
      <c r="AF196" s="137">
        <f t="shared" si="48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7"/>
        <v>0.64</v>
      </c>
      <c r="D197" s="146">
        <f t="shared" si="47"/>
        <v>0.64</v>
      </c>
      <c r="E197" s="146">
        <f t="shared" si="47"/>
        <v>0.64</v>
      </c>
      <c r="F197" s="146">
        <f t="shared" si="47"/>
        <v>0.64</v>
      </c>
      <c r="G197" s="146">
        <f t="shared" si="47"/>
        <v>0.64</v>
      </c>
      <c r="H197" s="146">
        <f t="shared" si="47"/>
        <v>0.64</v>
      </c>
      <c r="I197" s="146">
        <f t="shared" si="47"/>
        <v>0.64</v>
      </c>
      <c r="J197" s="146">
        <f t="shared" si="47"/>
        <v>0.64</v>
      </c>
      <c r="K197" s="146">
        <f t="shared" si="47"/>
        <v>0.64</v>
      </c>
      <c r="L197" s="146">
        <f t="shared" si="47"/>
        <v>0.64</v>
      </c>
      <c r="M197" s="146">
        <f t="shared" si="47"/>
        <v>0.64</v>
      </c>
      <c r="N197" s="146">
        <f t="shared" si="47"/>
        <v>0.64</v>
      </c>
      <c r="O197" s="146">
        <f t="shared" si="47"/>
        <v>0.64</v>
      </c>
      <c r="P197" s="146">
        <f t="shared" si="47"/>
        <v>0.64</v>
      </c>
      <c r="Q197" s="146">
        <f t="shared" si="47"/>
        <v>0.64</v>
      </c>
      <c r="R197" s="146">
        <f t="shared" si="47"/>
        <v>0.64</v>
      </c>
      <c r="S197" s="146">
        <f t="shared" si="48"/>
        <v>0.64</v>
      </c>
      <c r="T197" s="146">
        <f t="shared" si="48"/>
        <v>0.64</v>
      </c>
      <c r="U197" s="146">
        <f t="shared" si="48"/>
        <v>0.64</v>
      </c>
      <c r="V197" s="146">
        <f t="shared" si="48"/>
        <v>0.64</v>
      </c>
      <c r="W197" s="146">
        <f t="shared" si="48"/>
        <v>0.64</v>
      </c>
      <c r="X197" s="146">
        <f t="shared" si="48"/>
        <v>0.64</v>
      </c>
      <c r="Y197" s="146">
        <f t="shared" si="48"/>
        <v>0.64</v>
      </c>
      <c r="Z197" s="146">
        <f t="shared" si="48"/>
        <v>0.64</v>
      </c>
      <c r="AA197" s="146">
        <f t="shared" si="48"/>
        <v>0.64</v>
      </c>
      <c r="AB197" s="146">
        <f t="shared" si="48"/>
        <v>0.64</v>
      </c>
      <c r="AC197" s="146">
        <f t="shared" si="48"/>
        <v>0.64</v>
      </c>
      <c r="AD197" s="146">
        <f t="shared" si="48"/>
        <v>0.64</v>
      </c>
      <c r="AE197" s="146">
        <f t="shared" si="48"/>
        <v>0.64</v>
      </c>
      <c r="AF197" s="146">
        <f t="shared" si="48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9">SUM(C192:C197)</f>
        <v>3.54</v>
      </c>
      <c r="D198" s="149">
        <f t="shared" si="49"/>
        <v>3.54</v>
      </c>
      <c r="E198" s="149">
        <f t="shared" si="49"/>
        <v>3.54</v>
      </c>
      <c r="F198" s="149">
        <f t="shared" si="49"/>
        <v>3.54</v>
      </c>
      <c r="G198" s="149">
        <f t="shared" si="49"/>
        <v>3.54</v>
      </c>
      <c r="H198" s="149">
        <f t="shared" si="49"/>
        <v>3.54</v>
      </c>
      <c r="I198" s="149">
        <f t="shared" si="49"/>
        <v>3.54</v>
      </c>
      <c r="J198" s="149">
        <f t="shared" si="49"/>
        <v>3.54</v>
      </c>
      <c r="K198" s="149">
        <f t="shared" si="49"/>
        <v>3.54</v>
      </c>
      <c r="L198" s="149">
        <f>SUM(L192:L197)</f>
        <v>3.54</v>
      </c>
      <c r="M198" s="149">
        <f t="shared" ref="M198:R198" si="50">SUM(M192:M197)</f>
        <v>3.54</v>
      </c>
      <c r="N198" s="149">
        <f t="shared" si="50"/>
        <v>3.54</v>
      </c>
      <c r="O198" s="149">
        <f t="shared" si="50"/>
        <v>3.54</v>
      </c>
      <c r="P198" s="149">
        <f t="shared" si="50"/>
        <v>3.54</v>
      </c>
      <c r="Q198" s="149">
        <f t="shared" si="50"/>
        <v>3.54</v>
      </c>
      <c r="R198" s="149">
        <f t="shared" si="50"/>
        <v>3.54</v>
      </c>
      <c r="S198" s="149">
        <f>SUM(S192:S197)</f>
        <v>3.54</v>
      </c>
      <c r="T198" s="149">
        <f t="shared" ref="T198:AG198" si="51">SUM(T192:T197)</f>
        <v>3.54</v>
      </c>
      <c r="U198" s="149">
        <f t="shared" si="51"/>
        <v>3.54</v>
      </c>
      <c r="V198" s="149">
        <f t="shared" si="51"/>
        <v>3.54</v>
      </c>
      <c r="W198" s="149">
        <f t="shared" si="51"/>
        <v>3.54</v>
      </c>
      <c r="X198" s="149">
        <f t="shared" si="51"/>
        <v>3.54</v>
      </c>
      <c r="Y198" s="149">
        <f t="shared" si="51"/>
        <v>3.54</v>
      </c>
      <c r="Z198" s="149">
        <f t="shared" si="51"/>
        <v>3.54</v>
      </c>
      <c r="AA198" s="149">
        <f t="shared" si="51"/>
        <v>3.54</v>
      </c>
      <c r="AB198" s="149">
        <f t="shared" si="51"/>
        <v>3.54</v>
      </c>
      <c r="AC198" s="149">
        <f t="shared" si="51"/>
        <v>3.54</v>
      </c>
      <c r="AD198" s="149">
        <f t="shared" si="51"/>
        <v>3.54</v>
      </c>
      <c r="AE198" s="149">
        <f t="shared" si="51"/>
        <v>3.54</v>
      </c>
      <c r="AF198" s="149">
        <f t="shared" si="51"/>
        <v>3.54</v>
      </c>
      <c r="AG198" s="150">
        <f t="shared" si="51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1134.24</v>
      </c>
      <c r="C207" s="164">
        <f>INDEX(F9:M9,1,MATCH(MAX(F74:M74),F74:M74,0))</f>
        <v>0.33333333333333331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30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str">
        <f ca="1">"Pie Chart of Daily Peak Demand(Inclusive of Export) of Nepal ("&amp;A4&amp;" "&amp;B4&amp;")"</f>
        <v>Pie Chart of Daily Peak Demand(Inclusive of Export) of Nepal (Nepali Date: 2078/07/30)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"Daily Load Curve(Excluding of Export) of Nepal ("&amp;A4&amp;" "&amp;B4&amp;")"</f>
        <v>Daily Load Curve(Excluding of Export) of Nepal (Nepali Date: 2078/07/30)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2">B74</f>
        <v>779.04</v>
      </c>
      <c r="U212" s="173">
        <f t="shared" si="52"/>
        <v>776.7399999999999</v>
      </c>
      <c r="V212" s="173">
        <f t="shared" si="52"/>
        <v>756.64</v>
      </c>
      <c r="W212" s="173">
        <f t="shared" si="52"/>
        <v>754.94</v>
      </c>
      <c r="X212" s="173">
        <f t="shared" si="52"/>
        <v>802.04</v>
      </c>
      <c r="Y212" s="173">
        <f t="shared" si="52"/>
        <v>857.54</v>
      </c>
      <c r="Z212" s="173">
        <f t="shared" si="52"/>
        <v>934.14</v>
      </c>
      <c r="AA212" s="173">
        <f t="shared" si="52"/>
        <v>958.24</v>
      </c>
      <c r="AB212" s="173">
        <f t="shared" si="52"/>
        <v>1082.94</v>
      </c>
      <c r="AC212" s="173">
        <f t="shared" si="52"/>
        <v>1127.6399999999999</v>
      </c>
      <c r="AD212" s="173">
        <f t="shared" si="52"/>
        <v>1134.24</v>
      </c>
      <c r="AE212" s="173">
        <f t="shared" si="52"/>
        <v>1111.8400000000001</v>
      </c>
      <c r="AF212" s="173">
        <f t="shared" si="52"/>
        <v>1080.94</v>
      </c>
      <c r="AG212" s="173">
        <f t="shared" si="52"/>
        <v>1024.5400000000002</v>
      </c>
      <c r="AH212" s="173">
        <f t="shared" si="52"/>
        <v>1032.74</v>
      </c>
      <c r="AI212" s="173">
        <f t="shared" si="52"/>
        <v>999.94</v>
      </c>
      <c r="AJ212" s="173">
        <f t="shared" si="52"/>
        <v>1014.74</v>
      </c>
      <c r="AK212" s="173">
        <f t="shared" si="52"/>
        <v>1031.3400000000001</v>
      </c>
      <c r="AL212" s="173">
        <f t="shared" si="52"/>
        <v>1035.8400000000001</v>
      </c>
      <c r="AM212" s="173">
        <f t="shared" si="52"/>
        <v>1121.8400000000001</v>
      </c>
      <c r="AN212" s="173">
        <f t="shared" si="52"/>
        <v>1297.1400000000001</v>
      </c>
      <c r="AO212" s="173">
        <f t="shared" si="52"/>
        <v>1358.3400000000001</v>
      </c>
      <c r="AP212" s="173">
        <f t="shared" si="52"/>
        <v>1241.54</v>
      </c>
      <c r="AQ212" s="173">
        <f t="shared" si="52"/>
        <v>1201.04</v>
      </c>
      <c r="AR212" s="173">
        <f t="shared" si="52"/>
        <v>1169.24</v>
      </c>
      <c r="AS212" s="173">
        <f t="shared" si="52"/>
        <v>1185.74</v>
      </c>
      <c r="AT212" s="173">
        <f t="shared" si="52"/>
        <v>1002.74</v>
      </c>
      <c r="AU212" s="173">
        <f t="shared" si="52"/>
        <v>945.54</v>
      </c>
      <c r="AV212" s="173">
        <f t="shared" si="52"/>
        <v>824.04</v>
      </c>
      <c r="AW212" s="173">
        <f t="shared" si="52"/>
        <v>796.43999999999983</v>
      </c>
      <c r="AX212" s="173">
        <f t="shared" si="52"/>
        <v>791.33999999999992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3">B197</f>
        <v>0.64</v>
      </c>
      <c r="C233" s="176">
        <f t="shared" si="53"/>
        <v>0.64</v>
      </c>
      <c r="D233" s="176">
        <f t="shared" si="53"/>
        <v>0.64</v>
      </c>
      <c r="E233" s="176">
        <f t="shared" si="53"/>
        <v>0.64</v>
      </c>
      <c r="F233" s="176">
        <f t="shared" si="53"/>
        <v>0.64</v>
      </c>
      <c r="G233" s="176">
        <f t="shared" si="53"/>
        <v>0.64</v>
      </c>
      <c r="H233" s="176">
        <f t="shared" si="53"/>
        <v>0.64</v>
      </c>
      <c r="I233" s="176">
        <f t="shared" si="53"/>
        <v>0.64</v>
      </c>
      <c r="J233" s="176">
        <f t="shared" si="53"/>
        <v>0.64</v>
      </c>
      <c r="K233" s="176">
        <f t="shared" si="53"/>
        <v>0.64</v>
      </c>
      <c r="L233" s="176">
        <f t="shared" si="53"/>
        <v>0.64</v>
      </c>
      <c r="M233" s="176">
        <f t="shared" si="53"/>
        <v>0.64</v>
      </c>
      <c r="N233" s="176">
        <f t="shared" si="53"/>
        <v>0.64</v>
      </c>
      <c r="O233" s="176">
        <f t="shared" si="53"/>
        <v>0.64</v>
      </c>
      <c r="P233" s="176">
        <f t="shared" si="53"/>
        <v>0.64</v>
      </c>
      <c r="Q233" s="176">
        <f t="shared" si="53"/>
        <v>0.64</v>
      </c>
      <c r="R233" s="176">
        <f t="shared" si="53"/>
        <v>0.64</v>
      </c>
      <c r="S233" s="176">
        <f t="shared" si="53"/>
        <v>0.64</v>
      </c>
      <c r="T233" s="176">
        <f t="shared" si="53"/>
        <v>0.64</v>
      </c>
      <c r="U233" s="176">
        <f t="shared" si="53"/>
        <v>0.64</v>
      </c>
      <c r="V233" s="176">
        <f t="shared" si="53"/>
        <v>0.64</v>
      </c>
      <c r="W233" s="176">
        <f t="shared" si="53"/>
        <v>0.64</v>
      </c>
      <c r="X233" s="176">
        <f t="shared" si="53"/>
        <v>0.64</v>
      </c>
      <c r="Y233" s="176">
        <f t="shared" si="53"/>
        <v>0.64</v>
      </c>
      <c r="Z233" s="176">
        <f t="shared" si="53"/>
        <v>0.64</v>
      </c>
      <c r="AA233" s="176">
        <f t="shared" si="53"/>
        <v>0.64</v>
      </c>
      <c r="AB233" s="176">
        <f t="shared" si="53"/>
        <v>0.64</v>
      </c>
      <c r="AC233" s="176">
        <f t="shared" si="53"/>
        <v>0.64</v>
      </c>
      <c r="AD233" s="176">
        <f t="shared" si="53"/>
        <v>0.64</v>
      </c>
      <c r="AE233" s="176">
        <f t="shared" si="53"/>
        <v>0.64</v>
      </c>
      <c r="AF233" s="176">
        <f t="shared" si="53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4">IF(C201&lt;100,"",C201-520)</f>
        <v/>
      </c>
      <c r="D234" s="120" t="str">
        <f t="shared" si="54"/>
        <v/>
      </c>
      <c r="E234" s="120" t="str">
        <f t="shared" si="54"/>
        <v/>
      </c>
      <c r="F234" s="120" t="str">
        <f t="shared" si="54"/>
        <v/>
      </c>
      <c r="G234" s="120" t="str">
        <f t="shared" si="54"/>
        <v/>
      </c>
      <c r="H234" s="120" t="str">
        <f t="shared" si="54"/>
        <v/>
      </c>
      <c r="I234" s="120" t="str">
        <f t="shared" si="54"/>
        <v/>
      </c>
      <c r="J234" s="120" t="str">
        <f t="shared" si="54"/>
        <v/>
      </c>
      <c r="K234" s="120" t="str">
        <f t="shared" si="54"/>
        <v/>
      </c>
      <c r="L234" s="120" t="str">
        <f t="shared" si="54"/>
        <v/>
      </c>
      <c r="M234" s="120" t="str">
        <f t="shared" si="54"/>
        <v/>
      </c>
      <c r="N234" s="120" t="str">
        <f t="shared" si="54"/>
        <v/>
      </c>
      <c r="O234" s="120" t="str">
        <f t="shared" si="54"/>
        <v/>
      </c>
      <c r="P234" s="120" t="str">
        <f t="shared" si="54"/>
        <v/>
      </c>
      <c r="Q234" s="120" t="str">
        <f t="shared" si="54"/>
        <v/>
      </c>
      <c r="R234" s="120" t="str">
        <f t="shared" si="54"/>
        <v/>
      </c>
      <c r="S234" s="120" t="str">
        <f t="shared" si="54"/>
        <v/>
      </c>
      <c r="T234" s="120" t="str">
        <f t="shared" si="54"/>
        <v/>
      </c>
      <c r="U234" s="120" t="str">
        <f t="shared" si="54"/>
        <v/>
      </c>
      <c r="V234" s="120" t="str">
        <f t="shared" si="54"/>
        <v/>
      </c>
      <c r="W234" s="120" t="str">
        <f t="shared" si="54"/>
        <v/>
      </c>
      <c r="X234" s="120" t="str">
        <f t="shared" si="54"/>
        <v/>
      </c>
      <c r="Y234" s="120" t="str">
        <f t="shared" si="54"/>
        <v/>
      </c>
      <c r="Z234" s="120" t="str">
        <f t="shared" si="54"/>
        <v/>
      </c>
      <c r="AA234" s="120" t="str">
        <f t="shared" si="54"/>
        <v/>
      </c>
      <c r="AB234" s="120" t="str">
        <f t="shared" si="54"/>
        <v/>
      </c>
      <c r="AC234" s="120" t="str">
        <f t="shared" si="54"/>
        <v/>
      </c>
      <c r="AD234" s="120" t="str">
        <f t="shared" si="54"/>
        <v/>
      </c>
      <c r="AE234" s="120" t="str">
        <f t="shared" si="54"/>
        <v/>
      </c>
      <c r="AF234" s="120" t="str">
        <f t="shared" si="54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5">IF(B202&lt;100,"",B202-620)</f>
        <v/>
      </c>
      <c r="C235" s="120" t="str">
        <f t="shared" si="55"/>
        <v/>
      </c>
      <c r="D235" s="120" t="str">
        <f t="shared" si="55"/>
        <v/>
      </c>
      <c r="E235" s="120" t="str">
        <f t="shared" si="55"/>
        <v/>
      </c>
      <c r="F235" s="120" t="str">
        <f t="shared" si="55"/>
        <v/>
      </c>
      <c r="G235" s="120" t="str">
        <f t="shared" si="55"/>
        <v/>
      </c>
      <c r="H235" s="120" t="str">
        <f t="shared" si="55"/>
        <v/>
      </c>
      <c r="I235" s="120" t="str">
        <f t="shared" si="55"/>
        <v/>
      </c>
      <c r="J235" s="120" t="str">
        <f t="shared" si="55"/>
        <v/>
      </c>
      <c r="K235" s="120" t="str">
        <f t="shared" si="55"/>
        <v/>
      </c>
      <c r="L235" s="120" t="str">
        <f t="shared" si="55"/>
        <v/>
      </c>
      <c r="M235" s="120" t="str">
        <f t="shared" si="55"/>
        <v/>
      </c>
      <c r="N235" s="120" t="str">
        <f t="shared" si="55"/>
        <v/>
      </c>
      <c r="O235" s="120" t="str">
        <f t="shared" si="55"/>
        <v/>
      </c>
      <c r="P235" s="120" t="str">
        <f t="shared" si="55"/>
        <v/>
      </c>
      <c r="Q235" s="120" t="str">
        <f t="shared" si="55"/>
        <v/>
      </c>
      <c r="R235" s="120" t="str">
        <f t="shared" si="55"/>
        <v/>
      </c>
      <c r="S235" s="120" t="str">
        <f t="shared" si="55"/>
        <v/>
      </c>
      <c r="T235" s="120" t="str">
        <f t="shared" si="55"/>
        <v/>
      </c>
      <c r="U235" s="120" t="str">
        <f t="shared" si="55"/>
        <v/>
      </c>
      <c r="V235" s="120" t="str">
        <f t="shared" si="55"/>
        <v/>
      </c>
      <c r="W235" s="120" t="str">
        <f t="shared" si="55"/>
        <v/>
      </c>
      <c r="X235" s="120" t="str">
        <f t="shared" si="55"/>
        <v/>
      </c>
      <c r="Y235" s="120" t="str">
        <f t="shared" si="55"/>
        <v/>
      </c>
      <c r="Z235" s="120" t="str">
        <f t="shared" si="55"/>
        <v/>
      </c>
      <c r="AA235" s="120" t="str">
        <f t="shared" si="55"/>
        <v/>
      </c>
      <c r="AB235" s="120" t="str">
        <f t="shared" si="55"/>
        <v/>
      </c>
      <c r="AC235" s="120" t="str">
        <f t="shared" si="55"/>
        <v/>
      </c>
      <c r="AD235" s="120" t="str">
        <f t="shared" si="55"/>
        <v/>
      </c>
      <c r="AE235" s="120" t="str">
        <f t="shared" si="55"/>
        <v/>
      </c>
      <c r="AF235" s="120" t="str">
        <f t="shared" si="55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6">IF(B203&lt;100,"",B203-330)</f>
        <v/>
      </c>
      <c r="C236" s="120" t="str">
        <f t="shared" si="56"/>
        <v/>
      </c>
      <c r="D236" s="120" t="str">
        <f t="shared" si="56"/>
        <v/>
      </c>
      <c r="E236" s="120" t="str">
        <f t="shared" si="56"/>
        <v/>
      </c>
      <c r="F236" s="120" t="str">
        <f t="shared" si="56"/>
        <v/>
      </c>
      <c r="G236" s="120" t="str">
        <f t="shared" si="56"/>
        <v/>
      </c>
      <c r="H236" s="120" t="str">
        <f t="shared" si="56"/>
        <v/>
      </c>
      <c r="I236" s="120" t="str">
        <f t="shared" si="56"/>
        <v/>
      </c>
      <c r="J236" s="120" t="str">
        <f t="shared" si="56"/>
        <v/>
      </c>
      <c r="K236" s="120" t="str">
        <f t="shared" si="56"/>
        <v/>
      </c>
      <c r="L236" s="120" t="str">
        <f t="shared" si="56"/>
        <v/>
      </c>
      <c r="M236" s="120" t="str">
        <f t="shared" si="56"/>
        <v/>
      </c>
      <c r="N236" s="120" t="str">
        <f t="shared" si="56"/>
        <v/>
      </c>
      <c r="O236" s="120" t="str">
        <f t="shared" si="56"/>
        <v/>
      </c>
      <c r="P236" s="120" t="str">
        <f t="shared" si="56"/>
        <v/>
      </c>
      <c r="Q236" s="120" t="str">
        <f t="shared" si="56"/>
        <v/>
      </c>
      <c r="R236" s="120" t="str">
        <f t="shared" si="56"/>
        <v/>
      </c>
      <c r="S236" s="120" t="str">
        <f t="shared" si="56"/>
        <v/>
      </c>
      <c r="T236" s="120" t="str">
        <f t="shared" si="56"/>
        <v/>
      </c>
      <c r="U236" s="120" t="str">
        <f t="shared" si="56"/>
        <v/>
      </c>
      <c r="V236" s="120" t="str">
        <f t="shared" si="56"/>
        <v/>
      </c>
      <c r="W236" s="120" t="str">
        <f t="shared" si="56"/>
        <v/>
      </c>
      <c r="X236" s="120" t="str">
        <f t="shared" si="56"/>
        <v/>
      </c>
      <c r="Y236" s="120" t="str">
        <f t="shared" si="56"/>
        <v/>
      </c>
      <c r="Z236" s="120" t="str">
        <f t="shared" si="56"/>
        <v/>
      </c>
      <c r="AA236" s="120" t="str">
        <f t="shared" si="56"/>
        <v/>
      </c>
      <c r="AB236" s="120" t="str">
        <f t="shared" si="56"/>
        <v/>
      </c>
      <c r="AC236" s="120" t="str">
        <f t="shared" si="56"/>
        <v/>
      </c>
      <c r="AD236" s="120" t="str">
        <f t="shared" si="56"/>
        <v/>
      </c>
      <c r="AE236" s="120" t="str">
        <f t="shared" si="56"/>
        <v/>
      </c>
      <c r="AF236" s="120" t="str">
        <f t="shared" si="56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7">IF(C204&lt;100,"",C204-1500)</f>
        <v/>
      </c>
      <c r="D237" s="120" t="str">
        <f t="shared" si="57"/>
        <v/>
      </c>
      <c r="E237" s="120" t="str">
        <f t="shared" si="57"/>
        <v/>
      </c>
      <c r="F237" s="120" t="str">
        <f t="shared" si="57"/>
        <v/>
      </c>
      <c r="G237" s="120" t="str">
        <f t="shared" si="57"/>
        <v/>
      </c>
      <c r="H237" s="120" t="str">
        <f t="shared" si="57"/>
        <v/>
      </c>
      <c r="I237" s="120" t="str">
        <f t="shared" si="57"/>
        <v/>
      </c>
      <c r="J237" s="120" t="str">
        <f t="shared" si="57"/>
        <v/>
      </c>
      <c r="K237" s="120" t="str">
        <f t="shared" si="57"/>
        <v/>
      </c>
      <c r="L237" s="120" t="str">
        <f t="shared" si="57"/>
        <v/>
      </c>
      <c r="M237" s="120" t="str">
        <f t="shared" si="57"/>
        <v/>
      </c>
      <c r="N237" s="120" t="str">
        <f t="shared" si="57"/>
        <v/>
      </c>
      <c r="O237" s="120" t="str">
        <f t="shared" si="57"/>
        <v/>
      </c>
      <c r="P237" s="120" t="str">
        <f t="shared" si="57"/>
        <v/>
      </c>
      <c r="Q237" s="120" t="str">
        <f t="shared" si="57"/>
        <v/>
      </c>
      <c r="R237" s="120" t="str">
        <f t="shared" si="57"/>
        <v/>
      </c>
      <c r="S237" s="120" t="str">
        <f t="shared" si="57"/>
        <v/>
      </c>
      <c r="T237" s="120" t="str">
        <f t="shared" si="57"/>
        <v/>
      </c>
      <c r="U237" s="120" t="str">
        <f t="shared" si="57"/>
        <v/>
      </c>
      <c r="V237" s="120" t="str">
        <f t="shared" si="57"/>
        <v/>
      </c>
      <c r="W237" s="120" t="str">
        <f t="shared" si="57"/>
        <v/>
      </c>
      <c r="X237" s="120" t="str">
        <f t="shared" si="57"/>
        <v/>
      </c>
      <c r="Y237" s="120" t="str">
        <f t="shared" si="57"/>
        <v/>
      </c>
      <c r="Z237" s="120" t="str">
        <f t="shared" si="57"/>
        <v/>
      </c>
      <c r="AA237" s="120" t="str">
        <f t="shared" si="57"/>
        <v/>
      </c>
      <c r="AB237" s="120" t="str">
        <f t="shared" si="57"/>
        <v/>
      </c>
      <c r="AC237" s="120" t="str">
        <f t="shared" si="57"/>
        <v/>
      </c>
      <c r="AD237" s="120" t="str">
        <f t="shared" si="57"/>
        <v/>
      </c>
      <c r="AE237" s="120" t="str">
        <f t="shared" si="57"/>
        <v/>
      </c>
      <c r="AF237" s="120" t="str">
        <f t="shared" si="57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86" priority="351">
      <formula>S$9&gt;=20/24</formula>
    </cfRule>
    <cfRule type="expression" dxfId="585" priority="352">
      <formula>AND(S$9&gt;=14/24,S$9&lt;20/24)</formula>
    </cfRule>
    <cfRule type="expression" dxfId="584" priority="353">
      <formula>AND(S$9&gt;=8/24,S$9&lt;14/24)</formula>
    </cfRule>
    <cfRule type="expression" dxfId="583" priority="354">
      <formula>S$9&lt;8/24</formula>
    </cfRule>
  </conditionalFormatting>
  <conditionalFormatting sqref="B8:AF10 AA80:AF80 B80:Q80 C192:AF198 T211:AX211 R39:S40 T39:W41 X84:Z90 Y39:AD42 AA83:AF90 B79:AF79 B55:AF55 B67:AF71 B73:AF77 B81:AF81 B62:K66 B56:K60 W18:W30 Q11:W11 L11:P14 L36:Q36 L38:Q41 Q12:S14 L52:AF54 T14:V14 L16:V32 L57:V66 Z11:AF11 AE56:AF59">
    <cfRule type="expression" dxfId="582" priority="347">
      <formula>B$9&gt;=20/24</formula>
    </cfRule>
    <cfRule type="expression" dxfId="581" priority="348">
      <formula>AND(B$9&gt;=14/24,B$9&lt;20/24)</formula>
    </cfRule>
    <cfRule type="expression" dxfId="580" priority="349">
      <formula>AND(B$9&gt;=8/24,B$9&lt;14/24)</formula>
    </cfRule>
    <cfRule type="expression" dxfId="579" priority="350">
      <formula>B$9&lt;8/24</formula>
    </cfRule>
  </conditionalFormatting>
  <conditionalFormatting sqref="B190:AF190">
    <cfRule type="expression" dxfId="578" priority="343">
      <formula>B$9&gt;=20/24</formula>
    </cfRule>
    <cfRule type="expression" dxfId="577" priority="344">
      <formula>AND(B$9&gt;=14/24,B$9&lt;20/24)</formula>
    </cfRule>
    <cfRule type="expression" dxfId="576" priority="345">
      <formula>AND(B$9&gt;=8/24,B$9&lt;14/24)</formula>
    </cfRule>
    <cfRule type="expression" dxfId="575" priority="346">
      <formula>B$9&lt;8/24</formula>
    </cfRule>
  </conditionalFormatting>
  <conditionalFormatting sqref="AL4:AL6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L56:V56">
    <cfRule type="expression" dxfId="574" priority="338">
      <formula>L$9&gt;=20/24</formula>
    </cfRule>
    <cfRule type="expression" dxfId="573" priority="339">
      <formula>AND(L$9&gt;=14/24,L$9&lt;20/24)</formula>
    </cfRule>
    <cfRule type="expression" dxfId="572" priority="340">
      <formula>AND(L$9&gt;=8/24,L$9&lt;14/24)</formula>
    </cfRule>
    <cfRule type="expression" dxfId="571" priority="341">
      <formula>L$9&lt;8/24</formula>
    </cfRule>
  </conditionalFormatting>
  <conditionalFormatting sqref="L42:Q42">
    <cfRule type="expression" dxfId="570" priority="334">
      <formula>L$9&gt;=20/24</formula>
    </cfRule>
    <cfRule type="expression" dxfId="569" priority="335">
      <formula>AND(L$9&gt;=14/24,L$9&lt;20/24)</formula>
    </cfRule>
    <cfRule type="expression" dxfId="568" priority="336">
      <formula>AND(L$9&gt;=8/24,L$9&lt;14/24)</formula>
    </cfRule>
    <cfRule type="expression" dxfId="567" priority="337">
      <formula>L$9&lt;8/24</formula>
    </cfRule>
  </conditionalFormatting>
  <conditionalFormatting sqref="R38:W38 Y38:AD38">
    <cfRule type="expression" dxfId="566" priority="326">
      <formula>R$9&gt;=20/24</formula>
    </cfRule>
    <cfRule type="expression" dxfId="565" priority="327">
      <formula>AND(R$9&gt;=14/24,R$9&lt;20/24)</formula>
    </cfRule>
    <cfRule type="expression" dxfId="564" priority="328">
      <formula>AND(R$9&gt;=8/24,R$9&lt;14/24)</formula>
    </cfRule>
    <cfRule type="expression" dxfId="563" priority="329">
      <formula>R$9&lt;8/24</formula>
    </cfRule>
  </conditionalFormatting>
  <conditionalFormatting sqref="W56:AD56">
    <cfRule type="expression" dxfId="562" priority="322">
      <formula>W$9&gt;=20/24</formula>
    </cfRule>
    <cfRule type="expression" dxfId="561" priority="323">
      <formula>AND(W$9&gt;=14/24,W$9&lt;20/24)</formula>
    </cfRule>
    <cfRule type="expression" dxfId="560" priority="324">
      <formula>AND(W$9&gt;=8/24,W$9&lt;14/24)</formula>
    </cfRule>
    <cfRule type="expression" dxfId="559" priority="325">
      <formula>W$9&lt;8/24</formula>
    </cfRule>
  </conditionalFormatting>
  <conditionalFormatting sqref="R80:Z80">
    <cfRule type="expression" dxfId="558" priority="318">
      <formula>R$9&gt;=20/24</formula>
    </cfRule>
    <cfRule type="expression" dxfId="557" priority="319">
      <formula>AND(R$9&gt;=14/24,R$9&lt;20/24)</formula>
    </cfRule>
    <cfRule type="expression" dxfId="556" priority="320">
      <formula>AND(R$9&gt;=8/24,R$9&lt;14/24)</formula>
    </cfRule>
    <cfRule type="expression" dxfId="555" priority="321">
      <formula>R$9&lt;8/24</formula>
    </cfRule>
  </conditionalFormatting>
  <conditionalFormatting sqref="T83:V83 X83:Z83">
    <cfRule type="expression" dxfId="554" priority="314">
      <formula>T$9&gt;=20/24</formula>
    </cfRule>
    <cfRule type="expression" dxfId="553" priority="315">
      <formula>AND(T$9&gt;=14/24,T$9&lt;20/24)</formula>
    </cfRule>
    <cfRule type="expression" dxfId="552" priority="316">
      <formula>AND(T$9&gt;=8/24,T$9&lt;14/24)</formula>
    </cfRule>
    <cfRule type="expression" dxfId="551" priority="317">
      <formula>T$9&lt;8/24</formula>
    </cfRule>
  </conditionalFormatting>
  <conditionalFormatting sqref="L34:V34">
    <cfRule type="expression" dxfId="550" priority="310">
      <formula>L$9&gt;=20/24</formula>
    </cfRule>
    <cfRule type="expression" dxfId="549" priority="311">
      <formula>AND(L$9&gt;=14/24,L$9&lt;20/24)</formula>
    </cfRule>
    <cfRule type="expression" dxfId="548" priority="312">
      <formula>AND(L$9&gt;=8/24,L$9&lt;14/24)</formula>
    </cfRule>
    <cfRule type="expression" dxfId="547" priority="313">
      <formula>L$9&lt;8/24</formula>
    </cfRule>
  </conditionalFormatting>
  <conditionalFormatting sqref="L48:V48">
    <cfRule type="expression" dxfId="546" priority="306">
      <formula>L$9&gt;=20/24</formula>
    </cfRule>
    <cfRule type="expression" dxfId="545" priority="307">
      <formula>AND(L$9&gt;=14/24,L$9&lt;20/24)</formula>
    </cfRule>
    <cfRule type="expression" dxfId="544" priority="308">
      <formula>AND(L$9&gt;=8/24,L$9&lt;14/24)</formula>
    </cfRule>
    <cfRule type="expression" dxfId="543" priority="309">
      <formula>L$9&lt;8/24</formula>
    </cfRule>
  </conditionalFormatting>
  <conditionalFormatting sqref="L49:V49">
    <cfRule type="expression" dxfId="542" priority="302">
      <formula>L$9&gt;=20/24</formula>
    </cfRule>
    <cfRule type="expression" dxfId="541" priority="303">
      <formula>AND(L$9&gt;=14/24,L$9&lt;20/24)</formula>
    </cfRule>
    <cfRule type="expression" dxfId="540" priority="304">
      <formula>AND(L$9&gt;=8/24,L$9&lt;14/24)</formula>
    </cfRule>
    <cfRule type="expression" dxfId="539" priority="305">
      <formula>L$9&lt;8/24</formula>
    </cfRule>
  </conditionalFormatting>
  <conditionalFormatting sqref="L44:Q47 R45:V47">
    <cfRule type="expression" dxfId="538" priority="298">
      <formula>L$9&gt;=20/24</formula>
    </cfRule>
    <cfRule type="expression" dxfId="537" priority="299">
      <formula>AND(L$9&gt;=14/24,L$9&lt;20/24)</formula>
    </cfRule>
    <cfRule type="expression" dxfId="536" priority="300">
      <formula>AND(L$9&gt;=8/24,L$9&lt;14/24)</formula>
    </cfRule>
    <cfRule type="expression" dxfId="535" priority="301">
      <formula>L$9&lt;8/24</formula>
    </cfRule>
  </conditionalFormatting>
  <conditionalFormatting sqref="R36:W36 Y36:AF36">
    <cfRule type="expression" dxfId="534" priority="294">
      <formula>R$9&gt;=20/24</formula>
    </cfRule>
    <cfRule type="expression" dxfId="533" priority="295">
      <formula>AND(R$9&gt;=14/24,R$9&lt;20/24)</formula>
    </cfRule>
    <cfRule type="expression" dxfId="532" priority="296">
      <formula>AND(R$9&gt;=8/24,R$9&lt;14/24)</formula>
    </cfRule>
    <cfRule type="expression" dxfId="531" priority="297">
      <formula>R$9&lt;8/24</formula>
    </cfRule>
  </conditionalFormatting>
  <conditionalFormatting sqref="W31:W32 W34">
    <cfRule type="expression" dxfId="530" priority="290">
      <formula>W$9&gt;=20/24</formula>
    </cfRule>
    <cfRule type="expression" dxfId="529" priority="291">
      <formula>AND(W$9&gt;=14/24,W$9&lt;20/24)</formula>
    </cfRule>
    <cfRule type="expression" dxfId="528" priority="292">
      <formula>AND(W$9&gt;=8/24,W$9&lt;14/24)</formula>
    </cfRule>
    <cfRule type="expression" dxfId="527" priority="293">
      <formula>W$9&lt;8/24</formula>
    </cfRule>
  </conditionalFormatting>
  <conditionalFormatting sqref="R41:S42 T42:W42 R44:W47 AA44:AD47">
    <cfRule type="expression" dxfId="526" priority="286">
      <formula>R$9&gt;=20/24</formula>
    </cfRule>
    <cfRule type="expression" dxfId="525" priority="287">
      <formula>AND(R$9&gt;=14/24,R$9&lt;20/24)</formula>
    </cfRule>
    <cfRule type="expression" dxfId="524" priority="288">
      <formula>AND(R$9&gt;=8/24,R$9&lt;14/24)</formula>
    </cfRule>
    <cfRule type="expression" dxfId="523" priority="289">
      <formula>R$9&lt;8/24</formula>
    </cfRule>
  </conditionalFormatting>
  <conditionalFormatting sqref="R48:W48 AA48:AD48">
    <cfRule type="expression" dxfId="522" priority="282">
      <formula>R$9&gt;=20/24</formula>
    </cfRule>
    <cfRule type="expression" dxfId="521" priority="283">
      <formula>AND(R$9&gt;=14/24,R$9&lt;20/24)</formula>
    </cfRule>
    <cfRule type="expression" dxfId="520" priority="284">
      <formula>AND(R$9&gt;=8/24,R$9&lt;14/24)</formula>
    </cfRule>
    <cfRule type="expression" dxfId="519" priority="285">
      <formula>R$9&lt;8/24</formula>
    </cfRule>
  </conditionalFormatting>
  <conditionalFormatting sqref="R49:W49 AA49:AD49">
    <cfRule type="expression" dxfId="518" priority="278">
      <formula>R$9&gt;=20/24</formula>
    </cfRule>
    <cfRule type="expression" dxfId="517" priority="279">
      <formula>AND(R$9&gt;=14/24,R$9&lt;20/24)</formula>
    </cfRule>
    <cfRule type="expression" dxfId="516" priority="280">
      <formula>AND(R$9&gt;=8/24,R$9&lt;14/24)</formula>
    </cfRule>
    <cfRule type="expression" dxfId="515" priority="281">
      <formula>R$9&lt;8/24</formula>
    </cfRule>
  </conditionalFormatting>
  <conditionalFormatting sqref="W59:AD66 AE60:AF66">
    <cfRule type="expression" dxfId="514" priority="274">
      <formula>W$9&gt;=20/24</formula>
    </cfRule>
    <cfRule type="expression" dxfId="513" priority="275">
      <formula>AND(W$9&gt;=14/24,W$9&lt;20/24)</formula>
    </cfRule>
    <cfRule type="expression" dxfId="512" priority="276">
      <formula>AND(W$9&gt;=8/24,W$9&lt;14/24)</formula>
    </cfRule>
    <cfRule type="expression" dxfId="511" priority="277">
      <formula>W$9&lt;8/24</formula>
    </cfRule>
  </conditionalFormatting>
  <conditionalFormatting sqref="AA93:AF96">
    <cfRule type="expression" dxfId="510" priority="270">
      <formula>AA$9&gt;=20/24</formula>
    </cfRule>
    <cfRule type="expression" dxfId="509" priority="271">
      <formula>AND(AA$9&gt;=14/24,AA$9&lt;20/24)</formula>
    </cfRule>
    <cfRule type="expression" dxfId="508" priority="272">
      <formula>AND(AA$9&gt;=8/24,AA$9&lt;14/24)</formula>
    </cfRule>
    <cfRule type="expression" dxfId="507" priority="273">
      <formula>AA$9&lt;8/24</formula>
    </cfRule>
  </conditionalFormatting>
  <conditionalFormatting sqref="B61:K61">
    <cfRule type="expression" dxfId="506" priority="266">
      <formula>B$9&gt;=20/24</formula>
    </cfRule>
    <cfRule type="expression" dxfId="505" priority="267">
      <formula>AND(B$9&gt;=14/24,B$9&lt;20/24)</formula>
    </cfRule>
    <cfRule type="expression" dxfId="504" priority="268">
      <formula>AND(B$9&gt;=8/24,B$9&lt;14/24)</formula>
    </cfRule>
    <cfRule type="expression" dxfId="503" priority="269">
      <formula>B$9&lt;8/24</formula>
    </cfRule>
  </conditionalFormatting>
  <conditionalFormatting sqref="T93:Z96">
    <cfRule type="expression" dxfId="502" priority="262">
      <formula>T$9&gt;=20/24</formula>
    </cfRule>
    <cfRule type="expression" dxfId="501" priority="263">
      <formula>AND(T$9&gt;=14/24,T$9&lt;20/24)</formula>
    </cfRule>
    <cfRule type="expression" dxfId="500" priority="264">
      <formula>AND(T$9&gt;=8/24,T$9&lt;14/24)</formula>
    </cfRule>
    <cfRule type="expression" dxfId="499" priority="265">
      <formula>T$9&lt;8/24</formula>
    </cfRule>
  </conditionalFormatting>
  <conditionalFormatting sqref="AG50 W18:W32 Q11:W11 B11:P14 Q12:S14 T14:V14 B16:V32 B37:AF37 B50:AF55 B34:W36 B44:W49 AA44:AF49 B38:W42 Y38:AF42 Z11:AF11 Y36:AF36">
    <cfRule type="expression" dxfId="498" priority="261">
      <formula>B11&gt;$AG11</formula>
    </cfRule>
  </conditionalFormatting>
  <conditionalFormatting sqref="A99:A155 A83:A96 A11:A14 A16:A32 A44:A71 A79:A81 A73:A77 A34:A42 A168:A199">
    <cfRule type="expression" dxfId="497" priority="260">
      <formula>$AH11=0</formula>
    </cfRule>
  </conditionalFormatting>
  <conditionalFormatting sqref="AA97:AF97">
    <cfRule type="expression" dxfId="496" priority="256">
      <formula>AA$9&gt;=20/24</formula>
    </cfRule>
    <cfRule type="expression" dxfId="495" priority="257">
      <formula>AND(AA$9&gt;=14/24,AA$9&lt;20/24)</formula>
    </cfRule>
    <cfRule type="expression" dxfId="494" priority="258">
      <formula>AND(AA$9&gt;=8/24,AA$9&lt;14/24)</formula>
    </cfRule>
    <cfRule type="expression" dxfId="493" priority="259">
      <formula>AA$9&lt;8/24</formula>
    </cfRule>
  </conditionalFormatting>
  <conditionalFormatting sqref="T97:Z97">
    <cfRule type="expression" dxfId="492" priority="252">
      <formula>T$9&gt;=20/24</formula>
    </cfRule>
    <cfRule type="expression" dxfId="491" priority="253">
      <formula>AND(T$9&gt;=14/24,T$9&lt;20/24)</formula>
    </cfRule>
    <cfRule type="expression" dxfId="490" priority="254">
      <formula>AND(T$9&gt;=8/24,T$9&lt;14/24)</formula>
    </cfRule>
    <cfRule type="expression" dxfId="489" priority="255">
      <formula>T$9&lt;8/24</formula>
    </cfRule>
  </conditionalFormatting>
  <conditionalFormatting sqref="A97">
    <cfRule type="expression" dxfId="488" priority="251">
      <formula>$AH97=0</formula>
    </cfRule>
  </conditionalFormatting>
  <conditionalFormatting sqref="C35:W35">
    <cfRule type="expression" dxfId="487" priority="247">
      <formula>C$9&gt;=20/24</formula>
    </cfRule>
    <cfRule type="expression" dxfId="486" priority="248">
      <formula>AND(C$9&gt;=14/24,C$9&lt;20/24)</formula>
    </cfRule>
    <cfRule type="expression" dxfId="485" priority="249">
      <formula>AND(C$9&gt;=8/24,C$9&lt;14/24)</formula>
    </cfRule>
    <cfRule type="expression" dxfId="484" priority="250">
      <formula>C$9&lt;8/24</formula>
    </cfRule>
  </conditionalFormatting>
  <conditionalFormatting sqref="W35">
    <cfRule type="expression" dxfId="483" priority="243">
      <formula>W$9&gt;=20/24</formula>
    </cfRule>
    <cfRule type="expression" dxfId="482" priority="244">
      <formula>AND(W$9&gt;=14/24,W$9&lt;20/24)</formula>
    </cfRule>
    <cfRule type="expression" dxfId="481" priority="245">
      <formula>AND(W$9&gt;=8/24,W$9&lt;14/24)</formula>
    </cfRule>
    <cfRule type="expression" dxfId="480" priority="246">
      <formula>W$9&lt;8/24</formula>
    </cfRule>
  </conditionalFormatting>
  <conditionalFormatting sqref="B35">
    <cfRule type="expression" dxfId="479" priority="239">
      <formula>B$9&gt;=20/24</formula>
    </cfRule>
    <cfRule type="expression" dxfId="478" priority="240">
      <formula>AND(B$9&gt;=14/24,B$9&lt;20/24)</formula>
    </cfRule>
    <cfRule type="expression" dxfId="477" priority="241">
      <formula>AND(B$9&gt;=8/24,B$9&lt;14/24)</formula>
    </cfRule>
    <cfRule type="expression" dxfId="476" priority="242">
      <formula>B$9&lt;8/24</formula>
    </cfRule>
  </conditionalFormatting>
  <conditionalFormatting sqref="AL32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L33:V33">
    <cfRule type="expression" dxfId="475" priority="222">
      <formula>L$9&gt;=20/24</formula>
    </cfRule>
    <cfRule type="expression" dxfId="474" priority="223">
      <formula>AND(L$9&gt;=14/24,L$9&lt;20/24)</formula>
    </cfRule>
    <cfRule type="expression" dxfId="473" priority="224">
      <formula>AND(L$9&gt;=8/24,L$9&lt;14/24)</formula>
    </cfRule>
    <cfRule type="expression" dxfId="472" priority="225">
      <formula>L$9&lt;8/24</formula>
    </cfRule>
  </conditionalFormatting>
  <conditionalFormatting sqref="W33">
    <cfRule type="expression" dxfId="471" priority="218">
      <formula>W$9&gt;=20/24</formula>
    </cfRule>
    <cfRule type="expression" dxfId="470" priority="219">
      <formula>AND(W$9&gt;=14/24,W$9&lt;20/24)</formula>
    </cfRule>
    <cfRule type="expression" dxfId="469" priority="220">
      <formula>AND(W$9&gt;=8/24,W$9&lt;14/24)</formula>
    </cfRule>
    <cfRule type="expression" dxfId="468" priority="221">
      <formula>W$9&lt;8/24</formula>
    </cfRule>
  </conditionalFormatting>
  <conditionalFormatting sqref="B33:W33">
    <cfRule type="expression" dxfId="467" priority="217">
      <formula>B33&gt;$AG33</formula>
    </cfRule>
  </conditionalFormatting>
  <conditionalFormatting sqref="A33">
    <cfRule type="expression" dxfId="466" priority="216">
      <formula>$AH33=0</formula>
    </cfRule>
  </conditionalFormatting>
  <conditionalFormatting sqref="B82:AF82">
    <cfRule type="expression" dxfId="465" priority="212">
      <formula>B$9&gt;=20/24</formula>
    </cfRule>
    <cfRule type="expression" dxfId="464" priority="213">
      <formula>AND(B$9&gt;=14/24,B$9&lt;20/24)</formula>
    </cfRule>
    <cfRule type="expression" dxfId="463" priority="214">
      <formula>AND(B$9&gt;=8/24,B$9&lt;14/24)</formula>
    </cfRule>
    <cfRule type="expression" dxfId="462" priority="215">
      <formula>B$9&lt;8/24</formula>
    </cfRule>
  </conditionalFormatting>
  <conditionalFormatting sqref="A82">
    <cfRule type="expression" dxfId="461" priority="211">
      <formula>$AH82=0</formula>
    </cfRule>
  </conditionalFormatting>
  <conditionalFormatting sqref="L15:V15">
    <cfRule type="expression" dxfId="460" priority="203">
      <formula>L$9&gt;=20/24</formula>
    </cfRule>
    <cfRule type="expression" dxfId="459" priority="204">
      <formula>AND(L$9&gt;=14/24,L$9&lt;20/24)</formula>
    </cfRule>
    <cfRule type="expression" dxfId="458" priority="205">
      <formula>AND(L$9&gt;=8/24,L$9&lt;14/24)</formula>
    </cfRule>
    <cfRule type="expression" dxfId="457" priority="206">
      <formula>L$9&lt;8/24</formula>
    </cfRule>
  </conditionalFormatting>
  <conditionalFormatting sqref="B15:V15">
    <cfRule type="expression" dxfId="456" priority="202">
      <formula>B15&gt;$AG15</formula>
    </cfRule>
  </conditionalFormatting>
  <conditionalFormatting sqref="A15">
    <cfRule type="expression" dxfId="455" priority="201">
      <formula>$AH15=0</formula>
    </cfRule>
  </conditionalFormatting>
  <conditionalFormatting sqref="A162:A167">
    <cfRule type="expression" dxfId="454" priority="200">
      <formula>$AH162=0</formula>
    </cfRule>
  </conditionalFormatting>
  <conditionalFormatting sqref="A156:A161">
    <cfRule type="expression" dxfId="453" priority="199">
      <formula>$AH156=0</formula>
    </cfRule>
  </conditionalFormatting>
  <conditionalFormatting sqref="AA43:AD43">
    <cfRule type="expression" dxfId="452" priority="195">
      <formula>AA$9&gt;=20/24</formula>
    </cfRule>
    <cfRule type="expression" dxfId="451" priority="196">
      <formula>AND(AA$9&gt;=14/24,AA$9&lt;20/24)</formula>
    </cfRule>
    <cfRule type="expression" dxfId="450" priority="197">
      <formula>AND(AA$9&gt;=8/24,AA$9&lt;14/24)</formula>
    </cfRule>
    <cfRule type="expression" dxfId="449" priority="198">
      <formula>AA$9&lt;8/24</formula>
    </cfRule>
  </conditionalFormatting>
  <conditionalFormatting sqref="L43:Q43">
    <cfRule type="expression" dxfId="448" priority="191">
      <formula>L$9&gt;=20/24</formula>
    </cfRule>
    <cfRule type="expression" dxfId="447" priority="192">
      <formula>AND(L$9&gt;=14/24,L$9&lt;20/24)</formula>
    </cfRule>
    <cfRule type="expression" dxfId="446" priority="193">
      <formula>AND(L$9&gt;=8/24,L$9&lt;14/24)</formula>
    </cfRule>
    <cfRule type="expression" dxfId="445" priority="194">
      <formula>L$9&lt;8/24</formula>
    </cfRule>
  </conditionalFormatting>
  <conditionalFormatting sqref="R43:W43">
    <cfRule type="expression" dxfId="444" priority="187">
      <formula>R$9&gt;=20/24</formula>
    </cfRule>
    <cfRule type="expression" dxfId="443" priority="188">
      <formula>AND(R$9&gt;=14/24,R$9&lt;20/24)</formula>
    </cfRule>
    <cfRule type="expression" dxfId="442" priority="189">
      <formula>AND(R$9&gt;=8/24,R$9&lt;14/24)</formula>
    </cfRule>
    <cfRule type="expression" dxfId="441" priority="190">
      <formula>R$9&lt;8/24</formula>
    </cfRule>
  </conditionalFormatting>
  <conditionalFormatting sqref="B43:W43 AA43:AF43">
    <cfRule type="expression" dxfId="440" priority="186">
      <formula>B43&gt;$AG43</formula>
    </cfRule>
  </conditionalFormatting>
  <conditionalFormatting sqref="A43">
    <cfRule type="expression" dxfId="439" priority="185">
      <formula>$AH43=0</formula>
    </cfRule>
  </conditionalFormatting>
  <conditionalFormatting sqref="B78:AF78">
    <cfRule type="expression" dxfId="438" priority="181">
      <formula>B$9&gt;=20/24</formula>
    </cfRule>
    <cfRule type="expression" dxfId="437" priority="182">
      <formula>AND(B$9&gt;=14/24,B$9&lt;20/24)</formula>
    </cfRule>
    <cfRule type="expression" dxfId="436" priority="183">
      <formula>AND(B$9&gt;=8/24,B$9&lt;14/24)</formula>
    </cfRule>
    <cfRule type="expression" dxfId="435" priority="184">
      <formula>B$9&lt;8/24</formula>
    </cfRule>
  </conditionalFormatting>
  <conditionalFormatting sqref="A78">
    <cfRule type="expression" dxfId="434" priority="180">
      <formula>$AH78=0</formula>
    </cfRule>
  </conditionalFormatting>
  <conditionalFormatting sqref="B72:AG72">
    <cfRule type="expression" dxfId="433" priority="176">
      <formula>B$9&gt;=20/24</formula>
    </cfRule>
    <cfRule type="expression" dxfId="432" priority="177">
      <formula>AND(B$9&gt;=14/24,B$9&lt;20/24)</formula>
    </cfRule>
    <cfRule type="expression" dxfId="431" priority="178">
      <formula>AND(B$9&gt;=8/24,B$9&lt;14/24)</formula>
    </cfRule>
    <cfRule type="expression" dxfId="430" priority="179">
      <formula>B$9&lt;8/24</formula>
    </cfRule>
  </conditionalFormatting>
  <conditionalFormatting sqref="A72">
    <cfRule type="expression" dxfId="429" priority="175">
      <formula>$AH72=0</formula>
    </cfRule>
  </conditionalFormatting>
  <conditionalFormatting sqref="AL33:AL34 AL7:AL31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T84:V90">
    <cfRule type="expression" dxfId="428" priority="167">
      <formula>T$9&gt;=20/24</formula>
    </cfRule>
    <cfRule type="expression" dxfId="427" priority="168">
      <formula>AND(T$9&gt;=14/24,T$9&lt;20/24)</formula>
    </cfRule>
    <cfRule type="expression" dxfId="426" priority="169">
      <formula>AND(T$9&gt;=8/24,T$9&lt;14/24)</formula>
    </cfRule>
    <cfRule type="expression" dxfId="425" priority="170">
      <formula>T$9&lt;8/24</formula>
    </cfRule>
  </conditionalFormatting>
  <conditionalFormatting sqref="R84:S90 B83:Q90">
    <cfRule type="expression" dxfId="424" priority="163">
      <formula>B$9&gt;=20/24</formula>
    </cfRule>
    <cfRule type="expression" dxfId="423" priority="164">
      <formula>AND(B$9&gt;=14/24,B$9&lt;20/24)</formula>
    </cfRule>
    <cfRule type="expression" dxfId="422" priority="165">
      <formula>AND(B$9&gt;=8/24,B$9&lt;14/24)</formula>
    </cfRule>
    <cfRule type="expression" dxfId="421" priority="166">
      <formula>B$9&lt;8/24</formula>
    </cfRule>
  </conditionalFormatting>
  <conditionalFormatting sqref="R83:S83">
    <cfRule type="expression" dxfId="420" priority="159">
      <formula>R$9&gt;=20/24</formula>
    </cfRule>
    <cfRule type="expression" dxfId="419" priority="160">
      <formula>AND(R$9&gt;=14/24,R$9&lt;20/24)</formula>
    </cfRule>
    <cfRule type="expression" dxfId="418" priority="161">
      <formula>AND(R$9&gt;=8/24,R$9&lt;14/24)</formula>
    </cfRule>
    <cfRule type="expression" dxfId="417" priority="162">
      <formula>R$9&lt;8/24</formula>
    </cfRule>
  </conditionalFormatting>
  <conditionalFormatting sqref="B93:E93 B94:Q96">
    <cfRule type="expression" dxfId="416" priority="155">
      <formula>B$9&gt;=20/24</formula>
    </cfRule>
    <cfRule type="expression" dxfId="415" priority="156">
      <formula>AND(B$9&gt;=14/24,B$9&lt;20/24)</formula>
    </cfRule>
    <cfRule type="expression" dxfId="414" priority="157">
      <formula>AND(B$9&gt;=8/24,B$9&lt;14/24)</formula>
    </cfRule>
    <cfRule type="expression" dxfId="413" priority="158">
      <formula>B$9&lt;8/24</formula>
    </cfRule>
  </conditionalFormatting>
  <conditionalFormatting sqref="R93:S96">
    <cfRule type="expression" dxfId="412" priority="147">
      <formula>R$9&gt;=20/24</formula>
    </cfRule>
    <cfRule type="expression" dxfId="411" priority="148">
      <formula>AND(R$9&gt;=14/24,R$9&lt;20/24)</formula>
    </cfRule>
    <cfRule type="expression" dxfId="410" priority="149">
      <formula>AND(R$9&gt;=8/24,R$9&lt;14/24)</formula>
    </cfRule>
    <cfRule type="expression" dxfId="409" priority="150">
      <formula>R$9&lt;8/24</formula>
    </cfRule>
  </conditionalFormatting>
  <conditionalFormatting sqref="B97:Q97">
    <cfRule type="expression" dxfId="408" priority="143">
      <formula>B$9&gt;=20/24</formula>
    </cfRule>
    <cfRule type="expression" dxfId="407" priority="144">
      <formula>AND(B$9&gt;=14/24,B$9&lt;20/24)</formula>
    </cfRule>
    <cfRule type="expression" dxfId="406" priority="145">
      <formula>AND(B$9&gt;=8/24,B$9&lt;14/24)</formula>
    </cfRule>
    <cfRule type="expression" dxfId="405" priority="146">
      <formula>B$9&lt;8/24</formula>
    </cfRule>
  </conditionalFormatting>
  <conditionalFormatting sqref="R97:S97">
    <cfRule type="expression" dxfId="404" priority="135">
      <formula>R$9&gt;=20/24</formula>
    </cfRule>
    <cfRule type="expression" dxfId="403" priority="136">
      <formula>AND(R$9&gt;=14/24,R$9&lt;20/24)</formula>
    </cfRule>
    <cfRule type="expression" dxfId="402" priority="137">
      <formula>AND(R$9&gt;=8/24,R$9&lt;14/24)</formula>
    </cfRule>
    <cfRule type="expression" dxfId="401" priority="138">
      <formula>R$9&lt;8/24</formula>
    </cfRule>
  </conditionalFormatting>
  <conditionalFormatting sqref="L93:Q93">
    <cfRule type="expression" dxfId="400" priority="131">
      <formula>L$9&gt;=20/24</formula>
    </cfRule>
    <cfRule type="expression" dxfId="399" priority="132">
      <formula>AND(L$9&gt;=14/24,L$9&lt;20/24)</formula>
    </cfRule>
    <cfRule type="expression" dxfId="398" priority="133">
      <formula>AND(L$9&gt;=8/24,L$9&lt;14/24)</formula>
    </cfRule>
    <cfRule type="expression" dxfId="397" priority="134">
      <formula>L$9&lt;8/24</formula>
    </cfRule>
  </conditionalFormatting>
  <conditionalFormatting sqref="F93:K93">
    <cfRule type="expression" dxfId="396" priority="127">
      <formula>F$9&gt;=20/24</formula>
    </cfRule>
    <cfRule type="expression" dxfId="395" priority="128">
      <formula>AND(F$9&gt;=14/24,F$9&lt;20/24)</formula>
    </cfRule>
    <cfRule type="expression" dxfId="394" priority="129">
      <formula>AND(F$9&gt;=8/24,F$9&lt;14/24)</formula>
    </cfRule>
    <cfRule type="expression" dxfId="393" priority="130">
      <formula>F$9&lt;8/24</formula>
    </cfRule>
  </conditionalFormatting>
  <conditionalFormatting sqref="T93:V93">
    <cfRule type="expression" dxfId="392" priority="123">
      <formula>T$9&gt;=20/24</formula>
    </cfRule>
    <cfRule type="expression" dxfId="391" priority="124">
      <formula>AND(T$9&gt;=14/24,T$9&lt;20/24)</formula>
    </cfRule>
    <cfRule type="expression" dxfId="390" priority="125">
      <formula>AND(T$9&gt;=8/24,T$9&lt;14/24)</formula>
    </cfRule>
    <cfRule type="expression" dxfId="389" priority="126">
      <formula>T$9&lt;8/24</formula>
    </cfRule>
  </conditionalFormatting>
  <conditionalFormatting sqref="R93:S93">
    <cfRule type="expression" dxfId="388" priority="119">
      <formula>R$9&gt;=20/24</formula>
    </cfRule>
    <cfRule type="expression" dxfId="387" priority="120">
      <formula>AND(R$9&gt;=14/24,R$9&lt;20/24)</formula>
    </cfRule>
    <cfRule type="expression" dxfId="386" priority="121">
      <formula>AND(R$9&gt;=8/24,R$9&lt;14/24)</formula>
    </cfRule>
    <cfRule type="expression" dxfId="385" priority="122">
      <formula>R$9&lt;8/24</formula>
    </cfRule>
  </conditionalFormatting>
  <conditionalFormatting sqref="AA98:AF98">
    <cfRule type="expression" dxfId="384" priority="115">
      <formula>AA$9&gt;=20/24</formula>
    </cfRule>
    <cfRule type="expression" dxfId="383" priority="116">
      <formula>AND(AA$9&gt;=14/24,AA$9&lt;20/24)</formula>
    </cfRule>
    <cfRule type="expression" dxfId="382" priority="117">
      <formula>AND(AA$9&gt;=8/24,AA$9&lt;14/24)</formula>
    </cfRule>
    <cfRule type="expression" dxfId="381" priority="118">
      <formula>AA$9&lt;8/24</formula>
    </cfRule>
  </conditionalFormatting>
  <conditionalFormatting sqref="T98:Z98">
    <cfRule type="expression" dxfId="380" priority="111">
      <formula>T$9&gt;=20/24</formula>
    </cfRule>
    <cfRule type="expression" dxfId="379" priority="112">
      <formula>AND(T$9&gt;=14/24,T$9&lt;20/24)</formula>
    </cfRule>
    <cfRule type="expression" dxfId="378" priority="113">
      <formula>AND(T$9&gt;=8/24,T$9&lt;14/24)</formula>
    </cfRule>
    <cfRule type="expression" dxfId="377" priority="114">
      <formula>T$9&lt;8/24</formula>
    </cfRule>
  </conditionalFormatting>
  <conditionalFormatting sqref="A98">
    <cfRule type="expression" dxfId="376" priority="110">
      <formula>$AH98=0</formula>
    </cfRule>
  </conditionalFormatting>
  <conditionalFormatting sqref="B98:Q98">
    <cfRule type="expression" dxfId="375" priority="106">
      <formula>B$9&gt;=20/24</formula>
    </cfRule>
    <cfRule type="expression" dxfId="374" priority="107">
      <formula>AND(B$9&gt;=14/24,B$9&lt;20/24)</formula>
    </cfRule>
    <cfRule type="expression" dxfId="373" priority="108">
      <formula>AND(B$9&gt;=8/24,B$9&lt;14/24)</formula>
    </cfRule>
    <cfRule type="expression" dxfId="372" priority="109">
      <formula>B$9&lt;8/24</formula>
    </cfRule>
  </conditionalFormatting>
  <conditionalFormatting sqref="R98:S98">
    <cfRule type="expression" dxfId="371" priority="98">
      <formula>R$9&gt;=20/24</formula>
    </cfRule>
    <cfRule type="expression" dxfId="370" priority="99">
      <formula>AND(R$9&gt;=14/24,R$9&lt;20/24)</formula>
    </cfRule>
    <cfRule type="expression" dxfId="369" priority="100">
      <formula>AND(R$9&gt;=8/24,R$9&lt;14/24)</formula>
    </cfRule>
    <cfRule type="expression" dxfId="368" priority="101">
      <formula>R$9&lt;8/24</formula>
    </cfRule>
  </conditionalFormatting>
  <conditionalFormatting sqref="W12:W16 T12:V13">
    <cfRule type="expression" dxfId="367" priority="94">
      <formula>T$9&gt;=20/24</formula>
    </cfRule>
    <cfRule type="expression" dxfId="366" priority="95">
      <formula>AND(T$9&gt;=14/24,T$9&lt;20/24)</formula>
    </cfRule>
    <cfRule type="expression" dxfId="365" priority="96">
      <formula>AND(T$9&gt;=8/24,T$9&lt;14/24)</formula>
    </cfRule>
    <cfRule type="expression" dxfId="364" priority="97">
      <formula>T$9&lt;8/24</formula>
    </cfRule>
  </conditionalFormatting>
  <conditionalFormatting sqref="W17">
    <cfRule type="expression" dxfId="363" priority="90">
      <formula>W$9&gt;=20/24</formula>
    </cfRule>
    <cfRule type="expression" dxfId="362" priority="91">
      <formula>AND(W$9&gt;=14/24,W$9&lt;20/24)</formula>
    </cfRule>
    <cfRule type="expression" dxfId="361" priority="92">
      <formula>AND(W$9&gt;=8/24,W$9&lt;14/24)</formula>
    </cfRule>
    <cfRule type="expression" dxfId="360" priority="93">
      <formula>W$9&lt;8/24</formula>
    </cfRule>
  </conditionalFormatting>
  <conditionalFormatting sqref="T12:W13">
    <cfRule type="expression" dxfId="359" priority="86">
      <formula>T$9&gt;=20/24</formula>
    </cfRule>
    <cfRule type="expression" dxfId="358" priority="87">
      <formula>AND(T$9&gt;=14/24,T$9&lt;20/24)</formula>
    </cfRule>
    <cfRule type="expression" dxfId="357" priority="88">
      <formula>AND(T$9&gt;=8/24,T$9&lt;14/24)</formula>
    </cfRule>
    <cfRule type="expression" dxfId="356" priority="89">
      <formula>T$9&lt;8/24</formula>
    </cfRule>
  </conditionalFormatting>
  <conditionalFormatting sqref="AA57:AD58">
    <cfRule type="expression" dxfId="355" priority="82">
      <formula>AA$9&gt;=20/24</formula>
    </cfRule>
    <cfRule type="expression" dxfId="354" priority="83">
      <formula>AND(AA$9&gt;=14/24,AA$9&lt;20/24)</formula>
    </cfRule>
    <cfRule type="expression" dxfId="353" priority="84">
      <formula>AND(AA$9&gt;=8/24,AA$9&lt;14/24)</formula>
    </cfRule>
    <cfRule type="expression" dxfId="352" priority="85">
      <formula>AA$9&lt;8/24</formula>
    </cfRule>
  </conditionalFormatting>
  <conditionalFormatting sqref="X11:Y11 X14:AF14 X16:AF32">
    <cfRule type="expression" dxfId="351" priority="78">
      <formula>X$9&gt;=20/24</formula>
    </cfRule>
    <cfRule type="expression" dxfId="350" priority="79">
      <formula>AND(X$9&gt;=14/24,X$9&lt;20/24)</formula>
    </cfRule>
    <cfRule type="expression" dxfId="349" priority="80">
      <formula>AND(X$9&gt;=8/24,X$9&lt;14/24)</formula>
    </cfRule>
    <cfRule type="expression" dxfId="348" priority="81">
      <formula>X$9&lt;8/24</formula>
    </cfRule>
  </conditionalFormatting>
  <conditionalFormatting sqref="X34:AF34">
    <cfRule type="expression" dxfId="347" priority="74">
      <formula>X$9&gt;=20/24</formula>
    </cfRule>
    <cfRule type="expression" dxfId="346" priority="75">
      <formula>AND(X$9&gt;=14/24,X$9&lt;20/24)</formula>
    </cfRule>
    <cfRule type="expression" dxfId="345" priority="76">
      <formula>AND(X$9&gt;=8/24,X$9&lt;14/24)</formula>
    </cfRule>
    <cfRule type="expression" dxfId="344" priority="77">
      <formula>X$9&lt;8/24</formula>
    </cfRule>
  </conditionalFormatting>
  <conditionalFormatting sqref="X36">
    <cfRule type="expression" dxfId="343" priority="70">
      <formula>X$9&gt;=20/24</formula>
    </cfRule>
    <cfRule type="expression" dxfId="342" priority="71">
      <formula>AND(X$9&gt;=14/24,X$9&lt;20/24)</formula>
    </cfRule>
    <cfRule type="expression" dxfId="341" priority="72">
      <formula>AND(X$9&gt;=8/24,X$9&lt;14/24)</formula>
    </cfRule>
    <cfRule type="expression" dxfId="340" priority="73">
      <formula>X$9&lt;8/24</formula>
    </cfRule>
  </conditionalFormatting>
  <conditionalFormatting sqref="X34:X36 X11:Y11 X14:AF14 X16:AF32 Y34:AF35">
    <cfRule type="expression" dxfId="339" priority="69">
      <formula>X11&gt;$AG11</formula>
    </cfRule>
  </conditionalFormatting>
  <conditionalFormatting sqref="X35:AF35">
    <cfRule type="expression" dxfId="338" priority="65">
      <formula>X$9&gt;=20/24</formula>
    </cfRule>
    <cfRule type="expression" dxfId="337" priority="66">
      <formula>AND(X$9&gt;=14/24,X$9&lt;20/24)</formula>
    </cfRule>
    <cfRule type="expression" dxfId="336" priority="67">
      <formula>AND(X$9&gt;=8/24,X$9&lt;14/24)</formula>
    </cfRule>
    <cfRule type="expression" dxfId="335" priority="68">
      <formula>X$9&lt;8/24</formula>
    </cfRule>
  </conditionalFormatting>
  <conditionalFormatting sqref="X33:AF33">
    <cfRule type="expression" dxfId="334" priority="61">
      <formula>X$9&gt;=20/24</formula>
    </cfRule>
    <cfRule type="expression" dxfId="333" priority="62">
      <formula>AND(X$9&gt;=14/24,X$9&lt;20/24)</formula>
    </cfRule>
    <cfRule type="expression" dxfId="332" priority="63">
      <formula>AND(X$9&gt;=8/24,X$9&lt;14/24)</formula>
    </cfRule>
    <cfRule type="expression" dxfId="331" priority="64">
      <formula>X$9&lt;8/24</formula>
    </cfRule>
  </conditionalFormatting>
  <conditionalFormatting sqref="X33:AF33">
    <cfRule type="expression" dxfId="330" priority="60">
      <formula>X33&gt;$AG33</formula>
    </cfRule>
  </conditionalFormatting>
  <conditionalFormatting sqref="X15:AF15">
    <cfRule type="expression" dxfId="329" priority="56">
      <formula>X$9&gt;=20/24</formula>
    </cfRule>
    <cfRule type="expression" dxfId="328" priority="57">
      <formula>AND(X$9&gt;=14/24,X$9&lt;20/24)</formula>
    </cfRule>
    <cfRule type="expression" dxfId="327" priority="58">
      <formula>AND(X$9&gt;=8/24,X$9&lt;14/24)</formula>
    </cfRule>
    <cfRule type="expression" dxfId="326" priority="59">
      <formula>X$9&lt;8/24</formula>
    </cfRule>
  </conditionalFormatting>
  <conditionalFormatting sqref="X15:AF15">
    <cfRule type="expression" dxfId="325" priority="55">
      <formula>X15&gt;$AG15</formula>
    </cfRule>
  </conditionalFormatting>
  <conditionalFormatting sqref="X12:AF13">
    <cfRule type="expression" dxfId="324" priority="51">
      <formula>X$9&gt;=20/24</formula>
    </cfRule>
    <cfRule type="expression" dxfId="323" priority="52">
      <formula>AND(X$9&gt;=14/24,X$9&lt;20/24)</formula>
    </cfRule>
    <cfRule type="expression" dxfId="322" priority="53">
      <formula>AND(X$9&gt;=8/24,X$9&lt;14/24)</formula>
    </cfRule>
    <cfRule type="expression" dxfId="321" priority="54">
      <formula>X$9&lt;8/24</formula>
    </cfRule>
  </conditionalFormatting>
  <conditionalFormatting sqref="X12:AF13">
    <cfRule type="expression" dxfId="320" priority="47">
      <formula>X$9&gt;=20/24</formula>
    </cfRule>
    <cfRule type="expression" dxfId="319" priority="48">
      <formula>AND(X$9&gt;=14/24,X$9&lt;20/24)</formula>
    </cfRule>
    <cfRule type="expression" dxfId="318" priority="49">
      <formula>AND(X$9&gt;=8/24,X$9&lt;14/24)</formula>
    </cfRule>
    <cfRule type="expression" dxfId="317" priority="50">
      <formula>X$9&lt;8/24</formula>
    </cfRule>
  </conditionalFormatting>
  <conditionalFormatting sqref="X39:X41">
    <cfRule type="expression" dxfId="316" priority="43">
      <formula>X$9&gt;=20/24</formula>
    </cfRule>
    <cfRule type="expression" dxfId="315" priority="44">
      <formula>AND(X$9&gt;=14/24,X$9&lt;20/24)</formula>
    </cfRule>
    <cfRule type="expression" dxfId="314" priority="45">
      <formula>AND(X$9&gt;=8/24,X$9&lt;14/24)</formula>
    </cfRule>
    <cfRule type="expression" dxfId="313" priority="46">
      <formula>X$9&lt;8/24</formula>
    </cfRule>
  </conditionalFormatting>
  <conditionalFormatting sqref="X38">
    <cfRule type="expression" dxfId="312" priority="39">
      <formula>X$9&gt;=20/24</formula>
    </cfRule>
    <cfRule type="expression" dxfId="311" priority="40">
      <formula>AND(X$9&gt;=14/24,X$9&lt;20/24)</formula>
    </cfRule>
    <cfRule type="expression" dxfId="310" priority="41">
      <formula>AND(X$9&gt;=8/24,X$9&lt;14/24)</formula>
    </cfRule>
    <cfRule type="expression" dxfId="309" priority="42">
      <formula>X$9&lt;8/24</formula>
    </cfRule>
  </conditionalFormatting>
  <conditionalFormatting sqref="X48:Z48">
    <cfRule type="expression" dxfId="308" priority="35">
      <formula>X$9&gt;=20/24</formula>
    </cfRule>
    <cfRule type="expression" dxfId="307" priority="36">
      <formula>AND(X$9&gt;=14/24,X$9&lt;20/24)</formula>
    </cfRule>
    <cfRule type="expression" dxfId="306" priority="37">
      <formula>AND(X$9&gt;=8/24,X$9&lt;14/24)</formula>
    </cfRule>
    <cfRule type="expression" dxfId="305" priority="38">
      <formula>X$9&lt;8/24</formula>
    </cfRule>
  </conditionalFormatting>
  <conditionalFormatting sqref="X49:Z49">
    <cfRule type="expression" dxfId="304" priority="31">
      <formula>X$9&gt;=20/24</formula>
    </cfRule>
    <cfRule type="expression" dxfId="303" priority="32">
      <formula>AND(X$9&gt;=14/24,X$9&lt;20/24)</formula>
    </cfRule>
    <cfRule type="expression" dxfId="302" priority="33">
      <formula>AND(X$9&gt;=8/24,X$9&lt;14/24)</formula>
    </cfRule>
    <cfRule type="expression" dxfId="301" priority="34">
      <formula>X$9&lt;8/24</formula>
    </cfRule>
  </conditionalFormatting>
  <conditionalFormatting sqref="X45:Z47">
    <cfRule type="expression" dxfId="300" priority="27">
      <formula>X$9&gt;=20/24</formula>
    </cfRule>
    <cfRule type="expression" dxfId="299" priority="28">
      <formula>AND(X$9&gt;=14/24,X$9&lt;20/24)</formula>
    </cfRule>
    <cfRule type="expression" dxfId="298" priority="29">
      <formula>AND(X$9&gt;=8/24,X$9&lt;14/24)</formula>
    </cfRule>
    <cfRule type="expression" dxfId="297" priority="30">
      <formula>X$9&lt;8/24</formula>
    </cfRule>
  </conditionalFormatting>
  <conditionalFormatting sqref="X42 X44:Z47">
    <cfRule type="expression" dxfId="296" priority="23">
      <formula>X$9&gt;=20/24</formula>
    </cfRule>
    <cfRule type="expression" dxfId="295" priority="24">
      <formula>AND(X$9&gt;=14/24,X$9&lt;20/24)</formula>
    </cfRule>
    <cfRule type="expression" dxfId="294" priority="25">
      <formula>AND(X$9&gt;=8/24,X$9&lt;14/24)</formula>
    </cfRule>
    <cfRule type="expression" dxfId="293" priority="26">
      <formula>X$9&lt;8/24</formula>
    </cfRule>
  </conditionalFormatting>
  <conditionalFormatting sqref="X48:Z48">
    <cfRule type="expression" dxfId="292" priority="19">
      <formula>X$9&gt;=20/24</formula>
    </cfRule>
    <cfRule type="expression" dxfId="291" priority="20">
      <formula>AND(X$9&gt;=14/24,X$9&lt;20/24)</formula>
    </cfRule>
    <cfRule type="expression" dxfId="290" priority="21">
      <formula>AND(X$9&gt;=8/24,X$9&lt;14/24)</formula>
    </cfRule>
    <cfRule type="expression" dxfId="289" priority="22">
      <formula>X$9&lt;8/24</formula>
    </cfRule>
  </conditionalFormatting>
  <conditionalFormatting sqref="X49:Z49">
    <cfRule type="expression" dxfId="288" priority="15">
      <formula>X$9&gt;=20/24</formula>
    </cfRule>
    <cfRule type="expression" dxfId="287" priority="16">
      <formula>AND(X$9&gt;=14/24,X$9&lt;20/24)</formula>
    </cfRule>
    <cfRule type="expression" dxfId="286" priority="17">
      <formula>AND(X$9&gt;=8/24,X$9&lt;14/24)</formula>
    </cfRule>
    <cfRule type="expression" dxfId="285" priority="18">
      <formula>X$9&lt;8/24</formula>
    </cfRule>
  </conditionalFormatting>
  <conditionalFormatting sqref="X38:X42 X44:Z49">
    <cfRule type="expression" dxfId="284" priority="14">
      <formula>X38&gt;$AG38</formula>
    </cfRule>
  </conditionalFormatting>
  <conditionalFormatting sqref="X43:Z43">
    <cfRule type="expression" dxfId="283" priority="10">
      <formula>X$9&gt;=20/24</formula>
    </cfRule>
    <cfRule type="expression" dxfId="282" priority="11">
      <formula>AND(X$9&gt;=14/24,X$9&lt;20/24)</formula>
    </cfRule>
    <cfRule type="expression" dxfId="281" priority="12">
      <formula>AND(X$9&gt;=8/24,X$9&lt;14/24)</formula>
    </cfRule>
    <cfRule type="expression" dxfId="280" priority="13">
      <formula>X$9&lt;8/24</formula>
    </cfRule>
  </conditionalFormatting>
  <conditionalFormatting sqref="X43:Z43">
    <cfRule type="expression" dxfId="279" priority="9">
      <formula>X43&gt;$AG43</formula>
    </cfRule>
  </conditionalFormatting>
  <conditionalFormatting sqref="W83">
    <cfRule type="expression" dxfId="278" priority="5">
      <formula>W$9&gt;=20/24</formula>
    </cfRule>
    <cfRule type="expression" dxfId="277" priority="6">
      <formula>AND(W$9&gt;=14/24,W$9&lt;20/24)</formula>
    </cfRule>
    <cfRule type="expression" dxfId="276" priority="7">
      <formula>AND(W$9&gt;=8/24,W$9&lt;14/24)</formula>
    </cfRule>
    <cfRule type="expression" dxfId="275" priority="8">
      <formula>W$9&lt;8/24</formula>
    </cfRule>
  </conditionalFormatting>
  <conditionalFormatting sqref="W84:W90">
    <cfRule type="expression" dxfId="274" priority="1">
      <formula>W$9&gt;=20/24</formula>
    </cfRule>
    <cfRule type="expression" dxfId="273" priority="2">
      <formula>AND(W$9&gt;=14/24,W$9&lt;20/24)</formula>
    </cfRule>
    <cfRule type="expression" dxfId="272" priority="3">
      <formula>AND(W$9&gt;=8/24,W$9&lt;14/24)</formula>
    </cfRule>
    <cfRule type="expression" dxfId="271" priority="4">
      <formula>W$9&lt;8/24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R3" sqref="R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8" t="s">
        <v>1</v>
      </c>
      <c r="AH1" s="218"/>
      <c r="AI1" s="218"/>
      <c r="AL1" s="2"/>
      <c r="AM1" s="3"/>
    </row>
    <row r="2" spans="1:88" ht="20.25" x14ac:dyDescent="0.25">
      <c r="A2" s="4"/>
      <c r="B2" s="219" t="s">
        <v>2</v>
      </c>
      <c r="C2" s="5"/>
      <c r="D2" s="221" t="s">
        <v>3</v>
      </c>
      <c r="E2" s="5"/>
      <c r="F2" s="221" t="s">
        <v>4</v>
      </c>
      <c r="G2" s="5"/>
      <c r="H2" s="221" t="s">
        <v>5</v>
      </c>
      <c r="I2" s="6"/>
      <c r="J2" s="223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AG37</f>
        <v>1481.8299999999997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20"/>
      <c r="C3" s="18"/>
      <c r="D3" s="222"/>
      <c r="E3" s="18"/>
      <c r="F3" s="222"/>
      <c r="G3" s="18"/>
      <c r="H3" s="222"/>
      <c r="I3" s="19"/>
      <c r="J3" s="223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AG51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224" t="e">
        <f ca="1">"2078/"&amp;"07/"&amp;INT(MID(CELL("filename",D6),FIND("]",CELL("filename",D6))+1,200))</f>
        <v>#VALUE!</v>
      </c>
      <c r="C4" s="224"/>
      <c r="D4" s="224"/>
      <c r="E4" s="225" t="str">
        <f ca="1">IFERROR([1]!DateBStoAD(B4),"")</f>
        <v/>
      </c>
      <c r="F4" s="226"/>
      <c r="G4" s="226"/>
      <c r="H4" s="226" t="str">
        <f ca="1">TEXT(E4,"dddd")</f>
        <v/>
      </c>
      <c r="I4" s="226"/>
      <c r="J4" s="28"/>
      <c r="K4" t="str">
        <f>"Total Peak Supply(Inclusive of Export) ("&amp;ROUND(B215,0)&amp;" MW)"&amp;"    IPP   = "&amp;ROUND(B210,0)&amp;" MW     NEA RoR = "&amp;ROUND(B211,0)&amp;" MWImport   = "&amp;ROUND(B213,0)&amp;" MW      KL1+KL2+K3 = "&amp;ROUND(B212,0) &amp;" MW    EXPORT = "&amp;ROUND(B214,0)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AG55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>B67</f>
        <v>0</v>
      </c>
      <c r="C5" s="32">
        <f t="shared" ref="C5:AF5" si="0">C67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"&amp;ROUND(B215,0)&amp;"MW at "&amp;TRUNC(B216*24,0)&amp;":"&amp;ROUND((B216*24-TRUNC(B216*24,0))*60,0)&amp;"hr at "&amp;ROUND(B217,1)&amp;"Hz     "&amp;A207&amp;" "&amp;ROUND(B207,0)&amp;"MW at "&amp;TRUNC(C207*24,0)&amp;":"&amp;ROUND((C207*24-TRUNC(C207*24,0))*6,0)&amp;"0hr"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2077.7399999999998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B74</f>
        <v>3.54</v>
      </c>
      <c r="C7" s="37">
        <f t="shared" si="1"/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>L74</f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27" t="s">
        <v>14</v>
      </c>
      <c r="C8" s="228"/>
      <c r="D8" s="228"/>
      <c r="E8" s="228"/>
      <c r="F8" s="228"/>
      <c r="G8" s="228"/>
      <c r="H8" s="228"/>
      <c r="I8" s="228"/>
      <c r="J8" s="228"/>
      <c r="K8" s="229"/>
      <c r="L8" s="230" t="s">
        <v>15</v>
      </c>
      <c r="M8" s="231"/>
      <c r="N8" s="231"/>
      <c r="O8" s="231"/>
      <c r="P8" s="231"/>
      <c r="Q8" s="231"/>
      <c r="R8" s="230" t="s">
        <v>16</v>
      </c>
      <c r="S8" s="231"/>
      <c r="T8" s="231"/>
      <c r="U8" s="231"/>
      <c r="V8" s="231"/>
      <c r="W8" s="231"/>
      <c r="X8" s="231"/>
      <c r="Y8" s="231"/>
      <c r="Z8" s="231"/>
      <c r="AA8" s="234" t="s">
        <v>17</v>
      </c>
      <c r="AB8" s="235"/>
      <c r="AC8" s="235"/>
      <c r="AD8" s="235"/>
      <c r="AE8" s="235"/>
      <c r="AF8" s="23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37" t="s">
        <v>18</v>
      </c>
      <c r="B9" s="239">
        <v>4.1666666666666664E-2</v>
      </c>
      <c r="C9" s="239">
        <v>8.3333333333333301E-2</v>
      </c>
      <c r="D9" s="239">
        <v>0.125</v>
      </c>
      <c r="E9" s="239">
        <v>0.16666666666666699</v>
      </c>
      <c r="F9" s="239">
        <v>0.20833333333333301</v>
      </c>
      <c r="G9" s="239">
        <v>0.22916666666666666</v>
      </c>
      <c r="H9" s="239">
        <v>0.25</v>
      </c>
      <c r="I9" s="239">
        <v>0.27083333333333331</v>
      </c>
      <c r="J9" s="239">
        <v>0.29166666666666669</v>
      </c>
      <c r="K9" s="239">
        <v>0.3125</v>
      </c>
      <c r="L9" s="232">
        <v>0.33333333333333331</v>
      </c>
      <c r="M9" s="232">
        <v>0.375</v>
      </c>
      <c r="N9" s="232">
        <v>0.41666666666666702</v>
      </c>
      <c r="O9" s="232">
        <v>0.45833333333333298</v>
      </c>
      <c r="P9" s="232">
        <v>0.5</v>
      </c>
      <c r="Q9" s="232">
        <v>0.54166666666666696</v>
      </c>
      <c r="R9" s="232">
        <v>0.58333333333333304</v>
      </c>
      <c r="S9" s="232">
        <v>0.625</v>
      </c>
      <c r="T9" s="232">
        <v>0.66666666666666696</v>
      </c>
      <c r="U9" s="232">
        <v>0.70833333333333304</v>
      </c>
      <c r="V9" s="232">
        <v>0.72916666666666663</v>
      </c>
      <c r="W9" s="232">
        <v>0.75</v>
      </c>
      <c r="X9" s="232">
        <v>0.77083333333333337</v>
      </c>
      <c r="Y9" s="232">
        <v>0.79166666666666663</v>
      </c>
      <c r="Z9" s="232">
        <v>0.8125</v>
      </c>
      <c r="AA9" s="239">
        <v>0.83333333333333337</v>
      </c>
      <c r="AB9" s="239">
        <v>0.85416666666666663</v>
      </c>
      <c r="AC9" s="239">
        <v>0.875</v>
      </c>
      <c r="AD9" s="239">
        <v>0.91666666666666696</v>
      </c>
      <c r="AE9" s="239">
        <v>0.95833333333333304</v>
      </c>
      <c r="AF9" s="239">
        <v>1</v>
      </c>
      <c r="AG9" s="240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38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42"/>
      <c r="S10" s="242"/>
      <c r="T10" s="242"/>
      <c r="U10" s="242"/>
      <c r="V10" s="242"/>
      <c r="W10" s="242"/>
      <c r="X10" s="242"/>
      <c r="Y10" s="242"/>
      <c r="Z10" s="242"/>
      <c r="AA10" s="233"/>
      <c r="AB10" s="233"/>
      <c r="AC10" s="233"/>
      <c r="AD10" s="233"/>
      <c r="AE10" s="233"/>
      <c r="AF10" s="233"/>
      <c r="AG10" s="241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  <c r="M11" s="50"/>
      <c r="N11" s="50"/>
      <c r="O11" s="50"/>
      <c r="P11" s="50"/>
      <c r="Q11" s="51"/>
      <c r="R11" s="52"/>
      <c r="S11" s="52"/>
      <c r="T11" s="52"/>
      <c r="U11" s="52"/>
      <c r="V11" s="52"/>
      <c r="W11" s="52"/>
      <c r="X11" s="52"/>
      <c r="Y11" s="53"/>
      <c r="Z11" s="54"/>
      <c r="AA11" s="54"/>
      <c r="AB11" s="54"/>
      <c r="AC11" s="54"/>
      <c r="AD11" s="54"/>
      <c r="AE11" s="49"/>
      <c r="AF11" s="49"/>
      <c r="AG11" s="55">
        <v>456</v>
      </c>
      <c r="AH11" s="56">
        <f>MAX(B11:AF11)</f>
        <v>0</v>
      </c>
      <c r="AI11" s="57">
        <f>MIN(B11:AF11)</f>
        <v>0</v>
      </c>
      <c r="AK11" s="58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9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60"/>
      <c r="S12" s="60"/>
      <c r="T12" s="60"/>
      <c r="U12" s="60"/>
      <c r="V12" s="60"/>
      <c r="W12" s="60"/>
      <c r="X12" s="60"/>
      <c r="Y12" s="50"/>
      <c r="Z12" s="50"/>
      <c r="AA12" s="50"/>
      <c r="AB12" s="50"/>
      <c r="AC12" s="50"/>
      <c r="AD12" s="50"/>
      <c r="AE12" s="49"/>
      <c r="AF12" s="49"/>
      <c r="AG12" s="61">
        <v>60</v>
      </c>
      <c r="AH12" s="56">
        <f t="shared" ref="AH12:AH77" si="2">MAX(B12:AF12)</f>
        <v>0</v>
      </c>
      <c r="AI12" s="57">
        <f t="shared" ref="AI12:AI77" si="3">MIN(B12:AF12)</f>
        <v>0</v>
      </c>
      <c r="AK12" s="58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9" t="s">
        <v>262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60"/>
      <c r="S13" s="60"/>
      <c r="T13" s="60"/>
      <c r="U13" s="60"/>
      <c r="V13" s="60"/>
      <c r="W13" s="60"/>
      <c r="X13" s="60"/>
      <c r="Y13" s="50"/>
      <c r="Z13" s="50"/>
      <c r="AA13" s="50"/>
      <c r="AB13" s="50"/>
      <c r="AC13" s="50"/>
      <c r="AD13" s="50"/>
      <c r="AE13" s="49"/>
      <c r="AF13" s="49"/>
      <c r="AG13" s="61">
        <v>52.4</v>
      </c>
      <c r="AH13" s="56">
        <f>MAX(B13:AF13)</f>
        <v>0</v>
      </c>
      <c r="AI13" s="57">
        <f>MIN(B13:AF13)</f>
        <v>0</v>
      </c>
      <c r="AK13" s="58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9" t="s">
        <v>21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0"/>
      <c r="M14" s="50"/>
      <c r="N14" s="50"/>
      <c r="O14" s="50"/>
      <c r="P14" s="50"/>
      <c r="Q14" s="50"/>
      <c r="R14" s="62"/>
      <c r="S14" s="62"/>
      <c r="T14" s="62"/>
      <c r="U14" s="62"/>
      <c r="V14" s="62"/>
      <c r="W14" s="62"/>
      <c r="X14" s="62"/>
      <c r="Y14" s="50"/>
      <c r="Z14" s="50"/>
      <c r="AA14" s="50"/>
      <c r="AB14" s="50"/>
      <c r="AC14" s="50"/>
      <c r="AD14" s="50"/>
      <c r="AE14" s="49"/>
      <c r="AF14" s="49"/>
      <c r="AG14" s="61">
        <v>50</v>
      </c>
      <c r="AH14" s="56">
        <f t="shared" si="2"/>
        <v>0</v>
      </c>
      <c r="AI14" s="57">
        <f t="shared" si="3"/>
        <v>0</v>
      </c>
      <c r="AK14" s="58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9" t="s">
        <v>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50"/>
      <c r="M15" s="50"/>
      <c r="N15" s="50"/>
      <c r="O15" s="50"/>
      <c r="P15" s="50"/>
      <c r="Q15" s="50"/>
      <c r="R15" s="62"/>
      <c r="S15" s="62"/>
      <c r="T15" s="62"/>
      <c r="U15" s="62"/>
      <c r="V15" s="62"/>
      <c r="W15" s="62"/>
      <c r="X15" s="62"/>
      <c r="Y15" s="50"/>
      <c r="Z15" s="50"/>
      <c r="AA15" s="50"/>
      <c r="AB15" s="50"/>
      <c r="AC15" s="50"/>
      <c r="AD15" s="50"/>
      <c r="AE15" s="63"/>
      <c r="AF15" s="63"/>
      <c r="AG15" s="64">
        <v>45</v>
      </c>
      <c r="AH15" s="56">
        <f t="shared" si="2"/>
        <v>0</v>
      </c>
      <c r="AI15" s="57">
        <f t="shared" si="3"/>
        <v>0</v>
      </c>
      <c r="AK15" s="58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9" t="s">
        <v>23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50"/>
      <c r="N16" s="50"/>
      <c r="O16" s="50"/>
      <c r="P16" s="50"/>
      <c r="Q16" s="50"/>
      <c r="R16" s="65"/>
      <c r="S16" s="65"/>
      <c r="T16" s="65"/>
      <c r="U16" s="65"/>
      <c r="V16" s="65"/>
      <c r="W16" s="65"/>
      <c r="X16" s="65"/>
      <c r="Y16" s="50"/>
      <c r="Z16" s="50"/>
      <c r="AA16" s="50"/>
      <c r="AB16" s="50"/>
      <c r="AC16" s="50"/>
      <c r="AD16" s="50"/>
      <c r="AE16" s="49"/>
      <c r="AF16" s="49"/>
      <c r="AG16" s="61">
        <v>45</v>
      </c>
      <c r="AH16" s="56">
        <f t="shared" si="2"/>
        <v>0</v>
      </c>
      <c r="AI16" s="57">
        <f t="shared" si="3"/>
        <v>0</v>
      </c>
      <c r="AK16" s="58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9" t="s">
        <v>24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50"/>
      <c r="N17" s="50"/>
      <c r="O17" s="50"/>
      <c r="P17" s="50"/>
      <c r="Q17" s="50"/>
      <c r="R17" s="62"/>
      <c r="S17" s="62"/>
      <c r="T17" s="62"/>
      <c r="U17" s="62"/>
      <c r="V17" s="62"/>
      <c r="W17" s="62"/>
      <c r="X17" s="62"/>
      <c r="Y17" s="50"/>
      <c r="Z17" s="50"/>
      <c r="AA17" s="50"/>
      <c r="AB17" s="50"/>
      <c r="AC17" s="50"/>
      <c r="AD17" s="50"/>
      <c r="AE17" s="49"/>
      <c r="AF17" s="49"/>
      <c r="AG17" s="61">
        <v>42</v>
      </c>
      <c r="AH17" s="56">
        <f t="shared" si="2"/>
        <v>0</v>
      </c>
      <c r="AI17" s="57">
        <f t="shared" si="3"/>
        <v>0</v>
      </c>
      <c r="AK17" s="58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9" t="s">
        <v>25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49"/>
      <c r="AF18" s="49"/>
      <c r="AG18" s="61">
        <v>36</v>
      </c>
      <c r="AH18" s="56">
        <f t="shared" si="2"/>
        <v>0</v>
      </c>
      <c r="AI18" s="57">
        <f t="shared" si="3"/>
        <v>0</v>
      </c>
      <c r="AK18" s="58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9" t="s">
        <v>26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49"/>
      <c r="AF19" s="49"/>
      <c r="AG19" s="61">
        <v>30</v>
      </c>
      <c r="AH19" s="56">
        <f t="shared" si="2"/>
        <v>0</v>
      </c>
      <c r="AI19" s="57">
        <f t="shared" si="3"/>
        <v>0</v>
      </c>
      <c r="AK19" s="58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9" t="s">
        <v>27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49"/>
      <c r="AF20" s="49"/>
      <c r="AG20" s="61">
        <v>27</v>
      </c>
      <c r="AH20" s="56">
        <f t="shared" si="2"/>
        <v>0</v>
      </c>
      <c r="AI20" s="57">
        <f t="shared" si="3"/>
        <v>0</v>
      </c>
      <c r="AK20" s="58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9" t="s">
        <v>28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49"/>
      <c r="AF21" s="49"/>
      <c r="AG21" s="61">
        <v>25</v>
      </c>
      <c r="AH21" s="56">
        <f t="shared" si="2"/>
        <v>0</v>
      </c>
      <c r="AI21" s="57">
        <f t="shared" si="3"/>
        <v>0</v>
      </c>
      <c r="AK21" s="58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9" t="s">
        <v>29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49"/>
      <c r="AF22" s="49"/>
      <c r="AG22" s="61">
        <v>25</v>
      </c>
      <c r="AH22" s="56">
        <f t="shared" si="2"/>
        <v>0</v>
      </c>
      <c r="AI22" s="57">
        <f t="shared" si="3"/>
        <v>0</v>
      </c>
      <c r="AK22" s="58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9" t="s">
        <v>30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49"/>
      <c r="AF23" s="49"/>
      <c r="AG23" s="61">
        <v>25</v>
      </c>
      <c r="AH23" s="56">
        <f t="shared" si="2"/>
        <v>0</v>
      </c>
      <c r="AI23" s="57">
        <f t="shared" si="3"/>
        <v>0</v>
      </c>
      <c r="AK23" s="58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9" t="s">
        <v>31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49"/>
      <c r="AF24" s="49"/>
      <c r="AG24" s="61">
        <v>25</v>
      </c>
      <c r="AH24" s="56">
        <f t="shared" si="2"/>
        <v>0</v>
      </c>
      <c r="AI24" s="57">
        <f t="shared" si="3"/>
        <v>0</v>
      </c>
      <c r="AK24" s="58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9" t="s">
        <v>32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49"/>
      <c r="AF25" s="49"/>
      <c r="AG25" s="61">
        <v>24.2</v>
      </c>
      <c r="AH25" s="56">
        <f t="shared" si="2"/>
        <v>0</v>
      </c>
      <c r="AI25" s="57">
        <f t="shared" si="3"/>
        <v>0</v>
      </c>
      <c r="AK25" s="58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9" t="s">
        <v>33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49"/>
      <c r="AF26" s="49"/>
      <c r="AG26" s="61">
        <v>20</v>
      </c>
      <c r="AH26" s="56">
        <f>MAX(B26:AF26)</f>
        <v>0</v>
      </c>
      <c r="AI26" s="57">
        <f>MIN(B26:AF26)</f>
        <v>0</v>
      </c>
      <c r="AK26" s="58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9" t="s">
        <v>34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49"/>
      <c r="AB27" s="49"/>
      <c r="AC27" s="49"/>
      <c r="AD27" s="49"/>
      <c r="AE27" s="49"/>
      <c r="AF27" s="49"/>
      <c r="AG27" s="61">
        <v>23.5</v>
      </c>
      <c r="AH27" s="56">
        <f t="shared" si="2"/>
        <v>0</v>
      </c>
      <c r="AI27" s="57">
        <f t="shared" si="3"/>
        <v>0</v>
      </c>
      <c r="AK27" s="58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9" t="s">
        <v>35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49"/>
      <c r="AF28" s="49"/>
      <c r="AG28" s="61">
        <v>22.2</v>
      </c>
      <c r="AH28" s="56">
        <f t="shared" si="2"/>
        <v>0</v>
      </c>
      <c r="AI28" s="57">
        <f t="shared" si="3"/>
        <v>0</v>
      </c>
      <c r="AK28" s="58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9" t="s">
        <v>36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49"/>
      <c r="AF29" s="49"/>
      <c r="AG29" s="61">
        <v>22.1</v>
      </c>
      <c r="AH29" s="56">
        <f t="shared" si="2"/>
        <v>0</v>
      </c>
      <c r="AI29" s="57">
        <f t="shared" si="3"/>
        <v>0</v>
      </c>
      <c r="AK29" s="58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9" t="s">
        <v>37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49"/>
      <c r="AF30" s="49"/>
      <c r="AG30" s="61">
        <v>22.1</v>
      </c>
      <c r="AH30" s="56">
        <f t="shared" si="2"/>
        <v>0</v>
      </c>
      <c r="AI30" s="57">
        <f t="shared" si="3"/>
        <v>0</v>
      </c>
      <c r="AK30" s="58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9" t="s">
        <v>38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63"/>
      <c r="AF31" s="63"/>
      <c r="AG31" s="64">
        <v>22</v>
      </c>
      <c r="AH31" s="56">
        <f t="shared" si="2"/>
        <v>0</v>
      </c>
      <c r="AI31" s="57">
        <f t="shared" si="3"/>
        <v>0</v>
      </c>
      <c r="AK31" s="58"/>
      <c r="AL31" s="30"/>
      <c r="AM31" s="26"/>
      <c r="AN31" s="26"/>
      <c r="AO31" s="26"/>
      <c r="AP31" s="26"/>
      <c r="AQ31" s="66"/>
      <c r="AR31" s="67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8" t="s">
        <v>39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63"/>
      <c r="AF32" s="63"/>
      <c r="AG32" s="69">
        <v>22</v>
      </c>
      <c r="AH32" s="56">
        <f t="shared" si="2"/>
        <v>0</v>
      </c>
      <c r="AI32" s="57">
        <f t="shared" si="3"/>
        <v>0</v>
      </c>
      <c r="AK32" s="58"/>
      <c r="AL32" s="30"/>
      <c r="AM32" s="26"/>
      <c r="AN32" s="26"/>
      <c r="AO32" s="26"/>
      <c r="AP32" s="26"/>
      <c r="AQ32" s="66"/>
      <c r="AR32" s="67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x14ac:dyDescent="0.25">
      <c r="A33" s="68" t="s">
        <v>40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63"/>
      <c r="AF33" s="63"/>
      <c r="AG33" s="69">
        <v>20</v>
      </c>
      <c r="AH33" s="56">
        <f t="shared" si="2"/>
        <v>0</v>
      </c>
      <c r="AI33" s="57">
        <f t="shared" si="3"/>
        <v>0</v>
      </c>
      <c r="AK33" s="58"/>
      <c r="AL33" s="30"/>
      <c r="AO33" s="26"/>
      <c r="AP33" s="26"/>
      <c r="AQ33" s="66"/>
      <c r="AR33" s="67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8" t="s">
        <v>41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63"/>
      <c r="AF34" s="63"/>
      <c r="AG34" s="69">
        <v>15.33</v>
      </c>
      <c r="AH34" s="56">
        <f t="shared" si="2"/>
        <v>0</v>
      </c>
      <c r="AI34" s="57">
        <f t="shared" si="3"/>
        <v>0</v>
      </c>
      <c r="AK34" s="58"/>
      <c r="AL34" s="30"/>
      <c r="AO34" s="26"/>
      <c r="AP34" s="26"/>
      <c r="AQ34" s="66"/>
      <c r="AR34" s="67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70" t="s">
        <v>42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9">
        <v>85</v>
      </c>
      <c r="AH35" s="56">
        <f t="shared" si="2"/>
        <v>0</v>
      </c>
      <c r="AI35" s="57">
        <f t="shared" si="3"/>
        <v>0</v>
      </c>
      <c r="AK35" s="58"/>
    </row>
    <row r="36" spans="1:88" ht="15.75" thickBot="1" x14ac:dyDescent="0.3">
      <c r="A36" s="71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63"/>
      <c r="AF36" s="63"/>
      <c r="AG36" s="69">
        <v>240</v>
      </c>
      <c r="AH36" s="56">
        <f t="shared" si="2"/>
        <v>0</v>
      </c>
      <c r="AI36" s="57">
        <f t="shared" si="3"/>
        <v>0</v>
      </c>
      <c r="AK36" s="58"/>
    </row>
    <row r="37" spans="1:88" ht="15.75" thickBot="1" x14ac:dyDescent="0.3">
      <c r="A37" s="73" t="s">
        <v>44</v>
      </c>
      <c r="B37" s="74">
        <f t="shared" ref="B37:AF37" si="4">SUM(B11:B35)</f>
        <v>0</v>
      </c>
      <c r="C37" s="74">
        <f t="shared" si="4"/>
        <v>0</v>
      </c>
      <c r="D37" s="74">
        <f t="shared" si="4"/>
        <v>0</v>
      </c>
      <c r="E37" s="74">
        <f t="shared" si="4"/>
        <v>0</v>
      </c>
      <c r="F37" s="74">
        <f t="shared" si="4"/>
        <v>0</v>
      </c>
      <c r="G37" s="74">
        <f t="shared" si="4"/>
        <v>0</v>
      </c>
      <c r="H37" s="74">
        <f t="shared" si="4"/>
        <v>0</v>
      </c>
      <c r="I37" s="74">
        <f t="shared" si="4"/>
        <v>0</v>
      </c>
      <c r="J37" s="74">
        <f t="shared" si="4"/>
        <v>0</v>
      </c>
      <c r="K37" s="74">
        <f t="shared" si="4"/>
        <v>0</v>
      </c>
      <c r="L37" s="74">
        <f t="shared" si="4"/>
        <v>0</v>
      </c>
      <c r="M37" s="74">
        <f t="shared" si="4"/>
        <v>0</v>
      </c>
      <c r="N37" s="74">
        <f t="shared" si="4"/>
        <v>0</v>
      </c>
      <c r="O37" s="74">
        <f t="shared" si="4"/>
        <v>0</v>
      </c>
      <c r="P37" s="74">
        <f t="shared" si="4"/>
        <v>0</v>
      </c>
      <c r="Q37" s="74">
        <f t="shared" si="4"/>
        <v>0</v>
      </c>
      <c r="R37" s="74">
        <f t="shared" si="4"/>
        <v>0</v>
      </c>
      <c r="S37" s="74">
        <f t="shared" si="4"/>
        <v>0</v>
      </c>
      <c r="T37" s="74">
        <f t="shared" si="4"/>
        <v>0</v>
      </c>
      <c r="U37" s="74">
        <f t="shared" si="4"/>
        <v>0</v>
      </c>
      <c r="V37" s="74">
        <f t="shared" si="4"/>
        <v>0</v>
      </c>
      <c r="W37" s="74">
        <f t="shared" si="4"/>
        <v>0</v>
      </c>
      <c r="X37" s="74">
        <f t="shared" si="4"/>
        <v>0</v>
      </c>
      <c r="Y37" s="74">
        <f t="shared" si="4"/>
        <v>0</v>
      </c>
      <c r="Z37" s="74">
        <f t="shared" si="4"/>
        <v>0</v>
      </c>
      <c r="AA37" s="74">
        <f t="shared" si="4"/>
        <v>0</v>
      </c>
      <c r="AB37" s="74">
        <f t="shared" si="4"/>
        <v>0</v>
      </c>
      <c r="AC37" s="74">
        <f t="shared" si="4"/>
        <v>0</v>
      </c>
      <c r="AD37" s="74">
        <f t="shared" si="4"/>
        <v>0</v>
      </c>
      <c r="AE37" s="74">
        <f t="shared" si="4"/>
        <v>0</v>
      </c>
      <c r="AF37" s="74">
        <f t="shared" si="4"/>
        <v>0</v>
      </c>
      <c r="AG37" s="69">
        <f>SUM(AG11:AG36)</f>
        <v>1481.8299999999997</v>
      </c>
      <c r="AH37" s="56">
        <f t="shared" si="2"/>
        <v>0</v>
      </c>
      <c r="AI37" s="57">
        <f t="shared" si="3"/>
        <v>0</v>
      </c>
      <c r="AK37" s="58"/>
    </row>
    <row r="38" spans="1:88" x14ac:dyDescent="0.25">
      <c r="A38" s="59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49"/>
      <c r="AF38" s="49"/>
      <c r="AG38" s="64">
        <v>144</v>
      </c>
      <c r="AH38" s="56">
        <f t="shared" si="2"/>
        <v>0</v>
      </c>
      <c r="AI38" s="57">
        <f t="shared" si="3"/>
        <v>0</v>
      </c>
      <c r="AK38" s="58"/>
    </row>
    <row r="39" spans="1:88" x14ac:dyDescent="0.25">
      <c r="A39" s="68" t="s">
        <v>46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63"/>
      <c r="AF39" s="63"/>
      <c r="AG39" s="69">
        <v>70</v>
      </c>
      <c r="AH39" s="56">
        <f t="shared" si="2"/>
        <v>0</v>
      </c>
      <c r="AI39" s="57">
        <f t="shared" si="3"/>
        <v>0</v>
      </c>
      <c r="AK39" s="58"/>
    </row>
    <row r="40" spans="1:88" x14ac:dyDescent="0.25">
      <c r="A40" s="68" t="s">
        <v>47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63"/>
      <c r="AF40" s="63"/>
      <c r="AG40" s="69">
        <v>69</v>
      </c>
      <c r="AH40" s="56">
        <f t="shared" si="2"/>
        <v>0</v>
      </c>
      <c r="AI40" s="57">
        <f t="shared" si="3"/>
        <v>0</v>
      </c>
      <c r="AK40" s="58"/>
    </row>
    <row r="41" spans="1:88" x14ac:dyDescent="0.25">
      <c r="A41" s="68" t="s">
        <v>48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63"/>
      <c r="AF41" s="63"/>
      <c r="AG41" s="69">
        <v>60</v>
      </c>
      <c r="AH41" s="56">
        <f t="shared" si="2"/>
        <v>0</v>
      </c>
      <c r="AI41" s="57">
        <f t="shared" si="3"/>
        <v>0</v>
      </c>
      <c r="AK41" s="58"/>
    </row>
    <row r="42" spans="1:88" x14ac:dyDescent="0.25">
      <c r="A42" s="68" t="s">
        <v>49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2"/>
      <c r="Z42" s="52"/>
      <c r="AA42" s="52"/>
      <c r="AB42" s="52"/>
      <c r="AC42" s="52"/>
      <c r="AD42" s="52"/>
      <c r="AE42" s="63"/>
      <c r="AF42" s="63"/>
      <c r="AG42" s="69">
        <v>30</v>
      </c>
      <c r="AH42" s="56">
        <f t="shared" si="2"/>
        <v>0</v>
      </c>
      <c r="AI42" s="57">
        <f t="shared" si="3"/>
        <v>0</v>
      </c>
      <c r="AK42" s="58"/>
    </row>
    <row r="43" spans="1:88" x14ac:dyDescent="0.25">
      <c r="A43" s="68" t="s">
        <v>50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63"/>
      <c r="AF43" s="63"/>
      <c r="AG43" s="69">
        <v>25</v>
      </c>
      <c r="AH43" s="56">
        <f t="shared" si="2"/>
        <v>0</v>
      </c>
      <c r="AI43" s="57">
        <f t="shared" si="3"/>
        <v>0</v>
      </c>
      <c r="AK43" s="58"/>
    </row>
    <row r="44" spans="1:88" x14ac:dyDescent="0.25">
      <c r="A44" s="68" t="s">
        <v>51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63"/>
      <c r="AF44" s="63"/>
      <c r="AG44" s="69">
        <v>24</v>
      </c>
      <c r="AH44" s="56">
        <f t="shared" si="2"/>
        <v>0</v>
      </c>
      <c r="AI44" s="57">
        <f t="shared" si="3"/>
        <v>0</v>
      </c>
      <c r="AK44" s="58"/>
    </row>
    <row r="45" spans="1:88" x14ac:dyDescent="0.25">
      <c r="A45" s="68" t="s">
        <v>52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63"/>
      <c r="AF45" s="63"/>
      <c r="AG45" s="69">
        <v>15</v>
      </c>
      <c r="AH45" s="56">
        <f t="shared" si="2"/>
        <v>0</v>
      </c>
      <c r="AI45" s="57">
        <f t="shared" si="3"/>
        <v>0</v>
      </c>
      <c r="AK45" s="58"/>
      <c r="AL45" s="76"/>
      <c r="AO45" s="76"/>
    </row>
    <row r="46" spans="1:88" s="76" customFormat="1" x14ac:dyDescent="0.25">
      <c r="A46" s="68" t="s">
        <v>53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63"/>
      <c r="AF46" s="63"/>
      <c r="AG46" s="69">
        <v>14.1</v>
      </c>
      <c r="AH46" s="56">
        <f t="shared" si="2"/>
        <v>0</v>
      </c>
      <c r="AI46" s="57">
        <f t="shared" si="3"/>
        <v>0</v>
      </c>
      <c r="AJ46" s="1"/>
      <c r="AK46" s="58"/>
      <c r="AL46"/>
      <c r="AM46"/>
      <c r="AN46"/>
      <c r="AO46"/>
    </row>
    <row r="47" spans="1:88" x14ac:dyDescent="0.25">
      <c r="A47" s="77" t="s">
        <v>54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63"/>
      <c r="AF47" s="63"/>
      <c r="AG47" s="69">
        <v>14</v>
      </c>
      <c r="AH47" s="56">
        <f t="shared" si="2"/>
        <v>0</v>
      </c>
      <c r="AI47" s="57">
        <f t="shared" si="3"/>
        <v>0</v>
      </c>
      <c r="AK47" s="58"/>
    </row>
    <row r="48" spans="1:88" x14ac:dyDescent="0.25">
      <c r="A48" s="68" t="s">
        <v>55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63"/>
      <c r="AF48" s="63"/>
      <c r="AG48" s="69">
        <v>10.050000000000001</v>
      </c>
      <c r="AH48" s="56">
        <f t="shared" si="2"/>
        <v>0</v>
      </c>
      <c r="AI48" s="57">
        <f t="shared" si="3"/>
        <v>0</v>
      </c>
      <c r="AK48" s="58"/>
    </row>
    <row r="49" spans="1:37" x14ac:dyDescent="0.25">
      <c r="A49" s="68" t="s">
        <v>56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63"/>
      <c r="AF49" s="63"/>
      <c r="AG49" s="69">
        <v>6.2</v>
      </c>
      <c r="AH49" s="56">
        <f t="shared" si="2"/>
        <v>0</v>
      </c>
      <c r="AI49" s="57">
        <f t="shared" si="3"/>
        <v>0</v>
      </c>
      <c r="AK49" s="58"/>
    </row>
    <row r="50" spans="1:37" ht="15.75" thickBot="1" x14ac:dyDescent="0.3">
      <c r="A50" s="70" t="s">
        <v>57</v>
      </c>
      <c r="B50" s="78">
        <v>3.54</v>
      </c>
      <c r="C50" s="78">
        <v>3.54</v>
      </c>
      <c r="D50" s="78">
        <v>3.54</v>
      </c>
      <c r="E50" s="78">
        <v>3.54</v>
      </c>
      <c r="F50" s="78">
        <v>3.54</v>
      </c>
      <c r="G50" s="78">
        <v>3.54</v>
      </c>
      <c r="H50" s="78">
        <v>3.54</v>
      </c>
      <c r="I50" s="78">
        <v>3.54</v>
      </c>
      <c r="J50" s="78">
        <v>3.54</v>
      </c>
      <c r="K50" s="78">
        <v>3.54</v>
      </c>
      <c r="L50" s="78">
        <v>3.54</v>
      </c>
      <c r="M50" s="78">
        <v>3.54</v>
      </c>
      <c r="N50" s="78">
        <v>3.54</v>
      </c>
      <c r="O50" s="78">
        <v>3.54</v>
      </c>
      <c r="P50" s="78">
        <v>3.54</v>
      </c>
      <c r="Q50" s="78">
        <v>3.54</v>
      </c>
      <c r="R50" s="78">
        <v>3.54</v>
      </c>
      <c r="S50" s="78">
        <v>3.54</v>
      </c>
      <c r="T50" s="78">
        <f t="shared" ref="T50:AG50" si="5">T198</f>
        <v>3.54</v>
      </c>
      <c r="U50" s="78">
        <f t="shared" si="5"/>
        <v>3.54</v>
      </c>
      <c r="V50" s="78">
        <f t="shared" si="5"/>
        <v>3.54</v>
      </c>
      <c r="W50" s="78">
        <f t="shared" si="5"/>
        <v>3.54</v>
      </c>
      <c r="X50" s="78">
        <f t="shared" si="5"/>
        <v>3.54</v>
      </c>
      <c r="Y50" s="78">
        <v>3.54</v>
      </c>
      <c r="Z50" s="78">
        <f t="shared" si="5"/>
        <v>3.54</v>
      </c>
      <c r="AA50" s="78">
        <f t="shared" si="5"/>
        <v>3.54</v>
      </c>
      <c r="AB50" s="78">
        <f t="shared" si="5"/>
        <v>3.54</v>
      </c>
      <c r="AC50" s="78">
        <f t="shared" si="5"/>
        <v>3.54</v>
      </c>
      <c r="AD50" s="78">
        <f t="shared" si="5"/>
        <v>3.54</v>
      </c>
      <c r="AE50" s="78">
        <f t="shared" si="5"/>
        <v>3.54</v>
      </c>
      <c r="AF50" s="78">
        <f t="shared" si="5"/>
        <v>3.54</v>
      </c>
      <c r="AG50" s="78">
        <f t="shared" si="5"/>
        <v>8.56</v>
      </c>
      <c r="AH50" s="56">
        <f t="shared" si="2"/>
        <v>3.54</v>
      </c>
      <c r="AI50" s="57">
        <f t="shared" si="3"/>
        <v>3.54</v>
      </c>
      <c r="AK50" s="58"/>
    </row>
    <row r="51" spans="1:37" ht="15.75" thickBot="1" x14ac:dyDescent="0.3">
      <c r="A51" s="73" t="s">
        <v>58</v>
      </c>
      <c r="B51" s="74">
        <f t="shared" ref="B51:AF51" si="6">SUM(B38:B50)</f>
        <v>3.54</v>
      </c>
      <c r="C51" s="74">
        <f t="shared" si="6"/>
        <v>3.54</v>
      </c>
      <c r="D51" s="74">
        <f t="shared" si="6"/>
        <v>3.54</v>
      </c>
      <c r="E51" s="74">
        <f t="shared" si="6"/>
        <v>3.54</v>
      </c>
      <c r="F51" s="74">
        <f t="shared" si="6"/>
        <v>3.54</v>
      </c>
      <c r="G51" s="74">
        <f t="shared" si="6"/>
        <v>3.54</v>
      </c>
      <c r="H51" s="74">
        <f t="shared" si="6"/>
        <v>3.54</v>
      </c>
      <c r="I51" s="74">
        <f t="shared" si="6"/>
        <v>3.54</v>
      </c>
      <c r="J51" s="74">
        <f t="shared" si="6"/>
        <v>3.54</v>
      </c>
      <c r="K51" s="74">
        <f t="shared" si="6"/>
        <v>3.54</v>
      </c>
      <c r="L51" s="74">
        <f t="shared" si="6"/>
        <v>3.54</v>
      </c>
      <c r="M51" s="74">
        <f t="shared" si="6"/>
        <v>3.54</v>
      </c>
      <c r="N51" s="74">
        <f t="shared" si="6"/>
        <v>3.54</v>
      </c>
      <c r="O51" s="74">
        <f t="shared" si="6"/>
        <v>3.54</v>
      </c>
      <c r="P51" s="74">
        <f t="shared" si="6"/>
        <v>3.54</v>
      </c>
      <c r="Q51" s="74">
        <f t="shared" si="6"/>
        <v>3.54</v>
      </c>
      <c r="R51" s="74">
        <f t="shared" si="6"/>
        <v>3.54</v>
      </c>
      <c r="S51" s="74">
        <f t="shared" si="6"/>
        <v>3.54</v>
      </c>
      <c r="T51" s="74">
        <f t="shared" si="6"/>
        <v>3.54</v>
      </c>
      <c r="U51" s="74">
        <f t="shared" si="6"/>
        <v>3.54</v>
      </c>
      <c r="V51" s="74">
        <f t="shared" si="6"/>
        <v>3.54</v>
      </c>
      <c r="W51" s="74">
        <f t="shared" si="6"/>
        <v>3.54</v>
      </c>
      <c r="X51" s="74">
        <f t="shared" si="6"/>
        <v>3.54</v>
      </c>
      <c r="Y51" s="74">
        <f t="shared" si="6"/>
        <v>3.54</v>
      </c>
      <c r="Z51" s="74">
        <f t="shared" si="6"/>
        <v>3.54</v>
      </c>
      <c r="AA51" s="74">
        <f t="shared" si="6"/>
        <v>3.54</v>
      </c>
      <c r="AB51" s="74">
        <f t="shared" si="6"/>
        <v>3.54</v>
      </c>
      <c r="AC51" s="74">
        <f t="shared" si="6"/>
        <v>3.54</v>
      </c>
      <c r="AD51" s="74">
        <f t="shared" si="6"/>
        <v>3.54</v>
      </c>
      <c r="AE51" s="74">
        <f t="shared" si="6"/>
        <v>3.54</v>
      </c>
      <c r="AF51" s="74">
        <f t="shared" si="6"/>
        <v>3.54</v>
      </c>
      <c r="AG51" s="79">
        <f>SUM(AG38:AG50)</f>
        <v>489.91</v>
      </c>
      <c r="AH51" s="56">
        <f t="shared" si="2"/>
        <v>3.54</v>
      </c>
      <c r="AI51" s="57">
        <f t="shared" si="3"/>
        <v>3.54</v>
      </c>
      <c r="AK51" s="58"/>
    </row>
    <row r="52" spans="1:37" x14ac:dyDescent="0.25">
      <c r="A52" s="59" t="s">
        <v>59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80"/>
      <c r="M52" s="80"/>
      <c r="N52" s="80"/>
      <c r="O52" s="8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64">
        <v>60</v>
      </c>
      <c r="AH52" s="56">
        <f t="shared" si="2"/>
        <v>0</v>
      </c>
      <c r="AI52" s="57">
        <f t="shared" si="3"/>
        <v>0</v>
      </c>
      <c r="AK52" s="58"/>
    </row>
    <row r="53" spans="1:37" x14ac:dyDescent="0.25">
      <c r="A53" s="68" t="s">
        <v>60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80"/>
      <c r="M53" s="80"/>
      <c r="N53" s="80"/>
      <c r="O53" s="80"/>
      <c r="P53" s="52"/>
      <c r="Q53" s="52"/>
      <c r="R53" s="50"/>
      <c r="S53" s="50"/>
      <c r="T53" s="50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69">
        <v>32</v>
      </c>
      <c r="AH53" s="56">
        <f t="shared" si="2"/>
        <v>0</v>
      </c>
      <c r="AI53" s="57">
        <f t="shared" si="3"/>
        <v>0</v>
      </c>
      <c r="AK53" s="58"/>
    </row>
    <row r="54" spans="1:37" ht="15.75" thickBot="1" x14ac:dyDescent="0.3">
      <c r="A54" s="77" t="s">
        <v>61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81"/>
      <c r="M54" s="81"/>
      <c r="N54" s="81"/>
      <c r="O54" s="81"/>
      <c r="P54" s="82"/>
      <c r="Q54" s="82"/>
      <c r="R54" s="50"/>
      <c r="S54" s="50"/>
      <c r="T54" s="50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3">
        <v>14</v>
      </c>
      <c r="AH54" s="56">
        <f t="shared" si="2"/>
        <v>0</v>
      </c>
      <c r="AI54" s="57">
        <f t="shared" si="3"/>
        <v>0</v>
      </c>
      <c r="AK54" s="58"/>
    </row>
    <row r="55" spans="1:37" ht="15.75" thickBot="1" x14ac:dyDescent="0.3">
      <c r="A55" s="73" t="s">
        <v>62</v>
      </c>
      <c r="B55" s="74">
        <f>SUM(B52:B54)</f>
        <v>0</v>
      </c>
      <c r="C55" s="74">
        <f t="shared" ref="C55:AF55" si="7">SUM(C52:C54)</f>
        <v>0</v>
      </c>
      <c r="D55" s="74">
        <f t="shared" si="7"/>
        <v>0</v>
      </c>
      <c r="E55" s="74">
        <f t="shared" si="7"/>
        <v>0</v>
      </c>
      <c r="F55" s="74">
        <f t="shared" si="7"/>
        <v>0</v>
      </c>
      <c r="G55" s="74">
        <f t="shared" si="7"/>
        <v>0</v>
      </c>
      <c r="H55" s="74">
        <f t="shared" si="7"/>
        <v>0</v>
      </c>
      <c r="I55" s="74">
        <f t="shared" si="7"/>
        <v>0</v>
      </c>
      <c r="J55" s="74">
        <f t="shared" si="7"/>
        <v>0</v>
      </c>
      <c r="K55" s="74">
        <f t="shared" si="7"/>
        <v>0</v>
      </c>
      <c r="L55" s="74">
        <f t="shared" si="7"/>
        <v>0</v>
      </c>
      <c r="M55" s="74">
        <f t="shared" si="7"/>
        <v>0</v>
      </c>
      <c r="N55" s="74">
        <f t="shared" si="7"/>
        <v>0</v>
      </c>
      <c r="O55" s="74">
        <f t="shared" si="7"/>
        <v>0</v>
      </c>
      <c r="P55" s="74">
        <f t="shared" si="7"/>
        <v>0</v>
      </c>
      <c r="Q55" s="74">
        <f t="shared" si="7"/>
        <v>0</v>
      </c>
      <c r="R55" s="74">
        <f t="shared" si="7"/>
        <v>0</v>
      </c>
      <c r="S55" s="74">
        <f t="shared" si="7"/>
        <v>0</v>
      </c>
      <c r="T55" s="74">
        <f t="shared" si="7"/>
        <v>0</v>
      </c>
      <c r="U55" s="74">
        <f t="shared" si="7"/>
        <v>0</v>
      </c>
      <c r="V55" s="74">
        <f t="shared" si="7"/>
        <v>0</v>
      </c>
      <c r="W55" s="74">
        <f t="shared" si="7"/>
        <v>0</v>
      </c>
      <c r="X55" s="74">
        <f t="shared" si="7"/>
        <v>0</v>
      </c>
      <c r="Y55" s="74">
        <f t="shared" si="7"/>
        <v>0</v>
      </c>
      <c r="Z55" s="74">
        <f t="shared" si="7"/>
        <v>0</v>
      </c>
      <c r="AA55" s="74">
        <f t="shared" si="7"/>
        <v>0</v>
      </c>
      <c r="AB55" s="74">
        <f t="shared" si="7"/>
        <v>0</v>
      </c>
      <c r="AC55" s="74">
        <f t="shared" si="7"/>
        <v>0</v>
      </c>
      <c r="AD55" s="74">
        <f t="shared" si="7"/>
        <v>0</v>
      </c>
      <c r="AE55" s="74">
        <f t="shared" si="7"/>
        <v>0</v>
      </c>
      <c r="AF55" s="74">
        <f t="shared" si="7"/>
        <v>0</v>
      </c>
      <c r="AG55" s="79">
        <f>SUM(AG52:AG54)</f>
        <v>106</v>
      </c>
      <c r="AH55" s="56">
        <f t="shared" si="2"/>
        <v>0</v>
      </c>
      <c r="AI55" s="57">
        <f t="shared" si="3"/>
        <v>0</v>
      </c>
      <c r="AK55" s="58"/>
    </row>
    <row r="56" spans="1:37" x14ac:dyDescent="0.25">
      <c r="A56" s="59" t="s">
        <v>63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64"/>
      <c r="AH56" s="56">
        <f t="shared" si="2"/>
        <v>0</v>
      </c>
      <c r="AI56" s="57">
        <f t="shared" si="3"/>
        <v>0</v>
      </c>
      <c r="AK56" s="58"/>
    </row>
    <row r="57" spans="1:37" x14ac:dyDescent="0.25">
      <c r="A57" s="68" t="s">
        <v>64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84"/>
      <c r="X57" s="84"/>
      <c r="Y57" s="84"/>
      <c r="Z57" s="84"/>
      <c r="AA57" s="52"/>
      <c r="AB57" s="52"/>
      <c r="AC57" s="52"/>
      <c r="AD57" s="52"/>
      <c r="AE57" s="52"/>
      <c r="AF57" s="52"/>
      <c r="AG57" s="69"/>
      <c r="AH57" s="56">
        <f t="shared" si="2"/>
        <v>0</v>
      </c>
      <c r="AI57" s="57">
        <f t="shared" si="3"/>
        <v>0</v>
      </c>
      <c r="AK57" s="58"/>
    </row>
    <row r="58" spans="1:37" x14ac:dyDescent="0.25">
      <c r="A58" s="68" t="s">
        <v>65</v>
      </c>
      <c r="B58" s="52"/>
      <c r="C58" s="52"/>
      <c r="D58" s="52"/>
      <c r="E58" s="52"/>
      <c r="F58" s="52"/>
      <c r="G58" s="50"/>
      <c r="H58" s="50"/>
      <c r="I58" s="50"/>
      <c r="J58" s="50"/>
      <c r="K58" s="50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85"/>
      <c r="X58" s="85"/>
      <c r="Y58" s="85"/>
      <c r="Z58" s="85"/>
      <c r="AA58" s="52"/>
      <c r="AB58" s="52"/>
      <c r="AC58" s="52"/>
      <c r="AD58" s="52"/>
      <c r="AE58" s="52"/>
      <c r="AF58" s="52"/>
      <c r="AG58" s="86"/>
      <c r="AH58" s="56">
        <f t="shared" si="2"/>
        <v>0</v>
      </c>
      <c r="AI58" s="57">
        <f t="shared" si="3"/>
        <v>0</v>
      </c>
      <c r="AK58" s="58"/>
    </row>
    <row r="59" spans="1:37" x14ac:dyDescent="0.25">
      <c r="A59" s="68" t="s">
        <v>66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60"/>
      <c r="AF59" s="60"/>
      <c r="AG59" s="86"/>
      <c r="AH59" s="56">
        <f t="shared" si="2"/>
        <v>0</v>
      </c>
      <c r="AI59" s="57">
        <f t="shared" si="3"/>
        <v>0</v>
      </c>
      <c r="AK59" s="58"/>
    </row>
    <row r="60" spans="1:37" x14ac:dyDescent="0.25">
      <c r="A60" s="68" t="s">
        <v>67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86"/>
      <c r="AH60" s="56">
        <f t="shared" si="2"/>
        <v>0</v>
      </c>
      <c r="AI60" s="57">
        <f t="shared" si="3"/>
        <v>0</v>
      </c>
      <c r="AK60" s="58"/>
    </row>
    <row r="61" spans="1:37" x14ac:dyDescent="0.25">
      <c r="A61" s="68" t="s">
        <v>68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86"/>
      <c r="AH61" s="56">
        <f t="shared" si="2"/>
        <v>0</v>
      </c>
      <c r="AI61" s="57">
        <f t="shared" si="3"/>
        <v>0</v>
      </c>
      <c r="AK61" s="58"/>
    </row>
    <row r="62" spans="1:37" x14ac:dyDescent="0.25">
      <c r="A62" s="68" t="s">
        <v>69</v>
      </c>
      <c r="B62" s="60"/>
      <c r="C62" s="60"/>
      <c r="D62" s="60"/>
      <c r="E62" s="60"/>
      <c r="F62" s="60"/>
      <c r="G62" s="60"/>
      <c r="H62" s="50"/>
      <c r="I62" s="50"/>
      <c r="J62" s="50"/>
      <c r="K62" s="50"/>
      <c r="L62" s="50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86"/>
      <c r="AH62" s="56">
        <f t="shared" si="2"/>
        <v>0</v>
      </c>
      <c r="AI62" s="57">
        <f t="shared" si="3"/>
        <v>0</v>
      </c>
      <c r="AK62" s="58"/>
    </row>
    <row r="63" spans="1:37" x14ac:dyDescent="0.25">
      <c r="A63" s="68" t="s">
        <v>70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86"/>
      <c r="AH63" s="56">
        <f t="shared" si="2"/>
        <v>0</v>
      </c>
      <c r="AI63" s="57">
        <f t="shared" si="3"/>
        <v>0</v>
      </c>
      <c r="AK63" s="58"/>
    </row>
    <row r="64" spans="1:37" x14ac:dyDescent="0.25">
      <c r="A64" s="68" t="s">
        <v>71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86"/>
      <c r="AH64" s="56">
        <f t="shared" si="2"/>
        <v>0</v>
      </c>
      <c r="AI64" s="57">
        <f t="shared" si="3"/>
        <v>0</v>
      </c>
      <c r="AK64" s="58"/>
    </row>
    <row r="65" spans="1:88" x14ac:dyDescent="0.25">
      <c r="A65" s="87" t="s">
        <v>72</v>
      </c>
      <c r="B65" s="60"/>
      <c r="C65" s="60"/>
      <c r="D65" s="60"/>
      <c r="E65" s="60"/>
      <c r="F65" s="60"/>
      <c r="G65" s="60"/>
      <c r="H65" s="52"/>
      <c r="I65" s="52"/>
      <c r="J65" s="52"/>
      <c r="K65" s="52"/>
      <c r="L65" s="52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88"/>
      <c r="AH65" s="56">
        <f t="shared" si="2"/>
        <v>0</v>
      </c>
      <c r="AI65" s="57">
        <f t="shared" si="3"/>
        <v>0</v>
      </c>
      <c r="AK65" s="58"/>
    </row>
    <row r="66" spans="1:88" ht="15.75" thickBot="1" x14ac:dyDescent="0.3">
      <c r="A66" s="87" t="s">
        <v>73</v>
      </c>
      <c r="B66" s="60"/>
      <c r="C66" s="60"/>
      <c r="D66" s="60"/>
      <c r="E66" s="60"/>
      <c r="F66" s="60"/>
      <c r="G66" s="60"/>
      <c r="H66" s="50"/>
      <c r="I66" s="50"/>
      <c r="J66" s="50"/>
      <c r="K66" s="50"/>
      <c r="L66" s="50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88"/>
      <c r="AH66" s="56">
        <f t="shared" si="2"/>
        <v>0</v>
      </c>
      <c r="AI66" s="57">
        <f t="shared" si="3"/>
        <v>0</v>
      </c>
      <c r="AK66" s="58"/>
    </row>
    <row r="67" spans="1:88" ht="15.75" thickBot="1" x14ac:dyDescent="0.3">
      <c r="A67" s="73" t="s">
        <v>74</v>
      </c>
      <c r="B67" s="74">
        <f>SUM(B56:B66)</f>
        <v>0</v>
      </c>
      <c r="C67" s="74">
        <f t="shared" ref="C67:AF67" si="8">SUM(C56:C66)</f>
        <v>0</v>
      </c>
      <c r="D67" s="74">
        <f t="shared" si="8"/>
        <v>0</v>
      </c>
      <c r="E67" s="74">
        <f t="shared" si="8"/>
        <v>0</v>
      </c>
      <c r="F67" s="74">
        <f t="shared" si="8"/>
        <v>0</v>
      </c>
      <c r="G67" s="74">
        <f t="shared" si="8"/>
        <v>0</v>
      </c>
      <c r="H67" s="74">
        <f t="shared" si="8"/>
        <v>0</v>
      </c>
      <c r="I67" s="74">
        <f t="shared" si="8"/>
        <v>0</v>
      </c>
      <c r="J67" s="74">
        <f t="shared" si="8"/>
        <v>0</v>
      </c>
      <c r="K67" s="74">
        <f t="shared" si="8"/>
        <v>0</v>
      </c>
      <c r="L67" s="74">
        <f t="shared" si="8"/>
        <v>0</v>
      </c>
      <c r="M67" s="74">
        <f t="shared" si="8"/>
        <v>0</v>
      </c>
      <c r="N67" s="74">
        <f t="shared" si="8"/>
        <v>0</v>
      </c>
      <c r="O67" s="74">
        <f t="shared" si="8"/>
        <v>0</v>
      </c>
      <c r="P67" s="74">
        <f t="shared" si="8"/>
        <v>0</v>
      </c>
      <c r="Q67" s="74">
        <f t="shared" si="8"/>
        <v>0</v>
      </c>
      <c r="R67" s="74">
        <f t="shared" si="8"/>
        <v>0</v>
      </c>
      <c r="S67" s="74">
        <f t="shared" si="8"/>
        <v>0</v>
      </c>
      <c r="T67" s="74">
        <f t="shared" si="8"/>
        <v>0</v>
      </c>
      <c r="U67" s="74">
        <f t="shared" si="8"/>
        <v>0</v>
      </c>
      <c r="V67" s="74">
        <f t="shared" si="8"/>
        <v>0</v>
      </c>
      <c r="W67" s="74">
        <f t="shared" si="8"/>
        <v>0</v>
      </c>
      <c r="X67" s="74">
        <f t="shared" si="8"/>
        <v>0</v>
      </c>
      <c r="Y67" s="74">
        <f t="shared" si="8"/>
        <v>0</v>
      </c>
      <c r="Z67" s="74">
        <f t="shared" si="8"/>
        <v>0</v>
      </c>
      <c r="AA67" s="74">
        <f t="shared" si="8"/>
        <v>0</v>
      </c>
      <c r="AB67" s="74">
        <f t="shared" si="8"/>
        <v>0</v>
      </c>
      <c r="AC67" s="74">
        <f t="shared" si="8"/>
        <v>0</v>
      </c>
      <c r="AD67" s="74">
        <f t="shared" si="8"/>
        <v>0</v>
      </c>
      <c r="AE67" s="74">
        <f t="shared" si="8"/>
        <v>0</v>
      </c>
      <c r="AF67" s="74">
        <f t="shared" si="8"/>
        <v>0</v>
      </c>
      <c r="AG67" s="79">
        <f>SUM(AG56:AG66)</f>
        <v>0</v>
      </c>
      <c r="AH67" s="56">
        <f t="shared" si="2"/>
        <v>0</v>
      </c>
      <c r="AI67" s="57">
        <f t="shared" si="3"/>
        <v>0</v>
      </c>
      <c r="AK67" s="58"/>
    </row>
    <row r="68" spans="1:88" x14ac:dyDescent="0.25">
      <c r="A68" s="59" t="s">
        <v>242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89">
        <v>39</v>
      </c>
      <c r="AH68" s="56">
        <f t="shared" si="2"/>
        <v>0</v>
      </c>
      <c r="AI68" s="57">
        <f t="shared" si="3"/>
        <v>0</v>
      </c>
      <c r="AK68" s="58"/>
    </row>
    <row r="69" spans="1:88" x14ac:dyDescent="0.25">
      <c r="A69" s="68" t="s">
        <v>243</v>
      </c>
      <c r="B69" s="62">
        <v>0</v>
      </c>
      <c r="C69" s="62">
        <v>0</v>
      </c>
      <c r="D69" s="62">
        <v>0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86">
        <v>14.4</v>
      </c>
      <c r="AH69" s="56">
        <f t="shared" si="2"/>
        <v>0</v>
      </c>
      <c r="AI69" s="57">
        <f t="shared" si="3"/>
        <v>0</v>
      </c>
      <c r="AK69" s="58"/>
    </row>
    <row r="70" spans="1:88" ht="15.75" thickBot="1" x14ac:dyDescent="0.3">
      <c r="A70" s="87" t="s">
        <v>244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88">
        <v>2</v>
      </c>
      <c r="AH70" s="56">
        <f t="shared" si="2"/>
        <v>0</v>
      </c>
      <c r="AI70" s="57">
        <f t="shared" si="3"/>
        <v>0</v>
      </c>
    </row>
    <row r="71" spans="1:88" s="1" customFormat="1" ht="15.75" thickBot="1" x14ac:dyDescent="0.3">
      <c r="A71" s="73" t="s">
        <v>78</v>
      </c>
      <c r="B71" s="74">
        <f>SUM(B68:B70)</f>
        <v>0</v>
      </c>
      <c r="C71" s="74">
        <f t="shared" ref="C71:AF71" si="9">SUM(C68:C70)</f>
        <v>0</v>
      </c>
      <c r="D71" s="74">
        <f t="shared" si="9"/>
        <v>0</v>
      </c>
      <c r="E71" s="74">
        <f t="shared" si="9"/>
        <v>0</v>
      </c>
      <c r="F71" s="74">
        <f t="shared" si="9"/>
        <v>0</v>
      </c>
      <c r="G71" s="74">
        <f t="shared" si="9"/>
        <v>0</v>
      </c>
      <c r="H71" s="74">
        <f t="shared" si="9"/>
        <v>0</v>
      </c>
      <c r="I71" s="74">
        <f t="shared" si="9"/>
        <v>0</v>
      </c>
      <c r="J71" s="74">
        <f t="shared" si="9"/>
        <v>0</v>
      </c>
      <c r="K71" s="74">
        <f t="shared" si="9"/>
        <v>0</v>
      </c>
      <c r="L71" s="74">
        <f t="shared" si="9"/>
        <v>0</v>
      </c>
      <c r="M71" s="74">
        <f t="shared" si="9"/>
        <v>0</v>
      </c>
      <c r="N71" s="74">
        <f t="shared" si="9"/>
        <v>0</v>
      </c>
      <c r="O71" s="74">
        <f t="shared" si="9"/>
        <v>0</v>
      </c>
      <c r="P71" s="74">
        <f t="shared" si="9"/>
        <v>0</v>
      </c>
      <c r="Q71" s="74">
        <f t="shared" si="9"/>
        <v>0</v>
      </c>
      <c r="R71" s="74">
        <f t="shared" si="9"/>
        <v>0</v>
      </c>
      <c r="S71" s="74">
        <f t="shared" si="9"/>
        <v>0</v>
      </c>
      <c r="T71" s="74">
        <f t="shared" si="9"/>
        <v>0</v>
      </c>
      <c r="U71" s="74">
        <f t="shared" si="9"/>
        <v>0</v>
      </c>
      <c r="V71" s="74">
        <f t="shared" si="9"/>
        <v>0</v>
      </c>
      <c r="W71" s="74">
        <f t="shared" si="9"/>
        <v>0</v>
      </c>
      <c r="X71" s="74">
        <f t="shared" si="9"/>
        <v>0</v>
      </c>
      <c r="Y71" s="74">
        <f t="shared" si="9"/>
        <v>0</v>
      </c>
      <c r="Z71" s="74">
        <f t="shared" si="9"/>
        <v>0</v>
      </c>
      <c r="AA71" s="74">
        <f t="shared" si="9"/>
        <v>0</v>
      </c>
      <c r="AB71" s="74">
        <f t="shared" si="9"/>
        <v>0</v>
      </c>
      <c r="AC71" s="74">
        <f t="shared" si="9"/>
        <v>0</v>
      </c>
      <c r="AD71" s="74">
        <f t="shared" si="9"/>
        <v>0</v>
      </c>
      <c r="AE71" s="74">
        <f t="shared" si="9"/>
        <v>0</v>
      </c>
      <c r="AF71" s="74">
        <f t="shared" si="9"/>
        <v>0</v>
      </c>
      <c r="AG71" s="79">
        <f>SUM(AG68:AG70)</f>
        <v>55.4</v>
      </c>
      <c r="AH71" s="56">
        <f t="shared" si="2"/>
        <v>0</v>
      </c>
      <c r="AI71" s="57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73" t="s">
        <v>79</v>
      </c>
      <c r="B72" s="90">
        <f>B67+B55+B51+B37+B71</f>
        <v>3.54</v>
      </c>
      <c r="C72" s="90">
        <f t="shared" ref="C72:AG72" si="10">C67+C55+C51+C37+C71</f>
        <v>3.54</v>
      </c>
      <c r="D72" s="90">
        <f t="shared" si="10"/>
        <v>3.54</v>
      </c>
      <c r="E72" s="90">
        <f t="shared" si="10"/>
        <v>3.54</v>
      </c>
      <c r="F72" s="90">
        <f t="shared" si="10"/>
        <v>3.54</v>
      </c>
      <c r="G72" s="90">
        <f t="shared" si="10"/>
        <v>3.54</v>
      </c>
      <c r="H72" s="90">
        <f t="shared" si="10"/>
        <v>3.54</v>
      </c>
      <c r="I72" s="90">
        <f t="shared" si="10"/>
        <v>3.54</v>
      </c>
      <c r="J72" s="90">
        <f t="shared" si="10"/>
        <v>3.54</v>
      </c>
      <c r="K72" s="90">
        <f t="shared" si="10"/>
        <v>3.54</v>
      </c>
      <c r="L72" s="90">
        <f t="shared" si="10"/>
        <v>3.54</v>
      </c>
      <c r="M72" s="90">
        <f t="shared" si="10"/>
        <v>3.54</v>
      </c>
      <c r="N72" s="90">
        <f t="shared" si="10"/>
        <v>3.54</v>
      </c>
      <c r="O72" s="90">
        <f t="shared" si="10"/>
        <v>3.54</v>
      </c>
      <c r="P72" s="90">
        <f t="shared" si="10"/>
        <v>3.54</v>
      </c>
      <c r="Q72" s="90">
        <f t="shared" si="10"/>
        <v>3.54</v>
      </c>
      <c r="R72" s="90">
        <f t="shared" si="10"/>
        <v>3.54</v>
      </c>
      <c r="S72" s="90">
        <f t="shared" si="10"/>
        <v>3.54</v>
      </c>
      <c r="T72" s="90">
        <f t="shared" si="10"/>
        <v>3.54</v>
      </c>
      <c r="U72" s="90">
        <f t="shared" si="10"/>
        <v>3.54</v>
      </c>
      <c r="V72" s="90">
        <f t="shared" si="10"/>
        <v>3.54</v>
      </c>
      <c r="W72" s="90">
        <f t="shared" si="10"/>
        <v>3.54</v>
      </c>
      <c r="X72" s="90">
        <f t="shared" si="10"/>
        <v>3.54</v>
      </c>
      <c r="Y72" s="90">
        <f t="shared" si="10"/>
        <v>3.54</v>
      </c>
      <c r="Z72" s="90">
        <f t="shared" si="10"/>
        <v>3.54</v>
      </c>
      <c r="AA72" s="90">
        <f t="shared" si="10"/>
        <v>3.54</v>
      </c>
      <c r="AB72" s="90">
        <f t="shared" si="10"/>
        <v>3.54</v>
      </c>
      <c r="AC72" s="90">
        <f t="shared" si="10"/>
        <v>3.54</v>
      </c>
      <c r="AD72" s="90">
        <f t="shared" si="10"/>
        <v>3.54</v>
      </c>
      <c r="AE72" s="90">
        <f t="shared" si="10"/>
        <v>3.54</v>
      </c>
      <c r="AF72" s="90">
        <f t="shared" si="10"/>
        <v>3.54</v>
      </c>
      <c r="AG72" s="90">
        <f t="shared" si="10"/>
        <v>2133.14</v>
      </c>
      <c r="AH72" s="56">
        <f t="shared" si="2"/>
        <v>3.54</v>
      </c>
      <c r="AI72" s="57">
        <f t="shared" si="3"/>
        <v>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91" t="s">
        <v>80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79"/>
      <c r="AH73" s="56">
        <f t="shared" si="2"/>
        <v>0</v>
      </c>
      <c r="AI73" s="57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73" t="s">
        <v>81</v>
      </c>
      <c r="B74" s="90">
        <f>B72+B73</f>
        <v>3.54</v>
      </c>
      <c r="C74" s="90">
        <f t="shared" ref="C74:AF74" si="11">C71+C67+C55+C51+C37+C73</f>
        <v>3.54</v>
      </c>
      <c r="D74" s="90">
        <f t="shared" si="11"/>
        <v>3.54</v>
      </c>
      <c r="E74" s="90">
        <f t="shared" si="11"/>
        <v>3.54</v>
      </c>
      <c r="F74" s="90">
        <f t="shared" si="11"/>
        <v>3.54</v>
      </c>
      <c r="G74" s="90">
        <f t="shared" si="11"/>
        <v>3.54</v>
      </c>
      <c r="H74" s="90">
        <f t="shared" si="11"/>
        <v>3.54</v>
      </c>
      <c r="I74" s="90">
        <f t="shared" si="11"/>
        <v>3.54</v>
      </c>
      <c r="J74" s="90">
        <f t="shared" si="11"/>
        <v>3.54</v>
      </c>
      <c r="K74" s="90">
        <f t="shared" si="11"/>
        <v>3.54</v>
      </c>
      <c r="L74" s="90">
        <f t="shared" si="11"/>
        <v>3.54</v>
      </c>
      <c r="M74" s="90">
        <f t="shared" si="11"/>
        <v>3.54</v>
      </c>
      <c r="N74" s="90">
        <f t="shared" si="11"/>
        <v>3.54</v>
      </c>
      <c r="O74" s="90">
        <f t="shared" si="11"/>
        <v>3.54</v>
      </c>
      <c r="P74" s="90">
        <f t="shared" si="11"/>
        <v>3.54</v>
      </c>
      <c r="Q74" s="90">
        <f t="shared" si="11"/>
        <v>3.54</v>
      </c>
      <c r="R74" s="90">
        <f t="shared" si="11"/>
        <v>3.54</v>
      </c>
      <c r="S74" s="90">
        <f t="shared" si="11"/>
        <v>3.54</v>
      </c>
      <c r="T74" s="90">
        <f t="shared" si="11"/>
        <v>3.54</v>
      </c>
      <c r="U74" s="90">
        <f t="shared" si="11"/>
        <v>3.54</v>
      </c>
      <c r="V74" s="90">
        <f t="shared" si="11"/>
        <v>3.54</v>
      </c>
      <c r="W74" s="90">
        <f t="shared" si="11"/>
        <v>3.54</v>
      </c>
      <c r="X74" s="90">
        <f t="shared" si="11"/>
        <v>3.54</v>
      </c>
      <c r="Y74" s="90">
        <f t="shared" si="11"/>
        <v>3.54</v>
      </c>
      <c r="Z74" s="90">
        <f t="shared" si="11"/>
        <v>3.54</v>
      </c>
      <c r="AA74" s="90">
        <f t="shared" si="11"/>
        <v>3.54</v>
      </c>
      <c r="AB74" s="90">
        <f t="shared" si="11"/>
        <v>3.54</v>
      </c>
      <c r="AC74" s="90">
        <f t="shared" si="11"/>
        <v>3.54</v>
      </c>
      <c r="AD74" s="90">
        <f t="shared" si="11"/>
        <v>3.54</v>
      </c>
      <c r="AE74" s="90">
        <f t="shared" si="11"/>
        <v>3.54</v>
      </c>
      <c r="AF74" s="90">
        <f t="shared" si="11"/>
        <v>3.54</v>
      </c>
      <c r="AG74" s="79">
        <f>AG71+AG67+AG55+AG51+AG37+AG73</f>
        <v>2133.14</v>
      </c>
      <c r="AH74" s="56">
        <f t="shared" si="2"/>
        <v>3.54</v>
      </c>
      <c r="AI74" s="57">
        <f t="shared" si="3"/>
        <v>3.54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59" t="s">
        <v>66</v>
      </c>
      <c r="B75" s="60">
        <f>IF(B59&lt;0,B59*-1,0)</f>
        <v>0</v>
      </c>
      <c r="C75" s="60">
        <f t="shared" ref="C75:AF75" si="12">IF(C59&lt;0,C59*-1,0)</f>
        <v>0</v>
      </c>
      <c r="D75" s="60">
        <f t="shared" si="12"/>
        <v>0</v>
      </c>
      <c r="E75" s="60">
        <f t="shared" si="12"/>
        <v>0</v>
      </c>
      <c r="F75" s="60">
        <f t="shared" si="12"/>
        <v>0</v>
      </c>
      <c r="G75" s="60">
        <f t="shared" si="12"/>
        <v>0</v>
      </c>
      <c r="H75" s="60">
        <f t="shared" si="12"/>
        <v>0</v>
      </c>
      <c r="I75" s="60">
        <f t="shared" si="12"/>
        <v>0</v>
      </c>
      <c r="J75" s="60">
        <f t="shared" si="12"/>
        <v>0</v>
      </c>
      <c r="K75" s="60">
        <f t="shared" si="12"/>
        <v>0</v>
      </c>
      <c r="L75" s="60">
        <f t="shared" si="12"/>
        <v>0</v>
      </c>
      <c r="M75" s="60">
        <f t="shared" si="12"/>
        <v>0</v>
      </c>
      <c r="N75" s="60">
        <f t="shared" si="12"/>
        <v>0</v>
      </c>
      <c r="O75" s="60">
        <f t="shared" si="12"/>
        <v>0</v>
      </c>
      <c r="P75" s="60">
        <f t="shared" si="12"/>
        <v>0</v>
      </c>
      <c r="Q75" s="60">
        <f t="shared" si="12"/>
        <v>0</v>
      </c>
      <c r="R75" s="60">
        <f t="shared" si="12"/>
        <v>0</v>
      </c>
      <c r="S75" s="60">
        <f t="shared" si="12"/>
        <v>0</v>
      </c>
      <c r="T75" s="60">
        <f t="shared" si="12"/>
        <v>0</v>
      </c>
      <c r="U75" s="60">
        <f t="shared" si="12"/>
        <v>0</v>
      </c>
      <c r="V75" s="60">
        <f t="shared" si="12"/>
        <v>0</v>
      </c>
      <c r="W75" s="60">
        <f t="shared" si="12"/>
        <v>0</v>
      </c>
      <c r="X75" s="60">
        <f t="shared" si="12"/>
        <v>0</v>
      </c>
      <c r="Y75" s="60">
        <f t="shared" si="12"/>
        <v>0</v>
      </c>
      <c r="Z75" s="60">
        <f t="shared" si="12"/>
        <v>0</v>
      </c>
      <c r="AA75" s="60">
        <f t="shared" si="12"/>
        <v>0</v>
      </c>
      <c r="AB75" s="60">
        <f t="shared" si="12"/>
        <v>0</v>
      </c>
      <c r="AC75" s="60">
        <f t="shared" si="12"/>
        <v>0</v>
      </c>
      <c r="AD75" s="60">
        <f t="shared" si="12"/>
        <v>0</v>
      </c>
      <c r="AE75" s="60">
        <f t="shared" si="12"/>
        <v>0</v>
      </c>
      <c r="AF75" s="60">
        <f t="shared" si="12"/>
        <v>0</v>
      </c>
      <c r="AG75" s="64"/>
      <c r="AH75" s="56">
        <f t="shared" si="2"/>
        <v>0</v>
      </c>
      <c r="AI75" s="57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68" t="s">
        <v>64</v>
      </c>
      <c r="B76" s="60">
        <f>IF(B57&lt;0,B57*-1,0)</f>
        <v>0</v>
      </c>
      <c r="C76" s="60">
        <f t="shared" ref="C76:AF76" si="13">IF(C57&lt;0,C57*-1,0)</f>
        <v>0</v>
      </c>
      <c r="D76" s="60">
        <f t="shared" si="13"/>
        <v>0</v>
      </c>
      <c r="E76" s="60">
        <f t="shared" si="13"/>
        <v>0</v>
      </c>
      <c r="F76" s="60">
        <f t="shared" si="13"/>
        <v>0</v>
      </c>
      <c r="G76" s="60">
        <f t="shared" si="13"/>
        <v>0</v>
      </c>
      <c r="H76" s="60">
        <f t="shared" si="13"/>
        <v>0</v>
      </c>
      <c r="I76" s="60">
        <f t="shared" si="13"/>
        <v>0</v>
      </c>
      <c r="J76" s="60">
        <f t="shared" si="13"/>
        <v>0</v>
      </c>
      <c r="K76" s="60">
        <f t="shared" si="13"/>
        <v>0</v>
      </c>
      <c r="L76" s="60">
        <f t="shared" si="13"/>
        <v>0</v>
      </c>
      <c r="M76" s="60">
        <f t="shared" si="13"/>
        <v>0</v>
      </c>
      <c r="N76" s="60">
        <f t="shared" si="13"/>
        <v>0</v>
      </c>
      <c r="O76" s="60">
        <f t="shared" si="13"/>
        <v>0</v>
      </c>
      <c r="P76" s="60">
        <f t="shared" si="13"/>
        <v>0</v>
      </c>
      <c r="Q76" s="60">
        <f t="shared" si="13"/>
        <v>0</v>
      </c>
      <c r="R76" s="60">
        <f t="shared" si="13"/>
        <v>0</v>
      </c>
      <c r="S76" s="60">
        <f t="shared" si="13"/>
        <v>0</v>
      </c>
      <c r="T76" s="60">
        <f t="shared" si="13"/>
        <v>0</v>
      </c>
      <c r="U76" s="60">
        <f t="shared" si="13"/>
        <v>0</v>
      </c>
      <c r="V76" s="60">
        <f t="shared" si="13"/>
        <v>0</v>
      </c>
      <c r="W76" s="60">
        <f t="shared" si="13"/>
        <v>0</v>
      </c>
      <c r="X76" s="60">
        <f t="shared" si="13"/>
        <v>0</v>
      </c>
      <c r="Y76" s="60">
        <f t="shared" si="13"/>
        <v>0</v>
      </c>
      <c r="Z76" s="60">
        <f t="shared" si="13"/>
        <v>0</v>
      </c>
      <c r="AA76" s="60">
        <f t="shared" si="13"/>
        <v>0</v>
      </c>
      <c r="AB76" s="60">
        <f t="shared" si="13"/>
        <v>0</v>
      </c>
      <c r="AC76" s="60">
        <f t="shared" si="13"/>
        <v>0</v>
      </c>
      <c r="AD76" s="60">
        <f t="shared" si="13"/>
        <v>0</v>
      </c>
      <c r="AE76" s="60">
        <f t="shared" si="13"/>
        <v>0</v>
      </c>
      <c r="AF76" s="60">
        <f t="shared" si="13"/>
        <v>0</v>
      </c>
      <c r="AG76" s="69"/>
      <c r="AH76" s="56">
        <f t="shared" si="2"/>
        <v>0</v>
      </c>
      <c r="AI76" s="57">
        <f t="shared" si="3"/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7" t="s">
        <v>82</v>
      </c>
      <c r="B77" s="60">
        <f>IF(B60&lt;0,B60*-1,0)</f>
        <v>0</v>
      </c>
      <c r="C77" s="60">
        <f t="shared" ref="C77:AF77" si="14">IF(C60&lt;0,C60*-1,0)</f>
        <v>0</v>
      </c>
      <c r="D77" s="60">
        <f t="shared" si="14"/>
        <v>0</v>
      </c>
      <c r="E77" s="60">
        <f t="shared" si="14"/>
        <v>0</v>
      </c>
      <c r="F77" s="60">
        <f t="shared" si="14"/>
        <v>0</v>
      </c>
      <c r="G77" s="60">
        <f t="shared" si="14"/>
        <v>0</v>
      </c>
      <c r="H77" s="60">
        <f t="shared" si="14"/>
        <v>0</v>
      </c>
      <c r="I77" s="60">
        <f t="shared" si="14"/>
        <v>0</v>
      </c>
      <c r="J77" s="60">
        <f t="shared" si="14"/>
        <v>0</v>
      </c>
      <c r="K77" s="60">
        <f t="shared" si="14"/>
        <v>0</v>
      </c>
      <c r="L77" s="60">
        <f t="shared" si="14"/>
        <v>0</v>
      </c>
      <c r="M77" s="60">
        <f t="shared" si="14"/>
        <v>0</v>
      </c>
      <c r="N77" s="60">
        <f t="shared" si="14"/>
        <v>0</v>
      </c>
      <c r="O77" s="60">
        <f t="shared" si="14"/>
        <v>0</v>
      </c>
      <c r="P77" s="60">
        <f t="shared" si="14"/>
        <v>0</v>
      </c>
      <c r="Q77" s="60">
        <f t="shared" si="14"/>
        <v>0</v>
      </c>
      <c r="R77" s="60">
        <f t="shared" si="14"/>
        <v>0</v>
      </c>
      <c r="S77" s="60">
        <f t="shared" si="14"/>
        <v>0</v>
      </c>
      <c r="T77" s="60">
        <f t="shared" si="14"/>
        <v>0</v>
      </c>
      <c r="U77" s="60">
        <f t="shared" si="14"/>
        <v>0</v>
      </c>
      <c r="V77" s="60">
        <f t="shared" si="14"/>
        <v>0</v>
      </c>
      <c r="W77" s="60">
        <f t="shared" si="14"/>
        <v>0</v>
      </c>
      <c r="X77" s="60">
        <f t="shared" si="14"/>
        <v>0</v>
      </c>
      <c r="Y77" s="60">
        <f t="shared" si="14"/>
        <v>0</v>
      </c>
      <c r="Z77" s="60">
        <f t="shared" si="14"/>
        <v>0</v>
      </c>
      <c r="AA77" s="60">
        <f t="shared" si="14"/>
        <v>0</v>
      </c>
      <c r="AB77" s="60">
        <f t="shared" si="14"/>
        <v>0</v>
      </c>
      <c r="AC77" s="60">
        <f t="shared" si="14"/>
        <v>0</v>
      </c>
      <c r="AD77" s="60">
        <f t="shared" si="14"/>
        <v>0</v>
      </c>
      <c r="AE77" s="60">
        <f t="shared" si="14"/>
        <v>0</v>
      </c>
      <c r="AF77" s="60">
        <f t="shared" si="14"/>
        <v>0</v>
      </c>
      <c r="AG77" s="93"/>
      <c r="AH77" s="56">
        <f t="shared" si="2"/>
        <v>0</v>
      </c>
      <c r="AI77" s="57">
        <f t="shared" si="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7" t="s">
        <v>83</v>
      </c>
      <c r="B78" s="60">
        <f>IF(B58&lt;0,B58*-1,0)</f>
        <v>0</v>
      </c>
      <c r="C78" s="60">
        <f t="shared" ref="C78:AF78" si="15">IF(C58&lt;0,C58*-1,0)</f>
        <v>0</v>
      </c>
      <c r="D78" s="60">
        <f t="shared" si="15"/>
        <v>0</v>
      </c>
      <c r="E78" s="60">
        <f t="shared" si="15"/>
        <v>0</v>
      </c>
      <c r="F78" s="60">
        <f t="shared" si="15"/>
        <v>0</v>
      </c>
      <c r="G78" s="60">
        <f t="shared" si="15"/>
        <v>0</v>
      </c>
      <c r="H78" s="60">
        <f t="shared" si="15"/>
        <v>0</v>
      </c>
      <c r="I78" s="60">
        <f t="shared" si="15"/>
        <v>0</v>
      </c>
      <c r="J78" s="60">
        <f t="shared" si="15"/>
        <v>0</v>
      </c>
      <c r="K78" s="60">
        <f t="shared" si="15"/>
        <v>0</v>
      </c>
      <c r="L78" s="60">
        <f t="shared" si="15"/>
        <v>0</v>
      </c>
      <c r="M78" s="60">
        <f t="shared" si="15"/>
        <v>0</v>
      </c>
      <c r="N78" s="60">
        <f t="shared" si="15"/>
        <v>0</v>
      </c>
      <c r="O78" s="60">
        <f t="shared" si="15"/>
        <v>0</v>
      </c>
      <c r="P78" s="60">
        <f t="shared" si="15"/>
        <v>0</v>
      </c>
      <c r="Q78" s="60">
        <f t="shared" si="15"/>
        <v>0</v>
      </c>
      <c r="R78" s="60">
        <f t="shared" si="15"/>
        <v>0</v>
      </c>
      <c r="S78" s="60">
        <f t="shared" si="15"/>
        <v>0</v>
      </c>
      <c r="T78" s="60">
        <f t="shared" si="15"/>
        <v>0</v>
      </c>
      <c r="U78" s="60">
        <f t="shared" si="15"/>
        <v>0</v>
      </c>
      <c r="V78" s="60">
        <f t="shared" si="15"/>
        <v>0</v>
      </c>
      <c r="W78" s="60">
        <f t="shared" si="15"/>
        <v>0</v>
      </c>
      <c r="X78" s="60">
        <f t="shared" si="15"/>
        <v>0</v>
      </c>
      <c r="Y78" s="60">
        <f t="shared" si="15"/>
        <v>0</v>
      </c>
      <c r="Z78" s="60">
        <f t="shared" si="15"/>
        <v>0</v>
      </c>
      <c r="AA78" s="60">
        <f t="shared" si="15"/>
        <v>0</v>
      </c>
      <c r="AB78" s="60">
        <f t="shared" si="15"/>
        <v>0</v>
      </c>
      <c r="AC78" s="60">
        <f t="shared" si="15"/>
        <v>0</v>
      </c>
      <c r="AD78" s="60">
        <f t="shared" si="15"/>
        <v>0</v>
      </c>
      <c r="AE78" s="60">
        <f t="shared" si="15"/>
        <v>0</v>
      </c>
      <c r="AF78" s="60">
        <f t="shared" si="15"/>
        <v>0</v>
      </c>
      <c r="AG78" s="93"/>
      <c r="AH78" s="56">
        <f t="shared" ref="AH78:AH90" si="16">MAX(B78:AF78)</f>
        <v>0</v>
      </c>
      <c r="AI78" s="57">
        <f t="shared" ref="AI78:AI90" si="17">MIN(B78:AF78)</f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7" t="s">
        <v>63</v>
      </c>
      <c r="B79" s="60">
        <f>IF(B56&lt;0,B56*-1,0)</f>
        <v>0</v>
      </c>
      <c r="C79" s="60">
        <f t="shared" ref="C79:AF79" si="18">IF(C56&lt;0,C56*-1,0)</f>
        <v>0</v>
      </c>
      <c r="D79" s="60">
        <f t="shared" si="18"/>
        <v>0</v>
      </c>
      <c r="E79" s="60">
        <f t="shared" si="18"/>
        <v>0</v>
      </c>
      <c r="F79" s="60">
        <f t="shared" si="18"/>
        <v>0</v>
      </c>
      <c r="G79" s="60">
        <f t="shared" si="18"/>
        <v>0</v>
      </c>
      <c r="H79" s="60">
        <f t="shared" si="18"/>
        <v>0</v>
      </c>
      <c r="I79" s="60">
        <f t="shared" si="18"/>
        <v>0</v>
      </c>
      <c r="J79" s="60">
        <f t="shared" si="18"/>
        <v>0</v>
      </c>
      <c r="K79" s="60">
        <f t="shared" si="18"/>
        <v>0</v>
      </c>
      <c r="L79" s="60">
        <f t="shared" si="18"/>
        <v>0</v>
      </c>
      <c r="M79" s="60">
        <f t="shared" si="18"/>
        <v>0</v>
      </c>
      <c r="N79" s="60">
        <f t="shared" si="18"/>
        <v>0</v>
      </c>
      <c r="O79" s="60">
        <f t="shared" si="18"/>
        <v>0</v>
      </c>
      <c r="P79" s="60">
        <f t="shared" si="18"/>
        <v>0</v>
      </c>
      <c r="Q79" s="60">
        <f t="shared" si="18"/>
        <v>0</v>
      </c>
      <c r="R79" s="60">
        <f t="shared" si="18"/>
        <v>0</v>
      </c>
      <c r="S79" s="60">
        <f t="shared" si="18"/>
        <v>0</v>
      </c>
      <c r="T79" s="60">
        <f t="shared" si="18"/>
        <v>0</v>
      </c>
      <c r="U79" s="60">
        <f t="shared" si="18"/>
        <v>0</v>
      </c>
      <c r="V79" s="60">
        <f t="shared" si="18"/>
        <v>0</v>
      </c>
      <c r="W79" s="60">
        <f t="shared" si="18"/>
        <v>0</v>
      </c>
      <c r="X79" s="60">
        <f t="shared" si="18"/>
        <v>0</v>
      </c>
      <c r="Y79" s="60">
        <f t="shared" si="18"/>
        <v>0</v>
      </c>
      <c r="Z79" s="60">
        <f t="shared" si="18"/>
        <v>0</v>
      </c>
      <c r="AA79" s="60">
        <f t="shared" si="18"/>
        <v>0</v>
      </c>
      <c r="AB79" s="60">
        <f t="shared" si="18"/>
        <v>0</v>
      </c>
      <c r="AC79" s="60">
        <f t="shared" si="18"/>
        <v>0</v>
      </c>
      <c r="AD79" s="60">
        <f t="shared" si="18"/>
        <v>0</v>
      </c>
      <c r="AE79" s="60">
        <f t="shared" si="18"/>
        <v>0</v>
      </c>
      <c r="AF79" s="60">
        <f t="shared" si="18"/>
        <v>0</v>
      </c>
      <c r="AG79" s="93"/>
      <c r="AH79" s="56">
        <f t="shared" si="16"/>
        <v>0</v>
      </c>
      <c r="AI79" s="57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ht="15.75" thickBot="1" x14ac:dyDescent="0.3">
      <c r="A80" s="87" t="s">
        <v>84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50"/>
      <c r="S80" s="50"/>
      <c r="T80" s="50"/>
      <c r="U80" s="50"/>
      <c r="V80" s="50"/>
      <c r="W80" s="50"/>
      <c r="X80" s="50"/>
      <c r="Y80" s="50"/>
      <c r="Z80" s="50"/>
      <c r="AA80" s="65"/>
      <c r="AB80" s="65"/>
      <c r="AC80" s="65"/>
      <c r="AD80" s="65"/>
      <c r="AE80" s="65"/>
      <c r="AF80" s="65"/>
      <c r="AG80" s="88"/>
      <c r="AH80" s="56">
        <f t="shared" si="16"/>
        <v>0</v>
      </c>
      <c r="AI80" s="57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ht="15.75" thickBot="1" x14ac:dyDescent="0.3">
      <c r="A81" s="94" t="s">
        <v>85</v>
      </c>
      <c r="B81" s="74">
        <f t="shared" ref="B81:AG81" si="19">SUM(B75:B80)</f>
        <v>0</v>
      </c>
      <c r="C81" s="74">
        <f t="shared" si="19"/>
        <v>0</v>
      </c>
      <c r="D81" s="74">
        <f t="shared" si="19"/>
        <v>0</v>
      </c>
      <c r="E81" s="74">
        <f t="shared" si="19"/>
        <v>0</v>
      </c>
      <c r="F81" s="74">
        <f t="shared" si="19"/>
        <v>0</v>
      </c>
      <c r="G81" s="74">
        <f t="shared" si="19"/>
        <v>0</v>
      </c>
      <c r="H81" s="74">
        <f t="shared" si="19"/>
        <v>0</v>
      </c>
      <c r="I81" s="74">
        <f t="shared" si="19"/>
        <v>0</v>
      </c>
      <c r="J81" s="74">
        <f t="shared" si="19"/>
        <v>0</v>
      </c>
      <c r="K81" s="74">
        <f t="shared" si="19"/>
        <v>0</v>
      </c>
      <c r="L81" s="74">
        <f t="shared" si="19"/>
        <v>0</v>
      </c>
      <c r="M81" s="74">
        <f t="shared" si="19"/>
        <v>0</v>
      </c>
      <c r="N81" s="74">
        <f t="shared" si="19"/>
        <v>0</v>
      </c>
      <c r="O81" s="74">
        <f t="shared" si="19"/>
        <v>0</v>
      </c>
      <c r="P81" s="74">
        <f t="shared" si="19"/>
        <v>0</v>
      </c>
      <c r="Q81" s="74">
        <f t="shared" si="19"/>
        <v>0</v>
      </c>
      <c r="R81" s="74">
        <f t="shared" si="19"/>
        <v>0</v>
      </c>
      <c r="S81" s="74">
        <f t="shared" si="19"/>
        <v>0</v>
      </c>
      <c r="T81" s="74">
        <f t="shared" si="19"/>
        <v>0</v>
      </c>
      <c r="U81" s="74">
        <f t="shared" si="19"/>
        <v>0</v>
      </c>
      <c r="V81" s="74">
        <f t="shared" si="19"/>
        <v>0</v>
      </c>
      <c r="W81" s="74">
        <f t="shared" si="19"/>
        <v>0</v>
      </c>
      <c r="X81" s="74">
        <f t="shared" si="19"/>
        <v>0</v>
      </c>
      <c r="Y81" s="74">
        <f t="shared" si="19"/>
        <v>0</v>
      </c>
      <c r="Z81" s="74">
        <f t="shared" si="19"/>
        <v>0</v>
      </c>
      <c r="AA81" s="74">
        <f t="shared" si="19"/>
        <v>0</v>
      </c>
      <c r="AB81" s="74">
        <f t="shared" si="19"/>
        <v>0</v>
      </c>
      <c r="AC81" s="74">
        <f t="shared" si="19"/>
        <v>0</v>
      </c>
      <c r="AD81" s="74">
        <f t="shared" si="19"/>
        <v>0</v>
      </c>
      <c r="AE81" s="74">
        <f t="shared" si="19"/>
        <v>0</v>
      </c>
      <c r="AF81" s="74">
        <f t="shared" si="19"/>
        <v>0</v>
      </c>
      <c r="AG81" s="79">
        <f t="shared" si="19"/>
        <v>0</v>
      </c>
      <c r="AH81" s="56">
        <f t="shared" si="16"/>
        <v>0</v>
      </c>
      <c r="AI81" s="57">
        <f t="shared" si="17"/>
        <v>0</v>
      </c>
      <c r="AK81" s="58"/>
    </row>
    <row r="82" spans="1:88" s="1" customFormat="1" ht="15.75" thickBot="1" x14ac:dyDescent="0.3">
      <c r="A82" s="73" t="s">
        <v>86</v>
      </c>
      <c r="B82" s="74">
        <f t="shared" ref="B82:AG82" si="20">SUM(B69:B81)</f>
        <v>7.08</v>
      </c>
      <c r="C82" s="74">
        <f t="shared" si="20"/>
        <v>7.08</v>
      </c>
      <c r="D82" s="74">
        <f t="shared" si="20"/>
        <v>7.08</v>
      </c>
      <c r="E82" s="74">
        <f t="shared" si="20"/>
        <v>7.08</v>
      </c>
      <c r="F82" s="74">
        <f t="shared" si="20"/>
        <v>7.08</v>
      </c>
      <c r="G82" s="74">
        <f t="shared" si="20"/>
        <v>7.08</v>
      </c>
      <c r="H82" s="74">
        <f t="shared" si="20"/>
        <v>7.08</v>
      </c>
      <c r="I82" s="74">
        <f t="shared" si="20"/>
        <v>7.08</v>
      </c>
      <c r="J82" s="74">
        <f t="shared" si="20"/>
        <v>7.08</v>
      </c>
      <c r="K82" s="74">
        <f t="shared" si="20"/>
        <v>7.08</v>
      </c>
      <c r="L82" s="74">
        <f t="shared" si="20"/>
        <v>7.08</v>
      </c>
      <c r="M82" s="74">
        <f t="shared" si="20"/>
        <v>7.08</v>
      </c>
      <c r="N82" s="74">
        <f t="shared" si="20"/>
        <v>7.08</v>
      </c>
      <c r="O82" s="74">
        <f t="shared" si="20"/>
        <v>7.08</v>
      </c>
      <c r="P82" s="74">
        <f t="shared" si="20"/>
        <v>7.08</v>
      </c>
      <c r="Q82" s="74">
        <f t="shared" si="20"/>
        <v>7.08</v>
      </c>
      <c r="R82" s="74">
        <f t="shared" si="20"/>
        <v>7.08</v>
      </c>
      <c r="S82" s="74">
        <f t="shared" si="20"/>
        <v>7.08</v>
      </c>
      <c r="T82" s="74">
        <f t="shared" si="20"/>
        <v>7.08</v>
      </c>
      <c r="U82" s="74">
        <f t="shared" si="20"/>
        <v>7.08</v>
      </c>
      <c r="V82" s="74">
        <f t="shared" si="20"/>
        <v>7.08</v>
      </c>
      <c r="W82" s="74">
        <f t="shared" si="20"/>
        <v>7.08</v>
      </c>
      <c r="X82" s="74">
        <f t="shared" si="20"/>
        <v>7.08</v>
      </c>
      <c r="Y82" s="74">
        <f t="shared" si="20"/>
        <v>7.08</v>
      </c>
      <c r="Z82" s="74">
        <f t="shared" si="20"/>
        <v>7.08</v>
      </c>
      <c r="AA82" s="74">
        <f t="shared" si="20"/>
        <v>7.08</v>
      </c>
      <c r="AB82" s="74">
        <f t="shared" si="20"/>
        <v>7.08</v>
      </c>
      <c r="AC82" s="74">
        <f t="shared" si="20"/>
        <v>7.08</v>
      </c>
      <c r="AD82" s="74">
        <f t="shared" si="20"/>
        <v>7.08</v>
      </c>
      <c r="AE82" s="74">
        <f t="shared" si="20"/>
        <v>7.08</v>
      </c>
      <c r="AF82" s="74">
        <f t="shared" si="20"/>
        <v>7.08</v>
      </c>
      <c r="AG82" s="79">
        <f t="shared" si="20"/>
        <v>4338.08</v>
      </c>
      <c r="AH82" s="56">
        <f t="shared" si="16"/>
        <v>7.08</v>
      </c>
      <c r="AI82" s="57">
        <f t="shared" si="17"/>
        <v>7.08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5" t="s">
        <v>87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7"/>
      <c r="AG83" s="98"/>
      <c r="AH83" s="56">
        <f t="shared" si="16"/>
        <v>0</v>
      </c>
      <c r="AI83" s="57">
        <f t="shared" si="17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9" t="s">
        <v>88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100"/>
      <c r="U84" s="100"/>
      <c r="V84" s="100"/>
      <c r="W84" s="100"/>
      <c r="X84" s="100"/>
      <c r="Y84" s="100"/>
      <c r="Z84" s="100"/>
      <c r="AA84" s="52"/>
      <c r="AB84" s="52"/>
      <c r="AC84" s="52"/>
      <c r="AD84" s="52"/>
      <c r="AE84" s="52"/>
      <c r="AF84" s="101"/>
      <c r="AG84" s="102"/>
      <c r="AH84" s="56">
        <f t="shared" si="16"/>
        <v>0</v>
      </c>
      <c r="AI84" s="57">
        <f t="shared" si="17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9" t="s">
        <v>89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100"/>
      <c r="U85" s="100"/>
      <c r="V85" s="100"/>
      <c r="W85" s="100"/>
      <c r="X85" s="100"/>
      <c r="Y85" s="100"/>
      <c r="Z85" s="100"/>
      <c r="AA85" s="52"/>
      <c r="AB85" s="52"/>
      <c r="AC85" s="52"/>
      <c r="AD85" s="52"/>
      <c r="AE85" s="52"/>
      <c r="AF85" s="101"/>
      <c r="AG85" s="102"/>
      <c r="AH85" s="56">
        <f t="shared" si="16"/>
        <v>0</v>
      </c>
      <c r="AI85" s="57">
        <f t="shared" si="17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9" t="s">
        <v>90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100"/>
      <c r="X86" s="100"/>
      <c r="Y86" s="100"/>
      <c r="Z86" s="100"/>
      <c r="AA86" s="52"/>
      <c r="AB86" s="52"/>
      <c r="AC86" s="52"/>
      <c r="AD86" s="52"/>
      <c r="AE86" s="52"/>
      <c r="AF86" s="101"/>
      <c r="AG86" s="102"/>
      <c r="AH86" s="56">
        <f t="shared" si="16"/>
        <v>0</v>
      </c>
      <c r="AI86" s="57">
        <f t="shared" si="17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103" t="s">
        <v>91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100"/>
      <c r="X87" s="100"/>
      <c r="Y87" s="100"/>
      <c r="Z87" s="100"/>
      <c r="AA87" s="52"/>
      <c r="AB87" s="52"/>
      <c r="AC87" s="52"/>
      <c r="AD87" s="52"/>
      <c r="AE87" s="52"/>
      <c r="AF87" s="101"/>
      <c r="AG87" s="102"/>
      <c r="AH87" s="56">
        <f t="shared" si="16"/>
        <v>0</v>
      </c>
      <c r="AI87" s="57">
        <f t="shared" si="17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3" t="s">
        <v>92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0"/>
      <c r="X88" s="100"/>
      <c r="Y88" s="100"/>
      <c r="Z88" s="100"/>
      <c r="AA88" s="104"/>
      <c r="AB88" s="104"/>
      <c r="AC88" s="104"/>
      <c r="AD88" s="104"/>
      <c r="AE88" s="104"/>
      <c r="AF88" s="105"/>
      <c r="AG88" s="106"/>
      <c r="AH88" s="56">
        <f t="shared" si="16"/>
        <v>0</v>
      </c>
      <c r="AI88" s="57">
        <f t="shared" si="17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9" t="s">
        <v>93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100"/>
      <c r="X89" s="100"/>
      <c r="Y89" s="100"/>
      <c r="Z89" s="100"/>
      <c r="AA89" s="52"/>
      <c r="AB89" s="52"/>
      <c r="AC89" s="52"/>
      <c r="AD89" s="52"/>
      <c r="AE89" s="52"/>
      <c r="AF89" s="101"/>
      <c r="AG89" s="102"/>
      <c r="AH89" s="56">
        <f t="shared" si="16"/>
        <v>0</v>
      </c>
      <c r="AI89" s="57">
        <f t="shared" si="17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ht="15.75" thickBot="1" x14ac:dyDescent="0.3">
      <c r="A90" s="99" t="s">
        <v>94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8"/>
      <c r="AG90" s="109"/>
      <c r="AH90" s="56">
        <f t="shared" si="16"/>
        <v>0</v>
      </c>
      <c r="AI90" s="57">
        <f t="shared" si="17"/>
        <v>0</v>
      </c>
    </row>
    <row r="91" spans="1:88" ht="15.75" thickBot="1" x14ac:dyDescent="0.3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2"/>
      <c r="AH91" s="56"/>
      <c r="AI91" s="57"/>
    </row>
    <row r="92" spans="1:88" ht="15.75" thickBot="1" x14ac:dyDescent="0.3">
      <c r="A92" s="113" t="s">
        <v>95</v>
      </c>
      <c r="B92" s="114">
        <f>SUM(B15,B18,B21:B22,B41,B43:B44,B46,B48,B93:B96,B101,B107,B113,B122,B124,B136,B143,B146:B147,B154,B156,B158,B162:B164,B166:B168,B173,B179:B180,B182:B184,B192,B197)</f>
        <v>34.840000000000003</v>
      </c>
      <c r="C92" s="114">
        <f t="shared" ref="C92:AF92" si="21">SUM(C15,C18,C21:C22,C41,C43:C44,C46,C48,C93:C96,C101,C107,C113,C122,C124,C136,C143,C146:C147,C154,C156,C158,C162:C164,C166:C168,C173,C179:C180,C182:C184,C192,C197)</f>
        <v>34.840000000000003</v>
      </c>
      <c r="D92" s="114">
        <f t="shared" si="21"/>
        <v>34.840000000000003</v>
      </c>
      <c r="E92" s="114">
        <f t="shared" si="21"/>
        <v>34.840000000000003</v>
      </c>
      <c r="F92" s="115">
        <f t="shared" si="21"/>
        <v>34.840000000000003</v>
      </c>
      <c r="G92" s="115">
        <f t="shared" si="21"/>
        <v>34.840000000000003</v>
      </c>
      <c r="H92" s="115">
        <f t="shared" si="21"/>
        <v>34.840000000000003</v>
      </c>
      <c r="I92" s="115">
        <f t="shared" si="21"/>
        <v>34.840000000000003</v>
      </c>
      <c r="J92" s="115">
        <f t="shared" si="21"/>
        <v>34.840000000000003</v>
      </c>
      <c r="K92" s="115">
        <f t="shared" si="21"/>
        <v>34.840000000000003</v>
      </c>
      <c r="L92" s="115">
        <f t="shared" si="21"/>
        <v>34.840000000000003</v>
      </c>
      <c r="M92" s="115">
        <f t="shared" si="21"/>
        <v>34.840000000000003</v>
      </c>
      <c r="N92" s="115">
        <f t="shared" si="21"/>
        <v>34.840000000000003</v>
      </c>
      <c r="O92" s="115">
        <f t="shared" si="21"/>
        <v>34.840000000000003</v>
      </c>
      <c r="P92" s="115">
        <f t="shared" si="21"/>
        <v>34.840000000000003</v>
      </c>
      <c r="Q92" s="115">
        <f t="shared" si="21"/>
        <v>34.840000000000003</v>
      </c>
      <c r="R92" s="115">
        <f t="shared" si="21"/>
        <v>34.840000000000003</v>
      </c>
      <c r="S92" s="115">
        <f t="shared" si="21"/>
        <v>34.840000000000003</v>
      </c>
      <c r="T92" s="115">
        <f t="shared" si="21"/>
        <v>34.840000000000003</v>
      </c>
      <c r="U92" s="115">
        <f t="shared" si="21"/>
        <v>34.840000000000003</v>
      </c>
      <c r="V92" s="115">
        <f t="shared" si="21"/>
        <v>34.840000000000003</v>
      </c>
      <c r="W92" s="115">
        <f t="shared" si="21"/>
        <v>34.840000000000003</v>
      </c>
      <c r="X92" s="115">
        <f t="shared" si="21"/>
        <v>34.840000000000003</v>
      </c>
      <c r="Y92" s="115">
        <f t="shared" si="21"/>
        <v>34.840000000000003</v>
      </c>
      <c r="Z92" s="115">
        <f t="shared" si="21"/>
        <v>34.840000000000003</v>
      </c>
      <c r="AA92" s="115">
        <f t="shared" si="21"/>
        <v>34.840000000000003</v>
      </c>
      <c r="AB92" s="115">
        <f t="shared" si="21"/>
        <v>34.840000000000003</v>
      </c>
      <c r="AC92" s="115">
        <f t="shared" si="21"/>
        <v>34.840000000000003</v>
      </c>
      <c r="AD92" s="115">
        <f t="shared" si="21"/>
        <v>34.840000000000003</v>
      </c>
      <c r="AE92" s="115">
        <f t="shared" si="21"/>
        <v>34.840000000000003</v>
      </c>
      <c r="AF92" s="115">
        <f t="shared" si="21"/>
        <v>34.840000000000003</v>
      </c>
      <c r="AG92" s="116"/>
      <c r="AH92" s="56">
        <f>MAX(B92:AF92)</f>
        <v>34.840000000000003</v>
      </c>
      <c r="AI92" s="57">
        <f>MIN(B92:AF92)</f>
        <v>34.840000000000003</v>
      </c>
    </row>
    <row r="93" spans="1:88" x14ac:dyDescent="0.25">
      <c r="A93" s="117" t="s">
        <v>96</v>
      </c>
      <c r="B93" s="60"/>
      <c r="C93" s="60"/>
      <c r="D93" s="60"/>
      <c r="E93" s="60"/>
      <c r="F93" s="118"/>
      <c r="G93" s="118"/>
      <c r="H93" s="118"/>
      <c r="I93" s="118"/>
      <c r="J93" s="118"/>
      <c r="K93" s="118"/>
      <c r="L93" s="54"/>
      <c r="M93" s="118"/>
      <c r="N93" s="118"/>
      <c r="O93" s="118"/>
      <c r="P93" s="118"/>
      <c r="Q93" s="118"/>
      <c r="R93" s="118"/>
      <c r="S93" s="118"/>
      <c r="T93" s="54"/>
      <c r="U93" s="54"/>
      <c r="V93" s="54"/>
      <c r="W93" s="118"/>
      <c r="X93" s="118"/>
      <c r="Y93" s="118"/>
      <c r="Z93" s="118"/>
      <c r="AA93" s="54"/>
      <c r="AB93" s="54"/>
      <c r="AC93" s="54"/>
      <c r="AD93" s="54"/>
      <c r="AE93" s="54"/>
      <c r="AF93" s="119"/>
      <c r="AG93" s="120">
        <v>75</v>
      </c>
      <c r="AH93" s="56">
        <f>IF(ABS(MAX(B93:AF93))&gt;ABS(MIN(B93:AF93)),MAX(B93:AF93),MIN(B93:AF93))</f>
        <v>0</v>
      </c>
      <c r="AI93" s="121" t="e">
        <f>INDEX($B$9:$AF$9,1,MATCH(AH93,B93:AF93,0))</f>
        <v>#N/A</v>
      </c>
    </row>
    <row r="94" spans="1:88" x14ac:dyDescent="0.25">
      <c r="A94" s="122" t="s">
        <v>97</v>
      </c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52"/>
      <c r="AB94" s="52"/>
      <c r="AC94" s="52"/>
      <c r="AD94" s="52"/>
      <c r="AE94" s="52"/>
      <c r="AF94" s="123"/>
      <c r="AG94" s="120">
        <v>240</v>
      </c>
      <c r="AH94" s="56">
        <f>IF(ABS(MAX(B94:AF94))&gt;ABS(MIN(B94:AF94)),MAX(B94:AF94),MIN(B94:AF94))</f>
        <v>0</v>
      </c>
      <c r="AI94" s="121" t="e">
        <f>INDEX($B$9:$AF$9,1,MATCH(AH94,B94:AF94,0))</f>
        <v>#N/A</v>
      </c>
    </row>
    <row r="95" spans="1:88" x14ac:dyDescent="0.25">
      <c r="A95" s="122" t="s">
        <v>98</v>
      </c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52"/>
      <c r="AB95" s="52"/>
      <c r="AC95" s="52"/>
      <c r="AD95" s="52"/>
      <c r="AE95" s="52"/>
      <c r="AF95" s="123"/>
      <c r="AG95" s="120">
        <v>60</v>
      </c>
      <c r="AH95" s="56">
        <f>IF(ABS(MAX(B95:AF95))&gt;ABS(MIN(B95:AF95)),MAX(B95:AF95),MIN(B95:AF95))</f>
        <v>0</v>
      </c>
      <c r="AI95" s="121" t="e">
        <f>INDEX($B$9:$AF$9,1,MATCH(AH95,B95:AF95,0))</f>
        <v>#N/A</v>
      </c>
    </row>
    <row r="96" spans="1:88" x14ac:dyDescent="0.25">
      <c r="A96" s="124" t="s">
        <v>99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125"/>
      <c r="AB96" s="125"/>
      <c r="AC96" s="125"/>
      <c r="AD96" s="125"/>
      <c r="AE96" s="125"/>
      <c r="AF96" s="126"/>
      <c r="AG96" s="127">
        <v>120</v>
      </c>
      <c r="AH96" s="56">
        <f>IF(ABS(MAX(B96:AF96))&gt;ABS(MIN(B96:AF96)),MAX(B96:AF96),MIN(B96:AF96))</f>
        <v>0</v>
      </c>
      <c r="AI96" s="121" t="e">
        <f>INDEX($B$9:$AF$9,1,MATCH(AH96,B96:AF96,0))</f>
        <v>#N/A</v>
      </c>
    </row>
    <row r="97" spans="1:37" x14ac:dyDescent="0.25">
      <c r="A97" s="124" t="s">
        <v>100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125"/>
      <c r="AB97" s="125"/>
      <c r="AC97" s="125"/>
      <c r="AD97" s="125"/>
      <c r="AE97" s="125"/>
      <c r="AF97" s="126"/>
      <c r="AG97" s="127"/>
      <c r="AH97" s="56">
        <f>IF(ABS(MAX(B97:AF97))&gt;ABS(MIN(B97:AF97)),MAX(B97:AF97),MIN(B97:AF97))</f>
        <v>0</v>
      </c>
      <c r="AI97" s="121" t="e">
        <f>INDEX($B$9:$AF$9,1,MATCH(AH97,B97:AF97,0))</f>
        <v>#N/A</v>
      </c>
    </row>
    <row r="98" spans="1:37" ht="15.75" thickBot="1" x14ac:dyDescent="0.3">
      <c r="A98" s="124" t="s">
        <v>101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125"/>
      <c r="AB98" s="125"/>
      <c r="AC98" s="125"/>
      <c r="AD98" s="125"/>
      <c r="AE98" s="125"/>
      <c r="AF98" s="126"/>
      <c r="AG98" s="128"/>
      <c r="AH98" s="56"/>
      <c r="AI98" s="121"/>
    </row>
    <row r="99" spans="1:37" ht="15.75" thickBot="1" x14ac:dyDescent="0.3">
      <c r="A99" s="129" t="s">
        <v>102</v>
      </c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1"/>
      <c r="AH99" s="132"/>
      <c r="AI99" s="57"/>
      <c r="AK99" s="58"/>
    </row>
    <row r="100" spans="1:37" x14ac:dyDescent="0.25">
      <c r="A100" s="133" t="s">
        <v>103</v>
      </c>
      <c r="B100" s="55">
        <v>9.9</v>
      </c>
      <c r="C100" s="134">
        <f t="shared" ref="C100:R105" si="22">B100</f>
        <v>9.9</v>
      </c>
      <c r="D100" s="134">
        <f t="shared" si="22"/>
        <v>9.9</v>
      </c>
      <c r="E100" s="134">
        <f t="shared" si="22"/>
        <v>9.9</v>
      </c>
      <c r="F100" s="134">
        <f t="shared" si="22"/>
        <v>9.9</v>
      </c>
      <c r="G100" s="134">
        <f t="shared" si="22"/>
        <v>9.9</v>
      </c>
      <c r="H100" s="134">
        <f t="shared" si="22"/>
        <v>9.9</v>
      </c>
      <c r="I100" s="134">
        <f t="shared" si="22"/>
        <v>9.9</v>
      </c>
      <c r="J100" s="134">
        <f t="shared" si="22"/>
        <v>9.9</v>
      </c>
      <c r="K100" s="134">
        <f t="shared" si="22"/>
        <v>9.9</v>
      </c>
      <c r="L100" s="134">
        <f t="shared" si="22"/>
        <v>9.9</v>
      </c>
      <c r="M100" s="134">
        <f t="shared" si="22"/>
        <v>9.9</v>
      </c>
      <c r="N100" s="134">
        <f t="shared" si="22"/>
        <v>9.9</v>
      </c>
      <c r="O100" s="134">
        <f t="shared" si="22"/>
        <v>9.9</v>
      </c>
      <c r="P100" s="134">
        <f t="shared" si="22"/>
        <v>9.9</v>
      </c>
      <c r="Q100" s="134">
        <f t="shared" si="22"/>
        <v>9.9</v>
      </c>
      <c r="R100" s="134">
        <f t="shared" si="22"/>
        <v>9.9</v>
      </c>
      <c r="S100" s="134">
        <f t="shared" ref="S100:AF105" si="23">R100</f>
        <v>9.9</v>
      </c>
      <c r="T100" s="134">
        <f t="shared" si="23"/>
        <v>9.9</v>
      </c>
      <c r="U100" s="134">
        <f t="shared" si="23"/>
        <v>9.9</v>
      </c>
      <c r="V100" s="134">
        <f t="shared" si="23"/>
        <v>9.9</v>
      </c>
      <c r="W100" s="134">
        <f t="shared" si="23"/>
        <v>9.9</v>
      </c>
      <c r="X100" s="134">
        <f t="shared" si="23"/>
        <v>9.9</v>
      </c>
      <c r="Y100" s="134">
        <f t="shared" si="23"/>
        <v>9.9</v>
      </c>
      <c r="Z100" s="134">
        <f t="shared" si="23"/>
        <v>9.9</v>
      </c>
      <c r="AA100" s="134">
        <f t="shared" si="23"/>
        <v>9.9</v>
      </c>
      <c r="AB100" s="134">
        <f t="shared" si="23"/>
        <v>9.9</v>
      </c>
      <c r="AC100" s="134">
        <f t="shared" si="23"/>
        <v>9.9</v>
      </c>
      <c r="AD100" s="134">
        <f t="shared" si="23"/>
        <v>9.9</v>
      </c>
      <c r="AE100" s="134">
        <f t="shared" si="23"/>
        <v>9.9</v>
      </c>
      <c r="AF100" s="134">
        <f t="shared" si="23"/>
        <v>9.9</v>
      </c>
      <c r="AG100" s="135">
        <v>9.94</v>
      </c>
      <c r="AH100" s="56"/>
      <c r="AI100" s="57"/>
      <c r="AK100" s="58"/>
    </row>
    <row r="101" spans="1:37" x14ac:dyDescent="0.25">
      <c r="A101" s="122" t="s">
        <v>104</v>
      </c>
      <c r="B101" s="136">
        <v>9.6</v>
      </c>
      <c r="C101" s="137">
        <f t="shared" si="22"/>
        <v>9.6</v>
      </c>
      <c r="D101" s="137">
        <f t="shared" si="22"/>
        <v>9.6</v>
      </c>
      <c r="E101" s="137">
        <f t="shared" si="22"/>
        <v>9.6</v>
      </c>
      <c r="F101" s="137">
        <f t="shared" si="22"/>
        <v>9.6</v>
      </c>
      <c r="G101" s="137">
        <f t="shared" si="22"/>
        <v>9.6</v>
      </c>
      <c r="H101" s="137">
        <f t="shared" si="22"/>
        <v>9.6</v>
      </c>
      <c r="I101" s="137">
        <f t="shared" si="22"/>
        <v>9.6</v>
      </c>
      <c r="J101" s="137">
        <f t="shared" si="22"/>
        <v>9.6</v>
      </c>
      <c r="K101" s="137">
        <f t="shared" si="22"/>
        <v>9.6</v>
      </c>
      <c r="L101" s="137">
        <f t="shared" si="22"/>
        <v>9.6</v>
      </c>
      <c r="M101" s="137">
        <f t="shared" si="22"/>
        <v>9.6</v>
      </c>
      <c r="N101" s="137">
        <f t="shared" si="22"/>
        <v>9.6</v>
      </c>
      <c r="O101" s="137">
        <f t="shared" si="22"/>
        <v>9.6</v>
      </c>
      <c r="P101" s="137">
        <f t="shared" si="22"/>
        <v>9.6</v>
      </c>
      <c r="Q101" s="137">
        <f t="shared" si="22"/>
        <v>9.6</v>
      </c>
      <c r="R101" s="137">
        <f t="shared" si="22"/>
        <v>9.6</v>
      </c>
      <c r="S101" s="137">
        <f t="shared" si="23"/>
        <v>9.6</v>
      </c>
      <c r="T101" s="137">
        <f t="shared" si="23"/>
        <v>9.6</v>
      </c>
      <c r="U101" s="137">
        <f t="shared" si="23"/>
        <v>9.6</v>
      </c>
      <c r="V101" s="137">
        <f t="shared" si="23"/>
        <v>9.6</v>
      </c>
      <c r="W101" s="137">
        <f t="shared" si="23"/>
        <v>9.6</v>
      </c>
      <c r="X101" s="137">
        <f t="shared" si="23"/>
        <v>9.6</v>
      </c>
      <c r="Y101" s="137">
        <f t="shared" si="23"/>
        <v>9.6</v>
      </c>
      <c r="Z101" s="137">
        <f t="shared" si="23"/>
        <v>9.6</v>
      </c>
      <c r="AA101" s="137">
        <f t="shared" si="23"/>
        <v>9.6</v>
      </c>
      <c r="AB101" s="137">
        <f t="shared" si="23"/>
        <v>9.6</v>
      </c>
      <c r="AC101" s="137">
        <f t="shared" si="23"/>
        <v>9.6</v>
      </c>
      <c r="AD101" s="137">
        <f t="shared" si="23"/>
        <v>9.6</v>
      </c>
      <c r="AE101" s="137">
        <f t="shared" si="23"/>
        <v>9.6</v>
      </c>
      <c r="AF101" s="137">
        <f t="shared" si="23"/>
        <v>9.6</v>
      </c>
      <c r="AG101" s="138">
        <v>9.9</v>
      </c>
      <c r="AH101" s="56"/>
      <c r="AI101" s="57"/>
      <c r="AK101" s="58"/>
    </row>
    <row r="102" spans="1:37" x14ac:dyDescent="0.25">
      <c r="A102" s="124" t="s">
        <v>105</v>
      </c>
      <c r="B102" s="136">
        <v>9.98</v>
      </c>
      <c r="C102" s="137">
        <f t="shared" si="22"/>
        <v>9.98</v>
      </c>
      <c r="D102" s="137">
        <f t="shared" si="22"/>
        <v>9.98</v>
      </c>
      <c r="E102" s="137">
        <f t="shared" si="22"/>
        <v>9.98</v>
      </c>
      <c r="F102" s="137">
        <f t="shared" si="22"/>
        <v>9.98</v>
      </c>
      <c r="G102" s="137">
        <f t="shared" si="22"/>
        <v>9.98</v>
      </c>
      <c r="H102" s="137">
        <f t="shared" si="22"/>
        <v>9.98</v>
      </c>
      <c r="I102" s="137">
        <f t="shared" si="22"/>
        <v>9.98</v>
      </c>
      <c r="J102" s="137">
        <f t="shared" si="22"/>
        <v>9.98</v>
      </c>
      <c r="K102" s="137">
        <f t="shared" si="22"/>
        <v>9.98</v>
      </c>
      <c r="L102" s="137">
        <f t="shared" si="22"/>
        <v>9.98</v>
      </c>
      <c r="M102" s="137">
        <f t="shared" si="22"/>
        <v>9.98</v>
      </c>
      <c r="N102" s="137">
        <f t="shared" si="22"/>
        <v>9.98</v>
      </c>
      <c r="O102" s="137">
        <f t="shared" si="22"/>
        <v>9.98</v>
      </c>
      <c r="P102" s="137">
        <f t="shared" si="22"/>
        <v>9.98</v>
      </c>
      <c r="Q102" s="137">
        <f t="shared" si="22"/>
        <v>9.98</v>
      </c>
      <c r="R102" s="137">
        <f t="shared" si="22"/>
        <v>9.98</v>
      </c>
      <c r="S102" s="137">
        <f t="shared" si="23"/>
        <v>9.98</v>
      </c>
      <c r="T102" s="137">
        <f t="shared" si="23"/>
        <v>9.98</v>
      </c>
      <c r="U102" s="137">
        <f t="shared" si="23"/>
        <v>9.98</v>
      </c>
      <c r="V102" s="137">
        <f t="shared" si="23"/>
        <v>9.98</v>
      </c>
      <c r="W102" s="137">
        <f t="shared" si="23"/>
        <v>9.98</v>
      </c>
      <c r="X102" s="137">
        <f t="shared" si="23"/>
        <v>9.98</v>
      </c>
      <c r="Y102" s="137">
        <f t="shared" si="23"/>
        <v>9.98</v>
      </c>
      <c r="Z102" s="137">
        <f t="shared" si="23"/>
        <v>9.98</v>
      </c>
      <c r="AA102" s="137">
        <f t="shared" si="23"/>
        <v>9.98</v>
      </c>
      <c r="AB102" s="137">
        <f t="shared" si="23"/>
        <v>9.98</v>
      </c>
      <c r="AC102" s="137">
        <f t="shared" si="23"/>
        <v>9.98</v>
      </c>
      <c r="AD102" s="137">
        <f t="shared" si="23"/>
        <v>9.98</v>
      </c>
      <c r="AE102" s="137">
        <f t="shared" si="23"/>
        <v>9.98</v>
      </c>
      <c r="AF102" s="137">
        <f t="shared" si="23"/>
        <v>9.98</v>
      </c>
      <c r="AG102" s="139">
        <v>9.6579999999999995</v>
      </c>
      <c r="AH102" s="56"/>
      <c r="AI102" s="57"/>
      <c r="AK102" s="58"/>
    </row>
    <row r="103" spans="1:37" x14ac:dyDescent="0.25">
      <c r="A103" s="124" t="s">
        <v>106</v>
      </c>
      <c r="B103" s="136">
        <v>9.1</v>
      </c>
      <c r="C103" s="137">
        <f t="shared" si="22"/>
        <v>9.1</v>
      </c>
      <c r="D103" s="137">
        <f t="shared" si="22"/>
        <v>9.1</v>
      </c>
      <c r="E103" s="137">
        <f t="shared" si="22"/>
        <v>9.1</v>
      </c>
      <c r="F103" s="137">
        <f t="shared" si="22"/>
        <v>9.1</v>
      </c>
      <c r="G103" s="137">
        <f t="shared" si="22"/>
        <v>9.1</v>
      </c>
      <c r="H103" s="137">
        <f t="shared" si="22"/>
        <v>9.1</v>
      </c>
      <c r="I103" s="137">
        <f t="shared" si="22"/>
        <v>9.1</v>
      </c>
      <c r="J103" s="137">
        <f t="shared" si="22"/>
        <v>9.1</v>
      </c>
      <c r="K103" s="137">
        <f t="shared" si="22"/>
        <v>9.1</v>
      </c>
      <c r="L103" s="137">
        <f t="shared" si="22"/>
        <v>9.1</v>
      </c>
      <c r="M103" s="137">
        <f t="shared" si="22"/>
        <v>9.1</v>
      </c>
      <c r="N103" s="137">
        <f t="shared" si="22"/>
        <v>9.1</v>
      </c>
      <c r="O103" s="137">
        <f t="shared" si="22"/>
        <v>9.1</v>
      </c>
      <c r="P103" s="137">
        <f t="shared" si="22"/>
        <v>9.1</v>
      </c>
      <c r="Q103" s="137">
        <f t="shared" si="22"/>
        <v>9.1</v>
      </c>
      <c r="R103" s="137">
        <f t="shared" si="22"/>
        <v>9.1</v>
      </c>
      <c r="S103" s="137">
        <f t="shared" si="23"/>
        <v>9.1</v>
      </c>
      <c r="T103" s="137">
        <f t="shared" si="23"/>
        <v>9.1</v>
      </c>
      <c r="U103" s="137">
        <f t="shared" si="23"/>
        <v>9.1</v>
      </c>
      <c r="V103" s="137">
        <f t="shared" si="23"/>
        <v>9.1</v>
      </c>
      <c r="W103" s="137">
        <f t="shared" si="23"/>
        <v>9.1</v>
      </c>
      <c r="X103" s="137">
        <f t="shared" si="23"/>
        <v>9.1</v>
      </c>
      <c r="Y103" s="137">
        <f t="shared" si="23"/>
        <v>9.1</v>
      </c>
      <c r="Z103" s="137">
        <f t="shared" si="23"/>
        <v>9.1</v>
      </c>
      <c r="AA103" s="137">
        <f t="shared" si="23"/>
        <v>9.1</v>
      </c>
      <c r="AB103" s="137">
        <f t="shared" si="23"/>
        <v>9.1</v>
      </c>
      <c r="AC103" s="137">
        <f t="shared" si="23"/>
        <v>9.1</v>
      </c>
      <c r="AD103" s="137">
        <f t="shared" si="23"/>
        <v>9.1</v>
      </c>
      <c r="AE103" s="137">
        <f t="shared" si="23"/>
        <v>9.1</v>
      </c>
      <c r="AF103" s="137">
        <f t="shared" si="23"/>
        <v>9.1</v>
      </c>
      <c r="AG103" s="139">
        <v>9.6</v>
      </c>
      <c r="AH103" s="56"/>
      <c r="AI103" s="57"/>
      <c r="AK103" s="58"/>
    </row>
    <row r="104" spans="1:37" x14ac:dyDescent="0.25">
      <c r="A104" s="124" t="s">
        <v>107</v>
      </c>
      <c r="B104" s="136">
        <v>9.18</v>
      </c>
      <c r="C104" s="137">
        <f t="shared" si="22"/>
        <v>9.18</v>
      </c>
      <c r="D104" s="137">
        <f t="shared" si="22"/>
        <v>9.18</v>
      </c>
      <c r="E104" s="137">
        <f t="shared" si="22"/>
        <v>9.18</v>
      </c>
      <c r="F104" s="137">
        <f t="shared" si="22"/>
        <v>9.18</v>
      </c>
      <c r="G104" s="137">
        <f t="shared" si="22"/>
        <v>9.18</v>
      </c>
      <c r="H104" s="137">
        <f t="shared" si="22"/>
        <v>9.18</v>
      </c>
      <c r="I104" s="137">
        <f t="shared" si="22"/>
        <v>9.18</v>
      </c>
      <c r="J104" s="137">
        <f t="shared" si="22"/>
        <v>9.18</v>
      </c>
      <c r="K104" s="137">
        <f t="shared" si="22"/>
        <v>9.18</v>
      </c>
      <c r="L104" s="137">
        <f t="shared" si="22"/>
        <v>9.18</v>
      </c>
      <c r="M104" s="137">
        <f t="shared" si="22"/>
        <v>9.18</v>
      </c>
      <c r="N104" s="137">
        <f t="shared" si="22"/>
        <v>9.18</v>
      </c>
      <c r="O104" s="137">
        <f t="shared" si="22"/>
        <v>9.18</v>
      </c>
      <c r="P104" s="137">
        <f t="shared" si="22"/>
        <v>9.18</v>
      </c>
      <c r="Q104" s="137">
        <f t="shared" si="22"/>
        <v>9.18</v>
      </c>
      <c r="R104" s="137">
        <f t="shared" si="22"/>
        <v>9.18</v>
      </c>
      <c r="S104" s="137">
        <f t="shared" si="23"/>
        <v>9.18</v>
      </c>
      <c r="T104" s="137">
        <f t="shared" si="23"/>
        <v>9.18</v>
      </c>
      <c r="U104" s="137">
        <f t="shared" si="23"/>
        <v>9.18</v>
      </c>
      <c r="V104" s="137">
        <f t="shared" si="23"/>
        <v>9.18</v>
      </c>
      <c r="W104" s="137">
        <f t="shared" si="23"/>
        <v>9.18</v>
      </c>
      <c r="X104" s="137">
        <f t="shared" si="23"/>
        <v>9.18</v>
      </c>
      <c r="Y104" s="137">
        <f t="shared" si="23"/>
        <v>9.18</v>
      </c>
      <c r="Z104" s="137">
        <f t="shared" si="23"/>
        <v>9.18</v>
      </c>
      <c r="AA104" s="137">
        <f t="shared" si="23"/>
        <v>9.18</v>
      </c>
      <c r="AB104" s="137">
        <f t="shared" si="23"/>
        <v>9.18</v>
      </c>
      <c r="AC104" s="137">
        <f t="shared" si="23"/>
        <v>9.18</v>
      </c>
      <c r="AD104" s="137">
        <f t="shared" si="23"/>
        <v>9.18</v>
      </c>
      <c r="AE104" s="137">
        <f t="shared" si="23"/>
        <v>9.18</v>
      </c>
      <c r="AF104" s="137">
        <f t="shared" si="23"/>
        <v>9.18</v>
      </c>
      <c r="AG104" s="139">
        <v>9.51</v>
      </c>
      <c r="AH104" s="56"/>
      <c r="AI104" s="57"/>
      <c r="AK104" s="58"/>
    </row>
    <row r="105" spans="1:37" x14ac:dyDescent="0.25">
      <c r="A105" s="124" t="s">
        <v>108</v>
      </c>
      <c r="B105" s="136">
        <v>7</v>
      </c>
      <c r="C105" s="137">
        <f t="shared" si="22"/>
        <v>7</v>
      </c>
      <c r="D105" s="137">
        <f t="shared" si="22"/>
        <v>7</v>
      </c>
      <c r="E105" s="137">
        <f t="shared" si="22"/>
        <v>7</v>
      </c>
      <c r="F105" s="137">
        <f t="shared" si="22"/>
        <v>7</v>
      </c>
      <c r="G105" s="137">
        <f t="shared" si="22"/>
        <v>7</v>
      </c>
      <c r="H105" s="137">
        <f t="shared" si="22"/>
        <v>7</v>
      </c>
      <c r="I105" s="137">
        <f t="shared" si="22"/>
        <v>7</v>
      </c>
      <c r="J105" s="137">
        <f t="shared" si="22"/>
        <v>7</v>
      </c>
      <c r="K105" s="137">
        <f t="shared" si="22"/>
        <v>7</v>
      </c>
      <c r="L105" s="137">
        <f t="shared" si="22"/>
        <v>7</v>
      </c>
      <c r="M105" s="137">
        <f t="shared" si="22"/>
        <v>7</v>
      </c>
      <c r="N105" s="137">
        <f t="shared" si="22"/>
        <v>7</v>
      </c>
      <c r="O105" s="137">
        <f t="shared" si="22"/>
        <v>7</v>
      </c>
      <c r="P105" s="137">
        <f t="shared" si="22"/>
        <v>7</v>
      </c>
      <c r="Q105" s="137">
        <f t="shared" si="22"/>
        <v>7</v>
      </c>
      <c r="R105" s="137">
        <f t="shared" si="22"/>
        <v>7</v>
      </c>
      <c r="S105" s="137">
        <f t="shared" si="23"/>
        <v>7</v>
      </c>
      <c r="T105" s="137">
        <f t="shared" si="23"/>
        <v>7</v>
      </c>
      <c r="U105" s="137">
        <f t="shared" si="23"/>
        <v>7</v>
      </c>
      <c r="V105" s="137">
        <f t="shared" si="23"/>
        <v>7</v>
      </c>
      <c r="W105" s="137">
        <f t="shared" si="23"/>
        <v>7</v>
      </c>
      <c r="X105" s="137">
        <f t="shared" si="23"/>
        <v>7</v>
      </c>
      <c r="Y105" s="137">
        <f t="shared" si="23"/>
        <v>7</v>
      </c>
      <c r="Z105" s="137">
        <f t="shared" si="23"/>
        <v>7</v>
      </c>
      <c r="AA105" s="137">
        <f t="shared" si="23"/>
        <v>7</v>
      </c>
      <c r="AB105" s="137">
        <f t="shared" si="23"/>
        <v>7</v>
      </c>
      <c r="AC105" s="137">
        <f t="shared" si="23"/>
        <v>7</v>
      </c>
      <c r="AD105" s="137">
        <f t="shared" si="23"/>
        <v>7</v>
      </c>
      <c r="AE105" s="137">
        <f t="shared" si="23"/>
        <v>7</v>
      </c>
      <c r="AF105" s="137">
        <f t="shared" si="23"/>
        <v>7</v>
      </c>
      <c r="AG105" s="139">
        <v>9.4</v>
      </c>
      <c r="AH105" s="56"/>
      <c r="AI105" s="57"/>
      <c r="AK105" s="58"/>
    </row>
    <row r="106" spans="1:37" x14ac:dyDescent="0.25">
      <c r="A106" s="124" t="s">
        <v>109</v>
      </c>
      <c r="B106" s="136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9">
        <v>8.8000000000000007</v>
      </c>
      <c r="AH106" s="56"/>
      <c r="AI106" s="57"/>
      <c r="AK106" s="58"/>
    </row>
    <row r="107" spans="1:37" x14ac:dyDescent="0.25">
      <c r="A107" s="124" t="s">
        <v>110</v>
      </c>
      <c r="B107" s="136">
        <v>2.25</v>
      </c>
      <c r="C107" s="137">
        <f t="shared" ref="C107:R108" si="24">B107</f>
        <v>2.25</v>
      </c>
      <c r="D107" s="137">
        <f t="shared" si="24"/>
        <v>2.25</v>
      </c>
      <c r="E107" s="137">
        <f t="shared" si="24"/>
        <v>2.25</v>
      </c>
      <c r="F107" s="137">
        <f t="shared" si="24"/>
        <v>2.25</v>
      </c>
      <c r="G107" s="137">
        <f t="shared" si="24"/>
        <v>2.25</v>
      </c>
      <c r="H107" s="137">
        <f t="shared" si="24"/>
        <v>2.25</v>
      </c>
      <c r="I107" s="137">
        <f t="shared" si="24"/>
        <v>2.25</v>
      </c>
      <c r="J107" s="137">
        <f t="shared" si="24"/>
        <v>2.25</v>
      </c>
      <c r="K107" s="137">
        <f t="shared" si="24"/>
        <v>2.25</v>
      </c>
      <c r="L107" s="137">
        <f t="shared" si="24"/>
        <v>2.25</v>
      </c>
      <c r="M107" s="137">
        <f t="shared" si="24"/>
        <v>2.25</v>
      </c>
      <c r="N107" s="137">
        <f t="shared" si="24"/>
        <v>2.25</v>
      </c>
      <c r="O107" s="137">
        <f t="shared" si="24"/>
        <v>2.25</v>
      </c>
      <c r="P107" s="137">
        <f t="shared" si="24"/>
        <v>2.25</v>
      </c>
      <c r="Q107" s="137">
        <f t="shared" si="24"/>
        <v>2.25</v>
      </c>
      <c r="R107" s="137">
        <f t="shared" si="24"/>
        <v>2.25</v>
      </c>
      <c r="S107" s="137">
        <f t="shared" ref="S107:AF108" si="25">R107</f>
        <v>2.25</v>
      </c>
      <c r="T107" s="137">
        <f t="shared" si="25"/>
        <v>2.25</v>
      </c>
      <c r="U107" s="137">
        <f t="shared" si="25"/>
        <v>2.25</v>
      </c>
      <c r="V107" s="137">
        <f t="shared" si="25"/>
        <v>2.25</v>
      </c>
      <c r="W107" s="137">
        <f t="shared" si="25"/>
        <v>2.25</v>
      </c>
      <c r="X107" s="137">
        <f t="shared" si="25"/>
        <v>2.25</v>
      </c>
      <c r="Y107" s="137">
        <f t="shared" si="25"/>
        <v>2.25</v>
      </c>
      <c r="Z107" s="137">
        <f t="shared" si="25"/>
        <v>2.25</v>
      </c>
      <c r="AA107" s="137">
        <f t="shared" si="25"/>
        <v>2.25</v>
      </c>
      <c r="AB107" s="137">
        <f t="shared" si="25"/>
        <v>2.25</v>
      </c>
      <c r="AC107" s="137">
        <f t="shared" si="25"/>
        <v>2.25</v>
      </c>
      <c r="AD107" s="137">
        <f t="shared" si="25"/>
        <v>2.25</v>
      </c>
      <c r="AE107" s="137">
        <f t="shared" si="25"/>
        <v>2.25</v>
      </c>
      <c r="AF107" s="137">
        <f t="shared" si="25"/>
        <v>2.25</v>
      </c>
      <c r="AG107" s="139">
        <v>8.5</v>
      </c>
      <c r="AH107" s="56"/>
      <c r="AI107" s="57"/>
      <c r="AK107" s="58"/>
    </row>
    <row r="108" spans="1:37" x14ac:dyDescent="0.25">
      <c r="A108" s="124" t="s">
        <v>111</v>
      </c>
      <c r="B108" s="136">
        <v>1.64</v>
      </c>
      <c r="C108" s="137">
        <f t="shared" si="24"/>
        <v>1.64</v>
      </c>
      <c r="D108" s="137">
        <f t="shared" si="24"/>
        <v>1.64</v>
      </c>
      <c r="E108" s="137">
        <f t="shared" si="24"/>
        <v>1.64</v>
      </c>
      <c r="F108" s="137">
        <f t="shared" si="24"/>
        <v>1.64</v>
      </c>
      <c r="G108" s="137">
        <f t="shared" si="24"/>
        <v>1.64</v>
      </c>
      <c r="H108" s="137">
        <f t="shared" si="24"/>
        <v>1.64</v>
      </c>
      <c r="I108" s="137">
        <f t="shared" si="24"/>
        <v>1.64</v>
      </c>
      <c r="J108" s="137">
        <f t="shared" si="24"/>
        <v>1.64</v>
      </c>
      <c r="K108" s="137">
        <f t="shared" si="24"/>
        <v>1.64</v>
      </c>
      <c r="L108" s="137">
        <f t="shared" si="24"/>
        <v>1.64</v>
      </c>
      <c r="M108" s="137">
        <f t="shared" si="24"/>
        <v>1.64</v>
      </c>
      <c r="N108" s="137">
        <f t="shared" si="24"/>
        <v>1.64</v>
      </c>
      <c r="O108" s="137">
        <f t="shared" si="24"/>
        <v>1.64</v>
      </c>
      <c r="P108" s="137">
        <f t="shared" si="24"/>
        <v>1.64</v>
      </c>
      <c r="Q108" s="137">
        <f t="shared" si="24"/>
        <v>1.64</v>
      </c>
      <c r="R108" s="137">
        <f t="shared" si="24"/>
        <v>1.64</v>
      </c>
      <c r="S108" s="137">
        <f t="shared" si="25"/>
        <v>1.64</v>
      </c>
      <c r="T108" s="137">
        <f t="shared" si="25"/>
        <v>1.64</v>
      </c>
      <c r="U108" s="137">
        <f t="shared" si="25"/>
        <v>1.64</v>
      </c>
      <c r="V108" s="137">
        <f t="shared" si="25"/>
        <v>1.64</v>
      </c>
      <c r="W108" s="137">
        <f t="shared" si="25"/>
        <v>1.64</v>
      </c>
      <c r="X108" s="137">
        <f t="shared" si="25"/>
        <v>1.64</v>
      </c>
      <c r="Y108" s="137">
        <f t="shared" si="25"/>
        <v>1.64</v>
      </c>
      <c r="Z108" s="137">
        <f t="shared" si="25"/>
        <v>1.64</v>
      </c>
      <c r="AA108" s="137">
        <f t="shared" si="25"/>
        <v>1.64</v>
      </c>
      <c r="AB108" s="137">
        <f t="shared" si="25"/>
        <v>1.64</v>
      </c>
      <c r="AC108" s="137">
        <f t="shared" si="25"/>
        <v>1.64</v>
      </c>
      <c r="AD108" s="137">
        <f t="shared" si="25"/>
        <v>1.64</v>
      </c>
      <c r="AE108" s="137">
        <f t="shared" si="25"/>
        <v>1.64</v>
      </c>
      <c r="AF108" s="137">
        <f t="shared" si="25"/>
        <v>1.64</v>
      </c>
      <c r="AG108" s="139">
        <v>8.5</v>
      </c>
      <c r="AH108" s="56"/>
      <c r="AI108" s="57"/>
      <c r="AK108" s="58"/>
    </row>
    <row r="109" spans="1:37" x14ac:dyDescent="0.25">
      <c r="A109" s="124" t="s">
        <v>112</v>
      </c>
      <c r="B109" s="136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9">
        <v>8.4</v>
      </c>
      <c r="AH109" s="56"/>
      <c r="AI109" s="57"/>
      <c r="AK109" s="58"/>
    </row>
    <row r="110" spans="1:37" x14ac:dyDescent="0.25">
      <c r="A110" s="124" t="s">
        <v>113</v>
      </c>
      <c r="B110" s="136">
        <v>1.62</v>
      </c>
      <c r="C110" s="137">
        <f t="shared" ref="C110:R117" si="26">B110</f>
        <v>1.62</v>
      </c>
      <c r="D110" s="137">
        <f t="shared" si="26"/>
        <v>1.62</v>
      </c>
      <c r="E110" s="137">
        <f t="shared" si="26"/>
        <v>1.62</v>
      </c>
      <c r="F110" s="137">
        <f t="shared" si="26"/>
        <v>1.62</v>
      </c>
      <c r="G110" s="137">
        <f t="shared" si="26"/>
        <v>1.62</v>
      </c>
      <c r="H110" s="137">
        <f t="shared" si="26"/>
        <v>1.62</v>
      </c>
      <c r="I110" s="137">
        <f t="shared" si="26"/>
        <v>1.62</v>
      </c>
      <c r="J110" s="137">
        <f t="shared" si="26"/>
        <v>1.62</v>
      </c>
      <c r="K110" s="137">
        <f t="shared" si="26"/>
        <v>1.62</v>
      </c>
      <c r="L110" s="137">
        <f t="shared" si="26"/>
        <v>1.62</v>
      </c>
      <c r="M110" s="137">
        <f t="shared" si="26"/>
        <v>1.62</v>
      </c>
      <c r="N110" s="137">
        <f t="shared" si="26"/>
        <v>1.62</v>
      </c>
      <c r="O110" s="137">
        <f t="shared" si="26"/>
        <v>1.62</v>
      </c>
      <c r="P110" s="137">
        <f t="shared" si="26"/>
        <v>1.62</v>
      </c>
      <c r="Q110" s="137">
        <f t="shared" si="26"/>
        <v>1.62</v>
      </c>
      <c r="R110" s="137">
        <f t="shared" si="26"/>
        <v>1.62</v>
      </c>
      <c r="S110" s="137">
        <f t="shared" ref="S110:AF125" si="27">R110</f>
        <v>1.62</v>
      </c>
      <c r="T110" s="137">
        <f t="shared" si="27"/>
        <v>1.62</v>
      </c>
      <c r="U110" s="137">
        <f t="shared" si="27"/>
        <v>1.62</v>
      </c>
      <c r="V110" s="137">
        <f t="shared" si="27"/>
        <v>1.62</v>
      </c>
      <c r="W110" s="137">
        <f t="shared" si="27"/>
        <v>1.62</v>
      </c>
      <c r="X110" s="137">
        <f t="shared" si="27"/>
        <v>1.62</v>
      </c>
      <c r="Y110" s="137">
        <f t="shared" si="27"/>
        <v>1.62</v>
      </c>
      <c r="Z110" s="137">
        <f t="shared" si="27"/>
        <v>1.62</v>
      </c>
      <c r="AA110" s="137">
        <f t="shared" si="27"/>
        <v>1.62</v>
      </c>
      <c r="AB110" s="137">
        <f t="shared" si="27"/>
        <v>1.62</v>
      </c>
      <c r="AC110" s="137">
        <f t="shared" si="27"/>
        <v>1.62</v>
      </c>
      <c r="AD110" s="137">
        <f t="shared" si="27"/>
        <v>1.62</v>
      </c>
      <c r="AE110" s="137">
        <f t="shared" si="27"/>
        <v>1.62</v>
      </c>
      <c r="AF110" s="137">
        <f t="shared" si="27"/>
        <v>1.62</v>
      </c>
      <c r="AG110" s="139">
        <v>8</v>
      </c>
      <c r="AH110" s="56"/>
      <c r="AI110" s="57"/>
      <c r="AK110" s="58"/>
    </row>
    <row r="111" spans="1:37" x14ac:dyDescent="0.25">
      <c r="A111" s="124" t="s">
        <v>114</v>
      </c>
      <c r="B111" s="136">
        <v>8.36</v>
      </c>
      <c r="C111" s="137">
        <f t="shared" si="26"/>
        <v>8.36</v>
      </c>
      <c r="D111" s="137">
        <f t="shared" si="26"/>
        <v>8.36</v>
      </c>
      <c r="E111" s="137">
        <f t="shared" si="26"/>
        <v>8.36</v>
      </c>
      <c r="F111" s="137">
        <f t="shared" si="26"/>
        <v>8.36</v>
      </c>
      <c r="G111" s="137">
        <f t="shared" si="26"/>
        <v>8.36</v>
      </c>
      <c r="H111" s="137">
        <f t="shared" si="26"/>
        <v>8.36</v>
      </c>
      <c r="I111" s="137">
        <f t="shared" si="26"/>
        <v>8.36</v>
      </c>
      <c r="J111" s="137">
        <f t="shared" si="26"/>
        <v>8.36</v>
      </c>
      <c r="K111" s="137">
        <f t="shared" si="26"/>
        <v>8.36</v>
      </c>
      <c r="L111" s="137">
        <f t="shared" si="26"/>
        <v>8.36</v>
      </c>
      <c r="M111" s="137">
        <f t="shared" si="26"/>
        <v>8.36</v>
      </c>
      <c r="N111" s="137">
        <f t="shared" si="26"/>
        <v>8.36</v>
      </c>
      <c r="O111" s="137">
        <f t="shared" si="26"/>
        <v>8.36</v>
      </c>
      <c r="P111" s="137">
        <f t="shared" si="26"/>
        <v>8.36</v>
      </c>
      <c r="Q111" s="137">
        <f t="shared" si="26"/>
        <v>8.36</v>
      </c>
      <c r="R111" s="137">
        <f t="shared" si="26"/>
        <v>8.36</v>
      </c>
      <c r="S111" s="137">
        <f t="shared" si="27"/>
        <v>8.36</v>
      </c>
      <c r="T111" s="137">
        <f t="shared" si="27"/>
        <v>8.36</v>
      </c>
      <c r="U111" s="137">
        <f t="shared" si="27"/>
        <v>8.36</v>
      </c>
      <c r="V111" s="137">
        <f t="shared" si="27"/>
        <v>8.36</v>
      </c>
      <c r="W111" s="137">
        <f t="shared" si="27"/>
        <v>8.36</v>
      </c>
      <c r="X111" s="137">
        <f t="shared" si="27"/>
        <v>8.36</v>
      </c>
      <c r="Y111" s="137">
        <f t="shared" si="27"/>
        <v>8.36</v>
      </c>
      <c r="Z111" s="137">
        <f t="shared" si="27"/>
        <v>8.36</v>
      </c>
      <c r="AA111" s="137">
        <f t="shared" si="27"/>
        <v>8.36</v>
      </c>
      <c r="AB111" s="137">
        <f t="shared" si="27"/>
        <v>8.36</v>
      </c>
      <c r="AC111" s="137">
        <f t="shared" si="27"/>
        <v>8.36</v>
      </c>
      <c r="AD111" s="137">
        <f t="shared" si="27"/>
        <v>8.36</v>
      </c>
      <c r="AE111" s="137">
        <f t="shared" si="27"/>
        <v>8.36</v>
      </c>
      <c r="AF111" s="137">
        <f t="shared" si="27"/>
        <v>8.36</v>
      </c>
      <c r="AG111" s="139">
        <v>8</v>
      </c>
      <c r="AH111" s="56"/>
      <c r="AI111" s="57"/>
      <c r="AK111" s="58"/>
    </row>
    <row r="112" spans="1:37" x14ac:dyDescent="0.25">
      <c r="A112" s="124" t="s">
        <v>115</v>
      </c>
      <c r="B112" s="136">
        <v>8</v>
      </c>
      <c r="C112" s="137">
        <f t="shared" si="26"/>
        <v>8</v>
      </c>
      <c r="D112" s="137">
        <f t="shared" si="26"/>
        <v>8</v>
      </c>
      <c r="E112" s="137">
        <f t="shared" si="26"/>
        <v>8</v>
      </c>
      <c r="F112" s="137">
        <f t="shared" si="26"/>
        <v>8</v>
      </c>
      <c r="G112" s="137">
        <f t="shared" si="26"/>
        <v>8</v>
      </c>
      <c r="H112" s="137">
        <f t="shared" si="26"/>
        <v>8</v>
      </c>
      <c r="I112" s="137">
        <v>5.4</v>
      </c>
      <c r="J112" s="137">
        <f t="shared" si="26"/>
        <v>5.4</v>
      </c>
      <c r="K112" s="137">
        <f t="shared" si="26"/>
        <v>5.4</v>
      </c>
      <c r="L112" s="137">
        <f t="shared" si="26"/>
        <v>5.4</v>
      </c>
      <c r="M112" s="137">
        <f t="shared" si="26"/>
        <v>5.4</v>
      </c>
      <c r="N112" s="137">
        <f t="shared" si="26"/>
        <v>5.4</v>
      </c>
      <c r="O112" s="137">
        <f t="shared" si="26"/>
        <v>5.4</v>
      </c>
      <c r="P112" s="137">
        <f t="shared" si="26"/>
        <v>5.4</v>
      </c>
      <c r="Q112" s="137">
        <f t="shared" si="26"/>
        <v>5.4</v>
      </c>
      <c r="R112" s="137">
        <f t="shared" si="26"/>
        <v>5.4</v>
      </c>
      <c r="S112" s="137">
        <f t="shared" si="27"/>
        <v>5.4</v>
      </c>
      <c r="T112" s="137">
        <f t="shared" si="27"/>
        <v>5.4</v>
      </c>
      <c r="U112" s="137">
        <f t="shared" si="27"/>
        <v>5.4</v>
      </c>
      <c r="V112" s="137">
        <f t="shared" si="27"/>
        <v>5.4</v>
      </c>
      <c r="W112" s="137">
        <f t="shared" si="27"/>
        <v>5.4</v>
      </c>
      <c r="X112" s="137">
        <f t="shared" si="27"/>
        <v>5.4</v>
      </c>
      <c r="Y112" s="137">
        <f t="shared" si="27"/>
        <v>5.4</v>
      </c>
      <c r="Z112" s="137">
        <f t="shared" si="27"/>
        <v>5.4</v>
      </c>
      <c r="AA112" s="137">
        <f t="shared" si="27"/>
        <v>5.4</v>
      </c>
      <c r="AB112" s="137">
        <f t="shared" si="27"/>
        <v>5.4</v>
      </c>
      <c r="AC112" s="137">
        <f t="shared" si="27"/>
        <v>5.4</v>
      </c>
      <c r="AD112" s="137">
        <f t="shared" si="27"/>
        <v>5.4</v>
      </c>
      <c r="AE112" s="137">
        <f t="shared" si="27"/>
        <v>5.4</v>
      </c>
      <c r="AF112" s="137">
        <f t="shared" si="27"/>
        <v>5.4</v>
      </c>
      <c r="AG112" s="139">
        <v>8</v>
      </c>
      <c r="AH112" s="56"/>
      <c r="AI112" s="57"/>
      <c r="AK112" s="58"/>
    </row>
    <row r="113" spans="1:37" x14ac:dyDescent="0.25">
      <c r="A113" s="124" t="s">
        <v>116</v>
      </c>
      <c r="B113" s="136">
        <v>6.57</v>
      </c>
      <c r="C113" s="137">
        <f t="shared" si="26"/>
        <v>6.57</v>
      </c>
      <c r="D113" s="137">
        <f t="shared" si="26"/>
        <v>6.57</v>
      </c>
      <c r="E113" s="137">
        <f t="shared" si="26"/>
        <v>6.57</v>
      </c>
      <c r="F113" s="137">
        <f t="shared" si="26"/>
        <v>6.57</v>
      </c>
      <c r="G113" s="137">
        <f t="shared" si="26"/>
        <v>6.57</v>
      </c>
      <c r="H113" s="137">
        <f t="shared" si="26"/>
        <v>6.57</v>
      </c>
      <c r="I113" s="137">
        <f t="shared" si="26"/>
        <v>6.57</v>
      </c>
      <c r="J113" s="137">
        <f t="shared" si="26"/>
        <v>6.57</v>
      </c>
      <c r="K113" s="137">
        <f t="shared" si="26"/>
        <v>6.57</v>
      </c>
      <c r="L113" s="137">
        <f t="shared" si="26"/>
        <v>6.57</v>
      </c>
      <c r="M113" s="137">
        <f t="shared" si="26"/>
        <v>6.57</v>
      </c>
      <c r="N113" s="137">
        <f t="shared" si="26"/>
        <v>6.57</v>
      </c>
      <c r="O113" s="137">
        <f t="shared" si="26"/>
        <v>6.57</v>
      </c>
      <c r="P113" s="137">
        <f t="shared" si="26"/>
        <v>6.57</v>
      </c>
      <c r="Q113" s="137">
        <f t="shared" si="26"/>
        <v>6.57</v>
      </c>
      <c r="R113" s="137">
        <f t="shared" si="26"/>
        <v>6.57</v>
      </c>
      <c r="S113" s="137">
        <f t="shared" si="27"/>
        <v>6.57</v>
      </c>
      <c r="T113" s="137">
        <f t="shared" si="27"/>
        <v>6.57</v>
      </c>
      <c r="U113" s="137">
        <f t="shared" si="27"/>
        <v>6.57</v>
      </c>
      <c r="V113" s="137">
        <f t="shared" si="27"/>
        <v>6.57</v>
      </c>
      <c r="W113" s="137">
        <f t="shared" si="27"/>
        <v>6.57</v>
      </c>
      <c r="X113" s="137">
        <f t="shared" si="27"/>
        <v>6.57</v>
      </c>
      <c r="Y113" s="137">
        <f t="shared" si="27"/>
        <v>6.57</v>
      </c>
      <c r="Z113" s="137">
        <f t="shared" si="27"/>
        <v>6.57</v>
      </c>
      <c r="AA113" s="137">
        <f t="shared" si="27"/>
        <v>6.57</v>
      </c>
      <c r="AB113" s="137">
        <f t="shared" si="27"/>
        <v>6.57</v>
      </c>
      <c r="AC113" s="137">
        <f t="shared" si="27"/>
        <v>6.57</v>
      </c>
      <c r="AD113" s="137">
        <f t="shared" si="27"/>
        <v>6.57</v>
      </c>
      <c r="AE113" s="137">
        <f t="shared" si="27"/>
        <v>6.57</v>
      </c>
      <c r="AF113" s="137">
        <f t="shared" si="27"/>
        <v>6.57</v>
      </c>
      <c r="AG113" s="139">
        <v>7.8</v>
      </c>
      <c r="AH113" s="56"/>
      <c r="AI113" s="57"/>
      <c r="AK113" s="58"/>
    </row>
    <row r="114" spans="1:37" x14ac:dyDescent="0.25">
      <c r="A114" s="124" t="s">
        <v>117</v>
      </c>
      <c r="B114" s="136">
        <v>3.43</v>
      </c>
      <c r="C114" s="137">
        <f t="shared" si="26"/>
        <v>3.43</v>
      </c>
      <c r="D114" s="137">
        <f t="shared" si="26"/>
        <v>3.43</v>
      </c>
      <c r="E114" s="137">
        <f t="shared" si="26"/>
        <v>3.43</v>
      </c>
      <c r="F114" s="137">
        <f t="shared" si="26"/>
        <v>3.43</v>
      </c>
      <c r="G114" s="137">
        <f t="shared" si="26"/>
        <v>3.43</v>
      </c>
      <c r="H114" s="137">
        <f t="shared" si="26"/>
        <v>3.43</v>
      </c>
      <c r="I114" s="137">
        <f t="shared" si="26"/>
        <v>3.43</v>
      </c>
      <c r="J114" s="137">
        <f t="shared" si="26"/>
        <v>3.43</v>
      </c>
      <c r="K114" s="137">
        <f t="shared" si="26"/>
        <v>3.43</v>
      </c>
      <c r="L114" s="137">
        <f t="shared" si="26"/>
        <v>3.43</v>
      </c>
      <c r="M114" s="137">
        <f t="shared" si="26"/>
        <v>3.43</v>
      </c>
      <c r="N114" s="137">
        <f t="shared" si="26"/>
        <v>3.43</v>
      </c>
      <c r="O114" s="137">
        <f t="shared" si="26"/>
        <v>3.43</v>
      </c>
      <c r="P114" s="137">
        <f t="shared" si="26"/>
        <v>3.43</v>
      </c>
      <c r="Q114" s="137">
        <f t="shared" si="26"/>
        <v>3.43</v>
      </c>
      <c r="R114" s="137">
        <f t="shared" si="26"/>
        <v>3.43</v>
      </c>
      <c r="S114" s="137">
        <f t="shared" si="27"/>
        <v>3.43</v>
      </c>
      <c r="T114" s="137">
        <f t="shared" si="27"/>
        <v>3.43</v>
      </c>
      <c r="U114" s="137">
        <f t="shared" si="27"/>
        <v>3.43</v>
      </c>
      <c r="V114" s="137">
        <f t="shared" si="27"/>
        <v>3.43</v>
      </c>
      <c r="W114" s="137">
        <f t="shared" si="27"/>
        <v>3.43</v>
      </c>
      <c r="X114" s="137">
        <f t="shared" si="27"/>
        <v>3.43</v>
      </c>
      <c r="Y114" s="137">
        <f t="shared" si="27"/>
        <v>3.43</v>
      </c>
      <c r="Z114" s="137">
        <f t="shared" si="27"/>
        <v>3.43</v>
      </c>
      <c r="AA114" s="137">
        <f t="shared" si="27"/>
        <v>3.43</v>
      </c>
      <c r="AB114" s="137">
        <f t="shared" si="27"/>
        <v>3.43</v>
      </c>
      <c r="AC114" s="137">
        <f t="shared" si="27"/>
        <v>3.43</v>
      </c>
      <c r="AD114" s="137">
        <f t="shared" si="27"/>
        <v>3.43</v>
      </c>
      <c r="AE114" s="137">
        <f t="shared" si="27"/>
        <v>3.43</v>
      </c>
      <c r="AF114" s="137">
        <f t="shared" si="27"/>
        <v>3.43</v>
      </c>
      <c r="AG114" s="139">
        <v>7.6</v>
      </c>
      <c r="AH114" s="56"/>
      <c r="AI114" s="57"/>
      <c r="AK114" s="58"/>
    </row>
    <row r="115" spans="1:37" x14ac:dyDescent="0.25">
      <c r="A115" s="124" t="s">
        <v>118</v>
      </c>
      <c r="B115" s="136">
        <v>2.96</v>
      </c>
      <c r="C115" s="137">
        <f t="shared" si="26"/>
        <v>2.96</v>
      </c>
      <c r="D115" s="137">
        <f t="shared" si="26"/>
        <v>2.96</v>
      </c>
      <c r="E115" s="137">
        <f t="shared" si="26"/>
        <v>2.96</v>
      </c>
      <c r="F115" s="137">
        <f t="shared" si="26"/>
        <v>2.96</v>
      </c>
      <c r="G115" s="137">
        <f t="shared" si="26"/>
        <v>2.96</v>
      </c>
      <c r="H115" s="137">
        <f t="shared" si="26"/>
        <v>2.96</v>
      </c>
      <c r="I115" s="137">
        <f t="shared" si="26"/>
        <v>2.96</v>
      </c>
      <c r="J115" s="137">
        <f t="shared" si="26"/>
        <v>2.96</v>
      </c>
      <c r="K115" s="137">
        <f t="shared" si="26"/>
        <v>2.96</v>
      </c>
      <c r="L115" s="137">
        <f t="shared" si="26"/>
        <v>2.96</v>
      </c>
      <c r="M115" s="137">
        <f t="shared" si="26"/>
        <v>2.96</v>
      </c>
      <c r="N115" s="137">
        <f t="shared" si="26"/>
        <v>2.96</v>
      </c>
      <c r="O115" s="137">
        <f t="shared" si="26"/>
        <v>2.96</v>
      </c>
      <c r="P115" s="137">
        <f t="shared" si="26"/>
        <v>2.96</v>
      </c>
      <c r="Q115" s="137">
        <f t="shared" si="26"/>
        <v>2.96</v>
      </c>
      <c r="R115" s="137">
        <f t="shared" si="26"/>
        <v>2.96</v>
      </c>
      <c r="S115" s="137">
        <f t="shared" si="27"/>
        <v>2.96</v>
      </c>
      <c r="T115" s="137">
        <f t="shared" si="27"/>
        <v>2.96</v>
      </c>
      <c r="U115" s="137">
        <f t="shared" si="27"/>
        <v>2.96</v>
      </c>
      <c r="V115" s="137">
        <f t="shared" si="27"/>
        <v>2.96</v>
      </c>
      <c r="W115" s="137">
        <f t="shared" si="27"/>
        <v>2.96</v>
      </c>
      <c r="X115" s="137">
        <f t="shared" si="27"/>
        <v>2.96</v>
      </c>
      <c r="Y115" s="137">
        <f t="shared" si="27"/>
        <v>2.96</v>
      </c>
      <c r="Z115" s="137">
        <f t="shared" si="27"/>
        <v>2.96</v>
      </c>
      <c r="AA115" s="137">
        <f t="shared" si="27"/>
        <v>2.96</v>
      </c>
      <c r="AB115" s="137">
        <f t="shared" si="27"/>
        <v>2.96</v>
      </c>
      <c r="AC115" s="137">
        <f t="shared" si="27"/>
        <v>2.96</v>
      </c>
      <c r="AD115" s="137">
        <f t="shared" si="27"/>
        <v>2.96</v>
      </c>
      <c r="AE115" s="137">
        <f t="shared" si="27"/>
        <v>2.96</v>
      </c>
      <c r="AF115" s="137">
        <f t="shared" si="27"/>
        <v>2.96</v>
      </c>
      <c r="AG115" s="139">
        <v>7.5</v>
      </c>
      <c r="AH115" s="56"/>
      <c r="AI115" s="57"/>
      <c r="AK115" s="58"/>
    </row>
    <row r="116" spans="1:37" x14ac:dyDescent="0.25">
      <c r="A116" s="124" t="s">
        <v>119</v>
      </c>
      <c r="B116" s="136">
        <v>8</v>
      </c>
      <c r="C116" s="137">
        <f t="shared" si="26"/>
        <v>8</v>
      </c>
      <c r="D116" s="137">
        <f t="shared" si="26"/>
        <v>8</v>
      </c>
      <c r="E116" s="137">
        <f t="shared" si="26"/>
        <v>8</v>
      </c>
      <c r="F116" s="137">
        <f t="shared" si="26"/>
        <v>8</v>
      </c>
      <c r="G116" s="137">
        <f t="shared" si="26"/>
        <v>8</v>
      </c>
      <c r="H116" s="137">
        <f t="shared" si="26"/>
        <v>8</v>
      </c>
      <c r="I116" s="137">
        <f t="shared" si="26"/>
        <v>8</v>
      </c>
      <c r="J116" s="137">
        <f t="shared" si="26"/>
        <v>8</v>
      </c>
      <c r="K116" s="137">
        <f t="shared" si="26"/>
        <v>8</v>
      </c>
      <c r="L116" s="137">
        <f t="shared" si="26"/>
        <v>8</v>
      </c>
      <c r="M116" s="137">
        <f t="shared" si="26"/>
        <v>8</v>
      </c>
      <c r="N116" s="137">
        <f t="shared" si="26"/>
        <v>8</v>
      </c>
      <c r="O116" s="137">
        <f t="shared" si="26"/>
        <v>8</v>
      </c>
      <c r="P116" s="137">
        <f t="shared" si="26"/>
        <v>8</v>
      </c>
      <c r="Q116" s="137">
        <f t="shared" si="26"/>
        <v>8</v>
      </c>
      <c r="R116" s="137">
        <f t="shared" si="26"/>
        <v>8</v>
      </c>
      <c r="S116" s="137">
        <f t="shared" si="27"/>
        <v>8</v>
      </c>
      <c r="T116" s="137">
        <f t="shared" si="27"/>
        <v>8</v>
      </c>
      <c r="U116" s="137">
        <f t="shared" si="27"/>
        <v>8</v>
      </c>
      <c r="V116" s="137">
        <f t="shared" si="27"/>
        <v>8</v>
      </c>
      <c r="W116" s="137">
        <f t="shared" si="27"/>
        <v>8</v>
      </c>
      <c r="X116" s="137">
        <f t="shared" si="27"/>
        <v>8</v>
      </c>
      <c r="Y116" s="137">
        <f t="shared" si="27"/>
        <v>8</v>
      </c>
      <c r="Z116" s="137">
        <f t="shared" si="27"/>
        <v>8</v>
      </c>
      <c r="AA116" s="137">
        <f t="shared" si="27"/>
        <v>8</v>
      </c>
      <c r="AB116" s="137">
        <f t="shared" si="27"/>
        <v>8</v>
      </c>
      <c r="AC116" s="137">
        <f t="shared" si="27"/>
        <v>8</v>
      </c>
      <c r="AD116" s="137">
        <f t="shared" si="27"/>
        <v>8</v>
      </c>
      <c r="AE116" s="137">
        <f t="shared" si="27"/>
        <v>8</v>
      </c>
      <c r="AF116" s="137">
        <f t="shared" si="27"/>
        <v>8</v>
      </c>
      <c r="AG116" s="139">
        <v>7.5</v>
      </c>
      <c r="AH116" s="56"/>
      <c r="AI116" s="57"/>
      <c r="AK116" s="58"/>
    </row>
    <row r="117" spans="1:37" x14ac:dyDescent="0.25">
      <c r="A117" s="124" t="s">
        <v>120</v>
      </c>
      <c r="B117" s="136">
        <v>7</v>
      </c>
      <c r="C117" s="137">
        <f>B117</f>
        <v>7</v>
      </c>
      <c r="D117" s="137">
        <f t="shared" si="26"/>
        <v>7</v>
      </c>
      <c r="E117" s="137">
        <f t="shared" si="26"/>
        <v>7</v>
      </c>
      <c r="F117" s="137">
        <f t="shared" si="26"/>
        <v>7</v>
      </c>
      <c r="G117" s="137">
        <f t="shared" si="26"/>
        <v>7</v>
      </c>
      <c r="H117" s="137">
        <f t="shared" si="26"/>
        <v>7</v>
      </c>
      <c r="I117" s="137">
        <f t="shared" si="26"/>
        <v>7</v>
      </c>
      <c r="J117" s="137">
        <f t="shared" si="26"/>
        <v>7</v>
      </c>
      <c r="K117" s="137">
        <f t="shared" si="26"/>
        <v>7</v>
      </c>
      <c r="L117" s="137">
        <f t="shared" si="26"/>
        <v>7</v>
      </c>
      <c r="M117" s="137">
        <f t="shared" si="26"/>
        <v>7</v>
      </c>
      <c r="N117" s="137">
        <f t="shared" si="26"/>
        <v>7</v>
      </c>
      <c r="O117" s="137">
        <f t="shared" si="26"/>
        <v>7</v>
      </c>
      <c r="P117" s="137">
        <f t="shared" si="26"/>
        <v>7</v>
      </c>
      <c r="Q117" s="137">
        <f t="shared" si="26"/>
        <v>7</v>
      </c>
      <c r="R117" s="137">
        <f t="shared" si="26"/>
        <v>7</v>
      </c>
      <c r="S117" s="137">
        <f t="shared" si="27"/>
        <v>7</v>
      </c>
      <c r="T117" s="137">
        <f t="shared" si="27"/>
        <v>7</v>
      </c>
      <c r="U117" s="137">
        <f t="shared" si="27"/>
        <v>7</v>
      </c>
      <c r="V117" s="137">
        <f t="shared" si="27"/>
        <v>7</v>
      </c>
      <c r="W117" s="137">
        <f t="shared" si="27"/>
        <v>7</v>
      </c>
      <c r="X117" s="137">
        <f t="shared" si="27"/>
        <v>7</v>
      </c>
      <c r="Y117" s="137">
        <f t="shared" si="27"/>
        <v>7</v>
      </c>
      <c r="Z117" s="137">
        <f t="shared" si="27"/>
        <v>7</v>
      </c>
      <c r="AA117" s="137">
        <f t="shared" si="27"/>
        <v>7</v>
      </c>
      <c r="AB117" s="137">
        <f t="shared" si="27"/>
        <v>7</v>
      </c>
      <c r="AC117" s="137">
        <f t="shared" si="27"/>
        <v>7</v>
      </c>
      <c r="AD117" s="137">
        <f t="shared" si="27"/>
        <v>7</v>
      </c>
      <c r="AE117" s="137">
        <f t="shared" si="27"/>
        <v>7</v>
      </c>
      <c r="AF117" s="137">
        <f t="shared" si="27"/>
        <v>7</v>
      </c>
      <c r="AG117" s="139">
        <v>7</v>
      </c>
      <c r="AH117" s="56"/>
      <c r="AI117" s="57"/>
      <c r="AK117" s="58"/>
    </row>
    <row r="118" spans="1:37" x14ac:dyDescent="0.25">
      <c r="A118" s="124" t="s">
        <v>121</v>
      </c>
      <c r="B118" s="136">
        <v>3.47</v>
      </c>
      <c r="C118" s="137">
        <f t="shared" ref="C118:R127" si="28">B118</f>
        <v>3.47</v>
      </c>
      <c r="D118" s="137">
        <f t="shared" si="28"/>
        <v>3.47</v>
      </c>
      <c r="E118" s="137">
        <f t="shared" si="28"/>
        <v>3.47</v>
      </c>
      <c r="F118" s="137">
        <f t="shared" si="28"/>
        <v>3.47</v>
      </c>
      <c r="G118" s="137">
        <f t="shared" si="28"/>
        <v>3.47</v>
      </c>
      <c r="H118" s="137">
        <f t="shared" si="28"/>
        <v>3.47</v>
      </c>
      <c r="I118" s="137">
        <f t="shared" si="28"/>
        <v>3.47</v>
      </c>
      <c r="J118" s="137">
        <f t="shared" si="28"/>
        <v>3.47</v>
      </c>
      <c r="K118" s="137">
        <f t="shared" si="28"/>
        <v>3.47</v>
      </c>
      <c r="L118" s="137">
        <f t="shared" si="28"/>
        <v>3.47</v>
      </c>
      <c r="M118" s="137">
        <f t="shared" si="28"/>
        <v>3.47</v>
      </c>
      <c r="N118" s="137">
        <f t="shared" si="28"/>
        <v>3.47</v>
      </c>
      <c r="O118" s="137">
        <f t="shared" si="28"/>
        <v>3.47</v>
      </c>
      <c r="P118" s="137">
        <f t="shared" si="28"/>
        <v>3.47</v>
      </c>
      <c r="Q118" s="137">
        <f t="shared" si="28"/>
        <v>3.47</v>
      </c>
      <c r="R118" s="137">
        <f t="shared" si="28"/>
        <v>3.47</v>
      </c>
      <c r="S118" s="137">
        <f t="shared" si="27"/>
        <v>3.47</v>
      </c>
      <c r="T118" s="137">
        <f t="shared" si="27"/>
        <v>3.47</v>
      </c>
      <c r="U118" s="137">
        <f t="shared" si="27"/>
        <v>3.47</v>
      </c>
      <c r="V118" s="137">
        <f t="shared" si="27"/>
        <v>3.47</v>
      </c>
      <c r="W118" s="137">
        <f t="shared" si="27"/>
        <v>3.47</v>
      </c>
      <c r="X118" s="137">
        <f t="shared" si="27"/>
        <v>3.47</v>
      </c>
      <c r="Y118" s="137">
        <f t="shared" si="27"/>
        <v>3.47</v>
      </c>
      <c r="Z118" s="137">
        <f t="shared" si="27"/>
        <v>3.47</v>
      </c>
      <c r="AA118" s="137">
        <f t="shared" si="27"/>
        <v>3.47</v>
      </c>
      <c r="AB118" s="137">
        <f t="shared" si="27"/>
        <v>3.47</v>
      </c>
      <c r="AC118" s="137">
        <f t="shared" si="27"/>
        <v>3.47</v>
      </c>
      <c r="AD118" s="137">
        <f t="shared" si="27"/>
        <v>3.47</v>
      </c>
      <c r="AE118" s="137">
        <f t="shared" si="27"/>
        <v>3.47</v>
      </c>
      <c r="AF118" s="137">
        <f t="shared" si="27"/>
        <v>3.47</v>
      </c>
      <c r="AG118" s="139">
        <v>7</v>
      </c>
      <c r="AH118" s="56"/>
      <c r="AI118" s="57"/>
      <c r="AK118" s="58"/>
    </row>
    <row r="119" spans="1:37" x14ac:dyDescent="0.25">
      <c r="A119" s="124" t="s">
        <v>122</v>
      </c>
      <c r="B119" s="136">
        <v>2.1</v>
      </c>
      <c r="C119" s="137">
        <f t="shared" si="28"/>
        <v>2.1</v>
      </c>
      <c r="D119" s="137">
        <f t="shared" si="28"/>
        <v>2.1</v>
      </c>
      <c r="E119" s="137">
        <f t="shared" si="28"/>
        <v>2.1</v>
      </c>
      <c r="F119" s="137">
        <f t="shared" si="28"/>
        <v>2.1</v>
      </c>
      <c r="G119" s="137">
        <f t="shared" si="28"/>
        <v>2.1</v>
      </c>
      <c r="H119" s="137">
        <f t="shared" si="28"/>
        <v>2.1</v>
      </c>
      <c r="I119" s="137">
        <f t="shared" si="28"/>
        <v>2.1</v>
      </c>
      <c r="J119" s="137">
        <f t="shared" si="28"/>
        <v>2.1</v>
      </c>
      <c r="K119" s="137">
        <f t="shared" si="28"/>
        <v>2.1</v>
      </c>
      <c r="L119" s="137">
        <f t="shared" si="28"/>
        <v>2.1</v>
      </c>
      <c r="M119" s="137">
        <f t="shared" si="28"/>
        <v>2.1</v>
      </c>
      <c r="N119" s="137">
        <f t="shared" si="28"/>
        <v>2.1</v>
      </c>
      <c r="O119" s="137">
        <f t="shared" si="28"/>
        <v>2.1</v>
      </c>
      <c r="P119" s="137">
        <f t="shared" si="28"/>
        <v>2.1</v>
      </c>
      <c r="Q119" s="137">
        <f t="shared" si="28"/>
        <v>2.1</v>
      </c>
      <c r="R119" s="137">
        <f t="shared" si="28"/>
        <v>2.1</v>
      </c>
      <c r="S119" s="137">
        <f t="shared" si="27"/>
        <v>2.1</v>
      </c>
      <c r="T119" s="137">
        <f t="shared" si="27"/>
        <v>2.1</v>
      </c>
      <c r="U119" s="137">
        <f t="shared" si="27"/>
        <v>2.1</v>
      </c>
      <c r="V119" s="137">
        <f t="shared" si="27"/>
        <v>2.1</v>
      </c>
      <c r="W119" s="137">
        <f t="shared" si="27"/>
        <v>2.1</v>
      </c>
      <c r="X119" s="137">
        <f t="shared" si="27"/>
        <v>2.1</v>
      </c>
      <c r="Y119" s="137">
        <f t="shared" si="27"/>
        <v>2.1</v>
      </c>
      <c r="Z119" s="137">
        <f t="shared" si="27"/>
        <v>2.1</v>
      </c>
      <c r="AA119" s="137">
        <f t="shared" si="27"/>
        <v>2.1</v>
      </c>
      <c r="AB119" s="137">
        <f t="shared" si="27"/>
        <v>2.1</v>
      </c>
      <c r="AC119" s="137">
        <f t="shared" si="27"/>
        <v>2.1</v>
      </c>
      <c r="AD119" s="137">
        <f t="shared" si="27"/>
        <v>2.1</v>
      </c>
      <c r="AE119" s="137">
        <f t="shared" si="27"/>
        <v>2.1</v>
      </c>
      <c r="AF119" s="137">
        <f t="shared" si="27"/>
        <v>2.1</v>
      </c>
      <c r="AG119" s="139">
        <v>7</v>
      </c>
      <c r="AH119" s="56"/>
      <c r="AI119" s="57"/>
      <c r="AK119" s="58"/>
    </row>
    <row r="120" spans="1:37" x14ac:dyDescent="0.25">
      <c r="A120" s="124" t="s">
        <v>123</v>
      </c>
      <c r="B120" s="136">
        <v>9.3000000000000007</v>
      </c>
      <c r="C120" s="137">
        <f t="shared" si="28"/>
        <v>9.3000000000000007</v>
      </c>
      <c r="D120" s="137">
        <f t="shared" si="28"/>
        <v>9.3000000000000007</v>
      </c>
      <c r="E120" s="137">
        <f t="shared" si="28"/>
        <v>9.3000000000000007</v>
      </c>
      <c r="F120" s="137">
        <f t="shared" si="28"/>
        <v>9.3000000000000007</v>
      </c>
      <c r="G120" s="137">
        <f t="shared" si="28"/>
        <v>9.3000000000000007</v>
      </c>
      <c r="H120" s="137">
        <f t="shared" si="28"/>
        <v>9.3000000000000007</v>
      </c>
      <c r="I120" s="137">
        <f t="shared" si="28"/>
        <v>9.3000000000000007</v>
      </c>
      <c r="J120" s="137">
        <f t="shared" si="28"/>
        <v>9.3000000000000007</v>
      </c>
      <c r="K120" s="137">
        <f t="shared" si="28"/>
        <v>9.3000000000000007</v>
      </c>
      <c r="L120" s="137">
        <f t="shared" si="28"/>
        <v>9.3000000000000007</v>
      </c>
      <c r="M120" s="137">
        <f t="shared" si="28"/>
        <v>9.3000000000000007</v>
      </c>
      <c r="N120" s="137">
        <f t="shared" si="28"/>
        <v>9.3000000000000007</v>
      </c>
      <c r="O120" s="137">
        <f t="shared" si="28"/>
        <v>9.3000000000000007</v>
      </c>
      <c r="P120" s="137">
        <f t="shared" si="28"/>
        <v>9.3000000000000007</v>
      </c>
      <c r="Q120" s="137">
        <f t="shared" si="28"/>
        <v>9.3000000000000007</v>
      </c>
      <c r="R120" s="137">
        <f t="shared" si="28"/>
        <v>9.3000000000000007</v>
      </c>
      <c r="S120" s="137">
        <f t="shared" si="27"/>
        <v>9.3000000000000007</v>
      </c>
      <c r="T120" s="137">
        <f t="shared" si="27"/>
        <v>9.3000000000000007</v>
      </c>
      <c r="U120" s="137">
        <f t="shared" si="27"/>
        <v>9.3000000000000007</v>
      </c>
      <c r="V120" s="137">
        <f t="shared" si="27"/>
        <v>9.3000000000000007</v>
      </c>
      <c r="W120" s="137">
        <f t="shared" si="27"/>
        <v>9.3000000000000007</v>
      </c>
      <c r="X120" s="137">
        <f t="shared" si="27"/>
        <v>9.3000000000000007</v>
      </c>
      <c r="Y120" s="137">
        <f t="shared" si="27"/>
        <v>9.3000000000000007</v>
      </c>
      <c r="Z120" s="137">
        <f t="shared" si="27"/>
        <v>9.3000000000000007</v>
      </c>
      <c r="AA120" s="137">
        <f t="shared" si="27"/>
        <v>9.3000000000000007</v>
      </c>
      <c r="AB120" s="137">
        <f t="shared" si="27"/>
        <v>9.3000000000000007</v>
      </c>
      <c r="AC120" s="137">
        <f t="shared" si="27"/>
        <v>9.3000000000000007</v>
      </c>
      <c r="AD120" s="137">
        <f t="shared" si="27"/>
        <v>9.3000000000000007</v>
      </c>
      <c r="AE120" s="137">
        <f t="shared" si="27"/>
        <v>9.3000000000000007</v>
      </c>
      <c r="AF120" s="137">
        <f t="shared" si="27"/>
        <v>9.3000000000000007</v>
      </c>
      <c r="AG120" s="139">
        <v>7</v>
      </c>
      <c r="AH120" s="56"/>
      <c r="AI120" s="57"/>
      <c r="AK120" s="58"/>
    </row>
    <row r="121" spans="1:37" x14ac:dyDescent="0.25">
      <c r="A121" s="124" t="s">
        <v>124</v>
      </c>
      <c r="B121" s="136">
        <v>0</v>
      </c>
      <c r="C121" s="137">
        <f t="shared" si="28"/>
        <v>0</v>
      </c>
      <c r="D121" s="137">
        <f t="shared" si="28"/>
        <v>0</v>
      </c>
      <c r="E121" s="137">
        <f t="shared" si="28"/>
        <v>0</v>
      </c>
      <c r="F121" s="137">
        <f t="shared" si="28"/>
        <v>0</v>
      </c>
      <c r="G121" s="137">
        <f t="shared" si="28"/>
        <v>0</v>
      </c>
      <c r="H121" s="137">
        <f t="shared" si="28"/>
        <v>0</v>
      </c>
      <c r="I121" s="137">
        <f t="shared" si="28"/>
        <v>0</v>
      </c>
      <c r="J121" s="137">
        <f t="shared" si="28"/>
        <v>0</v>
      </c>
      <c r="K121" s="137">
        <f t="shared" si="28"/>
        <v>0</v>
      </c>
      <c r="L121" s="137">
        <f t="shared" si="28"/>
        <v>0</v>
      </c>
      <c r="M121" s="137">
        <f t="shared" si="28"/>
        <v>0</v>
      </c>
      <c r="N121" s="137">
        <f t="shared" si="28"/>
        <v>0</v>
      </c>
      <c r="O121" s="137">
        <f t="shared" si="28"/>
        <v>0</v>
      </c>
      <c r="P121" s="137">
        <f t="shared" si="28"/>
        <v>0</v>
      </c>
      <c r="Q121" s="137">
        <f t="shared" si="28"/>
        <v>0</v>
      </c>
      <c r="R121" s="137">
        <f t="shared" si="28"/>
        <v>0</v>
      </c>
      <c r="S121" s="137">
        <f t="shared" si="27"/>
        <v>0</v>
      </c>
      <c r="T121" s="137">
        <f t="shared" si="27"/>
        <v>0</v>
      </c>
      <c r="U121" s="137">
        <f t="shared" si="27"/>
        <v>0</v>
      </c>
      <c r="V121" s="137">
        <f t="shared" si="27"/>
        <v>0</v>
      </c>
      <c r="W121" s="137">
        <f t="shared" si="27"/>
        <v>0</v>
      </c>
      <c r="X121" s="137">
        <f t="shared" si="27"/>
        <v>0</v>
      </c>
      <c r="Y121" s="137">
        <f t="shared" si="27"/>
        <v>0</v>
      </c>
      <c r="Z121" s="137">
        <f t="shared" si="27"/>
        <v>0</v>
      </c>
      <c r="AA121" s="137">
        <f t="shared" si="27"/>
        <v>0</v>
      </c>
      <c r="AB121" s="137">
        <f t="shared" si="27"/>
        <v>0</v>
      </c>
      <c r="AC121" s="137">
        <f t="shared" si="27"/>
        <v>0</v>
      </c>
      <c r="AD121" s="137">
        <f t="shared" si="27"/>
        <v>0</v>
      </c>
      <c r="AE121" s="137">
        <f t="shared" si="27"/>
        <v>0</v>
      </c>
      <c r="AF121" s="137">
        <f t="shared" si="27"/>
        <v>0</v>
      </c>
      <c r="AG121" s="139">
        <v>6.6</v>
      </c>
      <c r="AH121" s="56"/>
      <c r="AI121" s="57"/>
      <c r="AK121" s="58"/>
    </row>
    <row r="122" spans="1:37" x14ac:dyDescent="0.25">
      <c r="A122" s="124" t="s">
        <v>125</v>
      </c>
      <c r="B122" s="136">
        <v>0</v>
      </c>
      <c r="C122" s="137">
        <f t="shared" si="28"/>
        <v>0</v>
      </c>
      <c r="D122" s="137">
        <f t="shared" si="28"/>
        <v>0</v>
      </c>
      <c r="E122" s="137">
        <f t="shared" si="28"/>
        <v>0</v>
      </c>
      <c r="F122" s="137">
        <f t="shared" si="28"/>
        <v>0</v>
      </c>
      <c r="G122" s="137">
        <f t="shared" si="28"/>
        <v>0</v>
      </c>
      <c r="H122" s="137">
        <f t="shared" si="28"/>
        <v>0</v>
      </c>
      <c r="I122" s="137">
        <f t="shared" si="28"/>
        <v>0</v>
      </c>
      <c r="J122" s="137">
        <f t="shared" si="28"/>
        <v>0</v>
      </c>
      <c r="K122" s="137">
        <f t="shared" si="28"/>
        <v>0</v>
      </c>
      <c r="L122" s="137">
        <f t="shared" si="28"/>
        <v>0</v>
      </c>
      <c r="M122" s="137">
        <f t="shared" si="28"/>
        <v>0</v>
      </c>
      <c r="N122" s="137">
        <f t="shared" si="28"/>
        <v>0</v>
      </c>
      <c r="O122" s="137">
        <f t="shared" si="28"/>
        <v>0</v>
      </c>
      <c r="P122" s="137">
        <f t="shared" si="28"/>
        <v>0</v>
      </c>
      <c r="Q122" s="137">
        <f t="shared" si="28"/>
        <v>0</v>
      </c>
      <c r="R122" s="137">
        <f t="shared" si="28"/>
        <v>0</v>
      </c>
      <c r="S122" s="137">
        <f t="shared" si="27"/>
        <v>0</v>
      </c>
      <c r="T122" s="137">
        <f t="shared" si="27"/>
        <v>0</v>
      </c>
      <c r="U122" s="137">
        <f t="shared" si="27"/>
        <v>0</v>
      </c>
      <c r="V122" s="137">
        <f t="shared" si="27"/>
        <v>0</v>
      </c>
      <c r="W122" s="137">
        <f t="shared" si="27"/>
        <v>0</v>
      </c>
      <c r="X122" s="137">
        <f t="shared" si="27"/>
        <v>0</v>
      </c>
      <c r="Y122" s="137">
        <f t="shared" si="27"/>
        <v>0</v>
      </c>
      <c r="Z122" s="137">
        <f t="shared" si="27"/>
        <v>0</v>
      </c>
      <c r="AA122" s="137">
        <f t="shared" si="27"/>
        <v>0</v>
      </c>
      <c r="AB122" s="137">
        <f t="shared" si="27"/>
        <v>0</v>
      </c>
      <c r="AC122" s="137">
        <f t="shared" si="27"/>
        <v>0</v>
      </c>
      <c r="AD122" s="137">
        <f t="shared" si="27"/>
        <v>0</v>
      </c>
      <c r="AE122" s="137">
        <f t="shared" si="27"/>
        <v>0</v>
      </c>
      <c r="AF122" s="137">
        <f t="shared" si="27"/>
        <v>0</v>
      </c>
      <c r="AG122" s="139">
        <v>6.6</v>
      </c>
      <c r="AH122" s="56"/>
      <c r="AI122" s="57"/>
      <c r="AK122" s="58"/>
    </row>
    <row r="123" spans="1:37" x14ac:dyDescent="0.25">
      <c r="A123" s="124" t="s">
        <v>126</v>
      </c>
      <c r="B123" s="136">
        <v>5</v>
      </c>
      <c r="C123" s="137">
        <f t="shared" si="28"/>
        <v>5</v>
      </c>
      <c r="D123" s="137">
        <f t="shared" si="28"/>
        <v>5</v>
      </c>
      <c r="E123" s="137">
        <f t="shared" si="28"/>
        <v>5</v>
      </c>
      <c r="F123" s="137">
        <f t="shared" si="28"/>
        <v>5</v>
      </c>
      <c r="G123" s="137">
        <f t="shared" si="28"/>
        <v>5</v>
      </c>
      <c r="H123" s="137">
        <f t="shared" si="28"/>
        <v>5</v>
      </c>
      <c r="I123" s="137">
        <f t="shared" si="28"/>
        <v>5</v>
      </c>
      <c r="J123" s="137">
        <f t="shared" si="28"/>
        <v>5</v>
      </c>
      <c r="K123" s="137">
        <f t="shared" si="28"/>
        <v>5</v>
      </c>
      <c r="L123" s="137">
        <f t="shared" si="28"/>
        <v>5</v>
      </c>
      <c r="M123" s="137">
        <f t="shared" si="28"/>
        <v>5</v>
      </c>
      <c r="N123" s="137">
        <f t="shared" si="28"/>
        <v>5</v>
      </c>
      <c r="O123" s="137">
        <f t="shared" si="28"/>
        <v>5</v>
      </c>
      <c r="P123" s="137">
        <f t="shared" si="28"/>
        <v>5</v>
      </c>
      <c r="Q123" s="137">
        <f t="shared" si="28"/>
        <v>5</v>
      </c>
      <c r="R123" s="137">
        <f t="shared" si="28"/>
        <v>5</v>
      </c>
      <c r="S123" s="137">
        <f t="shared" si="27"/>
        <v>5</v>
      </c>
      <c r="T123" s="137">
        <f t="shared" si="27"/>
        <v>5</v>
      </c>
      <c r="U123" s="137">
        <f t="shared" si="27"/>
        <v>5</v>
      </c>
      <c r="V123" s="137">
        <f t="shared" si="27"/>
        <v>5</v>
      </c>
      <c r="W123" s="137">
        <f t="shared" si="27"/>
        <v>5</v>
      </c>
      <c r="X123" s="137">
        <f t="shared" si="27"/>
        <v>5</v>
      </c>
      <c r="Y123" s="137">
        <f t="shared" si="27"/>
        <v>5</v>
      </c>
      <c r="Z123" s="137">
        <f t="shared" si="27"/>
        <v>5</v>
      </c>
      <c r="AA123" s="137">
        <f t="shared" si="27"/>
        <v>5</v>
      </c>
      <c r="AB123" s="137">
        <f t="shared" si="27"/>
        <v>5</v>
      </c>
      <c r="AC123" s="137">
        <f t="shared" si="27"/>
        <v>5</v>
      </c>
      <c r="AD123" s="137">
        <f t="shared" si="27"/>
        <v>5</v>
      </c>
      <c r="AE123" s="137">
        <f t="shared" si="27"/>
        <v>5</v>
      </c>
      <c r="AF123" s="137">
        <f t="shared" si="27"/>
        <v>5</v>
      </c>
      <c r="AG123" s="139">
        <v>6.4</v>
      </c>
      <c r="AH123" s="56"/>
      <c r="AI123" s="57"/>
      <c r="AK123" s="58"/>
    </row>
    <row r="124" spans="1:37" x14ac:dyDescent="0.25">
      <c r="A124" s="124" t="s">
        <v>127</v>
      </c>
      <c r="B124" s="136">
        <v>1</v>
      </c>
      <c r="C124" s="137">
        <f t="shared" si="28"/>
        <v>1</v>
      </c>
      <c r="D124" s="137">
        <f t="shared" si="28"/>
        <v>1</v>
      </c>
      <c r="E124" s="137">
        <f t="shared" si="28"/>
        <v>1</v>
      </c>
      <c r="F124" s="137">
        <f t="shared" si="28"/>
        <v>1</v>
      </c>
      <c r="G124" s="137">
        <f t="shared" si="28"/>
        <v>1</v>
      </c>
      <c r="H124" s="137">
        <f t="shared" si="28"/>
        <v>1</v>
      </c>
      <c r="I124" s="137">
        <f t="shared" si="28"/>
        <v>1</v>
      </c>
      <c r="J124" s="137">
        <f t="shared" si="28"/>
        <v>1</v>
      </c>
      <c r="K124" s="137">
        <f t="shared" si="28"/>
        <v>1</v>
      </c>
      <c r="L124" s="137">
        <f t="shared" si="28"/>
        <v>1</v>
      </c>
      <c r="M124" s="137">
        <f t="shared" si="28"/>
        <v>1</v>
      </c>
      <c r="N124" s="137">
        <f t="shared" si="28"/>
        <v>1</v>
      </c>
      <c r="O124" s="137">
        <f t="shared" si="28"/>
        <v>1</v>
      </c>
      <c r="P124" s="137">
        <f t="shared" si="28"/>
        <v>1</v>
      </c>
      <c r="Q124" s="137">
        <f t="shared" si="28"/>
        <v>1</v>
      </c>
      <c r="R124" s="137">
        <f t="shared" si="28"/>
        <v>1</v>
      </c>
      <c r="S124" s="137">
        <f t="shared" si="27"/>
        <v>1</v>
      </c>
      <c r="T124" s="137">
        <f t="shared" si="27"/>
        <v>1</v>
      </c>
      <c r="U124" s="137">
        <f t="shared" si="27"/>
        <v>1</v>
      </c>
      <c r="V124" s="137">
        <f t="shared" si="27"/>
        <v>1</v>
      </c>
      <c r="W124" s="137">
        <f t="shared" si="27"/>
        <v>1</v>
      </c>
      <c r="X124" s="137">
        <f t="shared" si="27"/>
        <v>1</v>
      </c>
      <c r="Y124" s="137">
        <f t="shared" si="27"/>
        <v>1</v>
      </c>
      <c r="Z124" s="137">
        <f t="shared" si="27"/>
        <v>1</v>
      </c>
      <c r="AA124" s="137">
        <f t="shared" si="27"/>
        <v>1</v>
      </c>
      <c r="AB124" s="137">
        <f t="shared" si="27"/>
        <v>1</v>
      </c>
      <c r="AC124" s="137">
        <f t="shared" si="27"/>
        <v>1</v>
      </c>
      <c r="AD124" s="137">
        <f t="shared" si="27"/>
        <v>1</v>
      </c>
      <c r="AE124" s="137">
        <f t="shared" si="27"/>
        <v>1</v>
      </c>
      <c r="AF124" s="137">
        <f t="shared" si="27"/>
        <v>1</v>
      </c>
      <c r="AG124" s="139">
        <v>6</v>
      </c>
      <c r="AH124" s="56"/>
      <c r="AI124" s="57"/>
      <c r="AK124" s="58"/>
    </row>
    <row r="125" spans="1:37" x14ac:dyDescent="0.25">
      <c r="A125" s="124" t="s">
        <v>128</v>
      </c>
      <c r="B125" s="136">
        <v>1.58</v>
      </c>
      <c r="C125" s="137">
        <f t="shared" si="28"/>
        <v>1.58</v>
      </c>
      <c r="D125" s="137">
        <f t="shared" si="28"/>
        <v>1.58</v>
      </c>
      <c r="E125" s="137">
        <f t="shared" si="28"/>
        <v>1.58</v>
      </c>
      <c r="F125" s="137">
        <f t="shared" si="28"/>
        <v>1.58</v>
      </c>
      <c r="G125" s="137">
        <f t="shared" si="28"/>
        <v>1.58</v>
      </c>
      <c r="H125" s="137">
        <f t="shared" si="28"/>
        <v>1.58</v>
      </c>
      <c r="I125" s="137">
        <f t="shared" si="28"/>
        <v>1.58</v>
      </c>
      <c r="J125" s="137">
        <f t="shared" si="28"/>
        <v>1.58</v>
      </c>
      <c r="K125" s="137">
        <f t="shared" si="28"/>
        <v>1.58</v>
      </c>
      <c r="L125" s="137">
        <f t="shared" si="28"/>
        <v>1.58</v>
      </c>
      <c r="M125" s="137">
        <f t="shared" si="28"/>
        <v>1.58</v>
      </c>
      <c r="N125" s="137">
        <f t="shared" si="28"/>
        <v>1.58</v>
      </c>
      <c r="O125" s="137">
        <f t="shared" si="28"/>
        <v>1.58</v>
      </c>
      <c r="P125" s="137">
        <f t="shared" si="28"/>
        <v>1.58</v>
      </c>
      <c r="Q125" s="137">
        <f t="shared" si="28"/>
        <v>1.58</v>
      </c>
      <c r="R125" s="137">
        <f t="shared" si="28"/>
        <v>1.58</v>
      </c>
      <c r="S125" s="137">
        <f t="shared" si="27"/>
        <v>1.58</v>
      </c>
      <c r="T125" s="137">
        <f t="shared" si="27"/>
        <v>1.58</v>
      </c>
      <c r="U125" s="137">
        <f t="shared" si="27"/>
        <v>1.58</v>
      </c>
      <c r="V125" s="137">
        <f t="shared" si="27"/>
        <v>1.58</v>
      </c>
      <c r="W125" s="137">
        <f t="shared" si="27"/>
        <v>1.58</v>
      </c>
      <c r="X125" s="137">
        <f t="shared" si="27"/>
        <v>1.58</v>
      </c>
      <c r="Y125" s="137">
        <f t="shared" si="27"/>
        <v>1.58</v>
      </c>
      <c r="Z125" s="137">
        <f t="shared" si="27"/>
        <v>1.58</v>
      </c>
      <c r="AA125" s="137">
        <f t="shared" si="27"/>
        <v>1.58</v>
      </c>
      <c r="AB125" s="137">
        <f t="shared" si="27"/>
        <v>1.58</v>
      </c>
      <c r="AC125" s="137">
        <f t="shared" si="27"/>
        <v>1.58</v>
      </c>
      <c r="AD125" s="137">
        <f t="shared" si="27"/>
        <v>1.58</v>
      </c>
      <c r="AE125" s="137">
        <f t="shared" si="27"/>
        <v>1.58</v>
      </c>
      <c r="AF125" s="137">
        <f t="shared" si="27"/>
        <v>1.58</v>
      </c>
      <c r="AG125" s="139">
        <v>5.0999999999999996</v>
      </c>
      <c r="AH125" s="56"/>
      <c r="AI125" s="57"/>
      <c r="AK125" s="58"/>
    </row>
    <row r="126" spans="1:37" x14ac:dyDescent="0.25">
      <c r="A126" s="124" t="s">
        <v>129</v>
      </c>
      <c r="B126" s="136">
        <v>1.46</v>
      </c>
      <c r="C126" s="137">
        <f t="shared" si="28"/>
        <v>1.46</v>
      </c>
      <c r="D126" s="137">
        <f t="shared" si="28"/>
        <v>1.46</v>
      </c>
      <c r="E126" s="137">
        <f t="shared" si="28"/>
        <v>1.46</v>
      </c>
      <c r="F126" s="137">
        <f t="shared" si="28"/>
        <v>1.46</v>
      </c>
      <c r="G126" s="137">
        <f t="shared" si="28"/>
        <v>1.46</v>
      </c>
      <c r="H126" s="137">
        <f t="shared" si="28"/>
        <v>1.46</v>
      </c>
      <c r="I126" s="137">
        <f t="shared" si="28"/>
        <v>1.46</v>
      </c>
      <c r="J126" s="137">
        <f t="shared" si="28"/>
        <v>1.46</v>
      </c>
      <c r="K126" s="137">
        <f t="shared" si="28"/>
        <v>1.46</v>
      </c>
      <c r="L126" s="137">
        <f t="shared" si="28"/>
        <v>1.46</v>
      </c>
      <c r="M126" s="137">
        <f t="shared" si="28"/>
        <v>1.46</v>
      </c>
      <c r="N126" s="137">
        <f t="shared" si="28"/>
        <v>1.46</v>
      </c>
      <c r="O126" s="137">
        <f t="shared" si="28"/>
        <v>1.46</v>
      </c>
      <c r="P126" s="137">
        <f t="shared" si="28"/>
        <v>1.46</v>
      </c>
      <c r="Q126" s="137">
        <f t="shared" si="28"/>
        <v>1.46</v>
      </c>
      <c r="R126" s="137">
        <f t="shared" si="28"/>
        <v>1.46</v>
      </c>
      <c r="S126" s="137">
        <f t="shared" ref="S126:AF127" si="29">R126</f>
        <v>1.46</v>
      </c>
      <c r="T126" s="137">
        <f t="shared" si="29"/>
        <v>1.46</v>
      </c>
      <c r="U126" s="137">
        <f t="shared" si="29"/>
        <v>1.46</v>
      </c>
      <c r="V126" s="137">
        <f t="shared" si="29"/>
        <v>1.46</v>
      </c>
      <c r="W126" s="137">
        <f t="shared" si="29"/>
        <v>1.46</v>
      </c>
      <c r="X126" s="137">
        <f t="shared" si="29"/>
        <v>1.46</v>
      </c>
      <c r="Y126" s="137">
        <f t="shared" si="29"/>
        <v>1.46</v>
      </c>
      <c r="Z126" s="137">
        <f t="shared" si="29"/>
        <v>1.46</v>
      </c>
      <c r="AA126" s="137">
        <f t="shared" si="29"/>
        <v>1.46</v>
      </c>
      <c r="AB126" s="137">
        <f t="shared" si="29"/>
        <v>1.46</v>
      </c>
      <c r="AC126" s="137">
        <f t="shared" si="29"/>
        <v>1.46</v>
      </c>
      <c r="AD126" s="137">
        <f t="shared" si="29"/>
        <v>1.46</v>
      </c>
      <c r="AE126" s="137">
        <f t="shared" si="29"/>
        <v>1.46</v>
      </c>
      <c r="AF126" s="137">
        <f t="shared" si="29"/>
        <v>1.46</v>
      </c>
      <c r="AG126" s="139">
        <v>5</v>
      </c>
      <c r="AH126" s="56"/>
      <c r="AI126" s="57"/>
      <c r="AK126" s="58"/>
    </row>
    <row r="127" spans="1:37" x14ac:dyDescent="0.25">
      <c r="A127" s="122" t="s">
        <v>130</v>
      </c>
      <c r="B127" s="136">
        <v>1.48</v>
      </c>
      <c r="C127" s="137">
        <f t="shared" si="28"/>
        <v>1.48</v>
      </c>
      <c r="D127" s="137">
        <f t="shared" si="28"/>
        <v>1.48</v>
      </c>
      <c r="E127" s="137">
        <f t="shared" si="28"/>
        <v>1.48</v>
      </c>
      <c r="F127" s="137">
        <f t="shared" si="28"/>
        <v>1.48</v>
      </c>
      <c r="G127" s="137">
        <f t="shared" si="28"/>
        <v>1.48</v>
      </c>
      <c r="H127" s="137">
        <f t="shared" si="28"/>
        <v>1.48</v>
      </c>
      <c r="I127" s="137">
        <f t="shared" si="28"/>
        <v>1.48</v>
      </c>
      <c r="J127" s="137">
        <f t="shared" si="28"/>
        <v>1.48</v>
      </c>
      <c r="K127" s="137">
        <f t="shared" si="28"/>
        <v>1.48</v>
      </c>
      <c r="L127" s="137">
        <f t="shared" si="28"/>
        <v>1.48</v>
      </c>
      <c r="M127" s="137">
        <f t="shared" si="28"/>
        <v>1.48</v>
      </c>
      <c r="N127" s="137">
        <f t="shared" si="28"/>
        <v>1.48</v>
      </c>
      <c r="O127" s="137">
        <f t="shared" si="28"/>
        <v>1.48</v>
      </c>
      <c r="P127" s="137">
        <f t="shared" si="28"/>
        <v>1.48</v>
      </c>
      <c r="Q127" s="137">
        <f t="shared" si="28"/>
        <v>1.48</v>
      </c>
      <c r="R127" s="137">
        <f t="shared" si="28"/>
        <v>1.48</v>
      </c>
      <c r="S127" s="137">
        <f t="shared" si="29"/>
        <v>1.48</v>
      </c>
      <c r="T127" s="137">
        <f t="shared" si="29"/>
        <v>1.48</v>
      </c>
      <c r="U127" s="137">
        <f t="shared" si="29"/>
        <v>1.48</v>
      </c>
      <c r="V127" s="137">
        <f t="shared" si="29"/>
        <v>1.48</v>
      </c>
      <c r="W127" s="137">
        <f t="shared" si="29"/>
        <v>1.48</v>
      </c>
      <c r="X127" s="137">
        <f t="shared" si="29"/>
        <v>1.48</v>
      </c>
      <c r="Y127" s="137">
        <f t="shared" si="29"/>
        <v>1.48</v>
      </c>
      <c r="Z127" s="137">
        <f t="shared" si="29"/>
        <v>1.48</v>
      </c>
      <c r="AA127" s="137">
        <f t="shared" si="29"/>
        <v>1.48</v>
      </c>
      <c r="AB127" s="137">
        <f t="shared" si="29"/>
        <v>1.48</v>
      </c>
      <c r="AC127" s="137">
        <f t="shared" si="29"/>
        <v>1.48</v>
      </c>
      <c r="AD127" s="137">
        <f t="shared" si="29"/>
        <v>1.48</v>
      </c>
      <c r="AE127" s="137">
        <f t="shared" si="29"/>
        <v>1.48</v>
      </c>
      <c r="AF127" s="137">
        <f t="shared" si="29"/>
        <v>1.48</v>
      </c>
      <c r="AG127" s="138">
        <v>5</v>
      </c>
      <c r="AH127" s="56"/>
      <c r="AI127" s="57"/>
      <c r="AK127" s="58"/>
    </row>
    <row r="128" spans="1:37" x14ac:dyDescent="0.25">
      <c r="A128" s="124" t="s">
        <v>131</v>
      </c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9">
        <v>5</v>
      </c>
      <c r="AH128" s="56"/>
      <c r="AI128" s="57"/>
      <c r="AK128" s="58"/>
    </row>
    <row r="129" spans="1:37" x14ac:dyDescent="0.25">
      <c r="A129" s="124" t="s">
        <v>132</v>
      </c>
      <c r="B129" s="136">
        <v>2.2000000000000002</v>
      </c>
      <c r="C129" s="137">
        <f t="shared" ref="C129:R136" si="30">B129</f>
        <v>2.2000000000000002</v>
      </c>
      <c r="D129" s="137">
        <f t="shared" si="30"/>
        <v>2.2000000000000002</v>
      </c>
      <c r="E129" s="137">
        <f t="shared" si="30"/>
        <v>2.2000000000000002</v>
      </c>
      <c r="F129" s="137">
        <f t="shared" si="30"/>
        <v>2.2000000000000002</v>
      </c>
      <c r="G129" s="137">
        <f t="shared" si="30"/>
        <v>2.2000000000000002</v>
      </c>
      <c r="H129" s="137">
        <f t="shared" si="30"/>
        <v>2.2000000000000002</v>
      </c>
      <c r="I129" s="137">
        <f t="shared" si="30"/>
        <v>2.2000000000000002</v>
      </c>
      <c r="J129" s="137">
        <f t="shared" si="30"/>
        <v>2.2000000000000002</v>
      </c>
      <c r="K129" s="137">
        <f t="shared" si="30"/>
        <v>2.2000000000000002</v>
      </c>
      <c r="L129" s="137">
        <f t="shared" si="30"/>
        <v>2.2000000000000002</v>
      </c>
      <c r="M129" s="137">
        <f t="shared" si="30"/>
        <v>2.2000000000000002</v>
      </c>
      <c r="N129" s="137">
        <f t="shared" si="30"/>
        <v>2.2000000000000002</v>
      </c>
      <c r="O129" s="137">
        <f t="shared" si="30"/>
        <v>2.2000000000000002</v>
      </c>
      <c r="P129" s="137">
        <f t="shared" si="30"/>
        <v>2.2000000000000002</v>
      </c>
      <c r="Q129" s="137">
        <f t="shared" si="30"/>
        <v>2.2000000000000002</v>
      </c>
      <c r="R129" s="137">
        <f t="shared" si="30"/>
        <v>2.2000000000000002</v>
      </c>
      <c r="S129" s="137">
        <f t="shared" ref="S129:AF136" si="31">R129</f>
        <v>2.2000000000000002</v>
      </c>
      <c r="T129" s="137">
        <f t="shared" si="31"/>
        <v>2.2000000000000002</v>
      </c>
      <c r="U129" s="137">
        <f t="shared" si="31"/>
        <v>2.2000000000000002</v>
      </c>
      <c r="V129" s="137">
        <f t="shared" si="31"/>
        <v>2.2000000000000002</v>
      </c>
      <c r="W129" s="137">
        <f t="shared" si="31"/>
        <v>2.2000000000000002</v>
      </c>
      <c r="X129" s="137">
        <f t="shared" si="31"/>
        <v>2.2000000000000002</v>
      </c>
      <c r="Y129" s="137">
        <f t="shared" si="31"/>
        <v>2.2000000000000002</v>
      </c>
      <c r="Z129" s="137">
        <f t="shared" si="31"/>
        <v>2.2000000000000002</v>
      </c>
      <c r="AA129" s="137">
        <f t="shared" si="31"/>
        <v>2.2000000000000002</v>
      </c>
      <c r="AB129" s="137">
        <f t="shared" si="31"/>
        <v>2.2000000000000002</v>
      </c>
      <c r="AC129" s="137">
        <f t="shared" si="31"/>
        <v>2.2000000000000002</v>
      </c>
      <c r="AD129" s="137">
        <f t="shared" si="31"/>
        <v>2.2000000000000002</v>
      </c>
      <c r="AE129" s="137">
        <f t="shared" si="31"/>
        <v>2.2000000000000002</v>
      </c>
      <c r="AF129" s="137">
        <f t="shared" si="31"/>
        <v>2.2000000000000002</v>
      </c>
      <c r="AG129" s="139">
        <v>5</v>
      </c>
      <c r="AH129" s="56"/>
      <c r="AI129" s="57"/>
      <c r="AK129" s="58"/>
    </row>
    <row r="130" spans="1:37" x14ac:dyDescent="0.25">
      <c r="A130" s="124" t="s">
        <v>133</v>
      </c>
      <c r="B130" s="136">
        <v>2</v>
      </c>
      <c r="C130" s="137">
        <f t="shared" si="30"/>
        <v>2</v>
      </c>
      <c r="D130" s="137">
        <f t="shared" si="30"/>
        <v>2</v>
      </c>
      <c r="E130" s="137">
        <f t="shared" si="30"/>
        <v>2</v>
      </c>
      <c r="F130" s="137">
        <f t="shared" si="30"/>
        <v>2</v>
      </c>
      <c r="G130" s="137">
        <f t="shared" si="30"/>
        <v>2</v>
      </c>
      <c r="H130" s="137">
        <f t="shared" si="30"/>
        <v>2</v>
      </c>
      <c r="I130" s="137">
        <f t="shared" si="30"/>
        <v>2</v>
      </c>
      <c r="J130" s="137">
        <f t="shared" si="30"/>
        <v>2</v>
      </c>
      <c r="K130" s="137">
        <f t="shared" si="30"/>
        <v>2</v>
      </c>
      <c r="L130" s="137">
        <f t="shared" si="30"/>
        <v>2</v>
      </c>
      <c r="M130" s="137">
        <f t="shared" si="30"/>
        <v>2</v>
      </c>
      <c r="N130" s="137">
        <f t="shared" si="30"/>
        <v>2</v>
      </c>
      <c r="O130" s="137">
        <f t="shared" si="30"/>
        <v>2</v>
      </c>
      <c r="P130" s="137">
        <f t="shared" si="30"/>
        <v>2</v>
      </c>
      <c r="Q130" s="137">
        <f t="shared" si="30"/>
        <v>2</v>
      </c>
      <c r="R130" s="137">
        <f t="shared" si="30"/>
        <v>2</v>
      </c>
      <c r="S130" s="137">
        <f t="shared" si="31"/>
        <v>2</v>
      </c>
      <c r="T130" s="137">
        <f t="shared" si="31"/>
        <v>2</v>
      </c>
      <c r="U130" s="137">
        <f t="shared" si="31"/>
        <v>2</v>
      </c>
      <c r="V130" s="137">
        <f t="shared" si="31"/>
        <v>2</v>
      </c>
      <c r="W130" s="137">
        <f t="shared" si="31"/>
        <v>2</v>
      </c>
      <c r="X130" s="137">
        <f t="shared" si="31"/>
        <v>2</v>
      </c>
      <c r="Y130" s="137">
        <f t="shared" si="31"/>
        <v>2</v>
      </c>
      <c r="Z130" s="137">
        <f t="shared" si="31"/>
        <v>2</v>
      </c>
      <c r="AA130" s="137">
        <f t="shared" si="31"/>
        <v>2</v>
      </c>
      <c r="AB130" s="137">
        <f t="shared" si="31"/>
        <v>2</v>
      </c>
      <c r="AC130" s="137">
        <f t="shared" si="31"/>
        <v>2</v>
      </c>
      <c r="AD130" s="137">
        <f t="shared" si="31"/>
        <v>2</v>
      </c>
      <c r="AE130" s="137">
        <f t="shared" si="31"/>
        <v>2</v>
      </c>
      <c r="AF130" s="137">
        <f t="shared" si="31"/>
        <v>2</v>
      </c>
      <c r="AG130" s="139">
        <v>5</v>
      </c>
      <c r="AH130" s="56"/>
      <c r="AI130" s="57"/>
      <c r="AK130" s="58"/>
    </row>
    <row r="131" spans="1:37" x14ac:dyDescent="0.25">
      <c r="A131" s="124" t="s">
        <v>134</v>
      </c>
      <c r="B131" s="136">
        <v>1.25</v>
      </c>
      <c r="C131" s="137">
        <f t="shared" si="30"/>
        <v>1.25</v>
      </c>
      <c r="D131" s="137">
        <f t="shared" si="30"/>
        <v>1.25</v>
      </c>
      <c r="E131" s="137">
        <f t="shared" si="30"/>
        <v>1.25</v>
      </c>
      <c r="F131" s="137">
        <f t="shared" si="30"/>
        <v>1.25</v>
      </c>
      <c r="G131" s="137">
        <f t="shared" si="30"/>
        <v>1.25</v>
      </c>
      <c r="H131" s="137">
        <f t="shared" si="30"/>
        <v>1.25</v>
      </c>
      <c r="I131" s="137">
        <f t="shared" si="30"/>
        <v>1.25</v>
      </c>
      <c r="J131" s="137">
        <f t="shared" si="30"/>
        <v>1.25</v>
      </c>
      <c r="K131" s="137">
        <f t="shared" si="30"/>
        <v>1.25</v>
      </c>
      <c r="L131" s="137">
        <f t="shared" si="30"/>
        <v>1.25</v>
      </c>
      <c r="M131" s="137">
        <f t="shared" si="30"/>
        <v>1.25</v>
      </c>
      <c r="N131" s="137">
        <f t="shared" si="30"/>
        <v>1.25</v>
      </c>
      <c r="O131" s="137">
        <f t="shared" si="30"/>
        <v>1.25</v>
      </c>
      <c r="P131" s="137">
        <f t="shared" si="30"/>
        <v>1.25</v>
      </c>
      <c r="Q131" s="137">
        <f t="shared" si="30"/>
        <v>1.25</v>
      </c>
      <c r="R131" s="137">
        <f t="shared" si="30"/>
        <v>1.25</v>
      </c>
      <c r="S131" s="137">
        <f t="shared" si="31"/>
        <v>1.25</v>
      </c>
      <c r="T131" s="137">
        <f t="shared" si="31"/>
        <v>1.25</v>
      </c>
      <c r="U131" s="137">
        <f t="shared" si="31"/>
        <v>1.25</v>
      </c>
      <c r="V131" s="137">
        <f t="shared" si="31"/>
        <v>1.25</v>
      </c>
      <c r="W131" s="137">
        <f t="shared" si="31"/>
        <v>1.25</v>
      </c>
      <c r="X131" s="137">
        <f t="shared" si="31"/>
        <v>1.25</v>
      </c>
      <c r="Y131" s="137">
        <f t="shared" si="31"/>
        <v>1.25</v>
      </c>
      <c r="Z131" s="137">
        <f t="shared" si="31"/>
        <v>1.25</v>
      </c>
      <c r="AA131" s="137">
        <f t="shared" si="31"/>
        <v>1.25</v>
      </c>
      <c r="AB131" s="137">
        <f t="shared" si="31"/>
        <v>1.25</v>
      </c>
      <c r="AC131" s="137">
        <f t="shared" si="31"/>
        <v>1.25</v>
      </c>
      <c r="AD131" s="137">
        <f t="shared" si="31"/>
        <v>1.25</v>
      </c>
      <c r="AE131" s="137">
        <f t="shared" si="31"/>
        <v>1.25</v>
      </c>
      <c r="AF131" s="137">
        <f t="shared" si="31"/>
        <v>1.25</v>
      </c>
      <c r="AG131" s="139">
        <v>5</v>
      </c>
      <c r="AH131" s="56"/>
      <c r="AI131" s="57"/>
      <c r="AK131" s="58"/>
    </row>
    <row r="132" spans="1:37" x14ac:dyDescent="0.25">
      <c r="A132" s="124" t="s">
        <v>135</v>
      </c>
      <c r="B132" s="136">
        <v>1.1499999999999999</v>
      </c>
      <c r="C132" s="137">
        <f t="shared" si="30"/>
        <v>1.1499999999999999</v>
      </c>
      <c r="D132" s="137">
        <f t="shared" si="30"/>
        <v>1.1499999999999999</v>
      </c>
      <c r="E132" s="137">
        <f t="shared" si="30"/>
        <v>1.1499999999999999</v>
      </c>
      <c r="F132" s="137">
        <f t="shared" si="30"/>
        <v>1.1499999999999999</v>
      </c>
      <c r="G132" s="137">
        <f t="shared" si="30"/>
        <v>1.1499999999999999</v>
      </c>
      <c r="H132" s="137">
        <f t="shared" si="30"/>
        <v>1.1499999999999999</v>
      </c>
      <c r="I132" s="137">
        <f t="shared" si="30"/>
        <v>1.1499999999999999</v>
      </c>
      <c r="J132" s="137">
        <f t="shared" si="30"/>
        <v>1.1499999999999999</v>
      </c>
      <c r="K132" s="137">
        <f t="shared" si="30"/>
        <v>1.1499999999999999</v>
      </c>
      <c r="L132" s="137">
        <f t="shared" si="30"/>
        <v>1.1499999999999999</v>
      </c>
      <c r="M132" s="137">
        <f t="shared" si="30"/>
        <v>1.1499999999999999</v>
      </c>
      <c r="N132" s="137">
        <f t="shared" si="30"/>
        <v>1.1499999999999999</v>
      </c>
      <c r="O132" s="137">
        <f t="shared" si="30"/>
        <v>1.1499999999999999</v>
      </c>
      <c r="P132" s="137">
        <f t="shared" si="30"/>
        <v>1.1499999999999999</v>
      </c>
      <c r="Q132" s="137">
        <f t="shared" si="30"/>
        <v>1.1499999999999999</v>
      </c>
      <c r="R132" s="137">
        <f t="shared" si="30"/>
        <v>1.1499999999999999</v>
      </c>
      <c r="S132" s="137">
        <f t="shared" si="31"/>
        <v>1.1499999999999999</v>
      </c>
      <c r="T132" s="137">
        <f t="shared" si="31"/>
        <v>1.1499999999999999</v>
      </c>
      <c r="U132" s="137">
        <f t="shared" si="31"/>
        <v>1.1499999999999999</v>
      </c>
      <c r="V132" s="137">
        <f t="shared" si="31"/>
        <v>1.1499999999999999</v>
      </c>
      <c r="W132" s="137">
        <f t="shared" si="31"/>
        <v>1.1499999999999999</v>
      </c>
      <c r="X132" s="137">
        <f t="shared" si="31"/>
        <v>1.1499999999999999</v>
      </c>
      <c r="Y132" s="137">
        <f t="shared" si="31"/>
        <v>1.1499999999999999</v>
      </c>
      <c r="Z132" s="137">
        <f t="shared" si="31"/>
        <v>1.1499999999999999</v>
      </c>
      <c r="AA132" s="137">
        <f t="shared" si="31"/>
        <v>1.1499999999999999</v>
      </c>
      <c r="AB132" s="137">
        <f t="shared" si="31"/>
        <v>1.1499999999999999</v>
      </c>
      <c r="AC132" s="137">
        <f t="shared" si="31"/>
        <v>1.1499999999999999</v>
      </c>
      <c r="AD132" s="137">
        <f t="shared" si="31"/>
        <v>1.1499999999999999</v>
      </c>
      <c r="AE132" s="137">
        <f t="shared" si="31"/>
        <v>1.1499999999999999</v>
      </c>
      <c r="AF132" s="137">
        <f t="shared" si="31"/>
        <v>1.1499999999999999</v>
      </c>
      <c r="AG132" s="139">
        <v>5</v>
      </c>
      <c r="AH132" s="56"/>
      <c r="AI132" s="57"/>
      <c r="AK132" s="58"/>
    </row>
    <row r="133" spans="1:37" x14ac:dyDescent="0.25">
      <c r="A133" s="124" t="s">
        <v>136</v>
      </c>
      <c r="B133" s="136">
        <v>2.133</v>
      </c>
      <c r="C133" s="137">
        <f t="shared" si="30"/>
        <v>2.133</v>
      </c>
      <c r="D133" s="137">
        <f t="shared" si="30"/>
        <v>2.133</v>
      </c>
      <c r="E133" s="137">
        <f t="shared" si="30"/>
        <v>2.133</v>
      </c>
      <c r="F133" s="137">
        <f t="shared" si="30"/>
        <v>2.133</v>
      </c>
      <c r="G133" s="137">
        <f t="shared" si="30"/>
        <v>2.133</v>
      </c>
      <c r="H133" s="137">
        <f t="shared" si="30"/>
        <v>2.133</v>
      </c>
      <c r="I133" s="137">
        <f t="shared" si="30"/>
        <v>2.133</v>
      </c>
      <c r="J133" s="137">
        <f t="shared" si="30"/>
        <v>2.133</v>
      </c>
      <c r="K133" s="137">
        <f t="shared" si="30"/>
        <v>2.133</v>
      </c>
      <c r="L133" s="137">
        <f t="shared" si="30"/>
        <v>2.133</v>
      </c>
      <c r="M133" s="137">
        <f t="shared" si="30"/>
        <v>2.133</v>
      </c>
      <c r="N133" s="137">
        <f t="shared" si="30"/>
        <v>2.133</v>
      </c>
      <c r="O133" s="137">
        <f t="shared" si="30"/>
        <v>2.133</v>
      </c>
      <c r="P133" s="137">
        <f t="shared" si="30"/>
        <v>2.133</v>
      </c>
      <c r="Q133" s="137">
        <f t="shared" si="30"/>
        <v>2.133</v>
      </c>
      <c r="R133" s="137">
        <f t="shared" si="30"/>
        <v>2.133</v>
      </c>
      <c r="S133" s="137">
        <f t="shared" si="31"/>
        <v>2.133</v>
      </c>
      <c r="T133" s="137">
        <f t="shared" si="31"/>
        <v>2.133</v>
      </c>
      <c r="U133" s="137">
        <f t="shared" si="31"/>
        <v>2.133</v>
      </c>
      <c r="V133" s="137">
        <f t="shared" si="31"/>
        <v>2.133</v>
      </c>
      <c r="W133" s="137">
        <f t="shared" si="31"/>
        <v>2.133</v>
      </c>
      <c r="X133" s="137">
        <f t="shared" si="31"/>
        <v>2.133</v>
      </c>
      <c r="Y133" s="137">
        <f t="shared" si="31"/>
        <v>2.133</v>
      </c>
      <c r="Z133" s="137">
        <f t="shared" si="31"/>
        <v>2.133</v>
      </c>
      <c r="AA133" s="137">
        <f t="shared" si="31"/>
        <v>2.133</v>
      </c>
      <c r="AB133" s="137">
        <f t="shared" si="31"/>
        <v>2.133</v>
      </c>
      <c r="AC133" s="137">
        <f t="shared" si="31"/>
        <v>2.133</v>
      </c>
      <c r="AD133" s="137">
        <f t="shared" si="31"/>
        <v>2.133</v>
      </c>
      <c r="AE133" s="137">
        <f t="shared" si="31"/>
        <v>2.133</v>
      </c>
      <c r="AF133" s="137">
        <f t="shared" si="31"/>
        <v>2.133</v>
      </c>
      <c r="AG133" s="139">
        <v>4.9930000000000003</v>
      </c>
      <c r="AH133" s="56"/>
      <c r="AI133" s="57"/>
      <c r="AK133" s="58"/>
    </row>
    <row r="134" spans="1:37" x14ac:dyDescent="0.25">
      <c r="A134" s="124" t="s">
        <v>137</v>
      </c>
      <c r="B134" s="136">
        <v>2.09</v>
      </c>
      <c r="C134" s="137">
        <f t="shared" si="30"/>
        <v>2.09</v>
      </c>
      <c r="D134" s="137">
        <f t="shared" si="30"/>
        <v>2.09</v>
      </c>
      <c r="E134" s="137">
        <f t="shared" si="30"/>
        <v>2.09</v>
      </c>
      <c r="F134" s="137">
        <f t="shared" si="30"/>
        <v>2.09</v>
      </c>
      <c r="G134" s="137">
        <f t="shared" si="30"/>
        <v>2.09</v>
      </c>
      <c r="H134" s="137">
        <f t="shared" si="30"/>
        <v>2.09</v>
      </c>
      <c r="I134" s="137">
        <f t="shared" si="30"/>
        <v>2.09</v>
      </c>
      <c r="J134" s="137">
        <f t="shared" si="30"/>
        <v>2.09</v>
      </c>
      <c r="K134" s="137">
        <f t="shared" si="30"/>
        <v>2.09</v>
      </c>
      <c r="L134" s="137">
        <f t="shared" si="30"/>
        <v>2.09</v>
      </c>
      <c r="M134" s="137">
        <f t="shared" si="30"/>
        <v>2.09</v>
      </c>
      <c r="N134" s="137">
        <f t="shared" si="30"/>
        <v>2.09</v>
      </c>
      <c r="O134" s="137">
        <f t="shared" si="30"/>
        <v>2.09</v>
      </c>
      <c r="P134" s="137">
        <f t="shared" si="30"/>
        <v>2.09</v>
      </c>
      <c r="Q134" s="137">
        <f t="shared" si="30"/>
        <v>2.09</v>
      </c>
      <c r="R134" s="137">
        <f t="shared" si="30"/>
        <v>2.09</v>
      </c>
      <c r="S134" s="137">
        <f t="shared" si="31"/>
        <v>2.09</v>
      </c>
      <c r="T134" s="137">
        <f t="shared" si="31"/>
        <v>2.09</v>
      </c>
      <c r="U134" s="137">
        <f t="shared" si="31"/>
        <v>2.09</v>
      </c>
      <c r="V134" s="137">
        <f t="shared" si="31"/>
        <v>2.09</v>
      </c>
      <c r="W134" s="137">
        <f t="shared" si="31"/>
        <v>2.09</v>
      </c>
      <c r="X134" s="137">
        <f t="shared" si="31"/>
        <v>2.09</v>
      </c>
      <c r="Y134" s="137">
        <f t="shared" si="31"/>
        <v>2.09</v>
      </c>
      <c r="Z134" s="137">
        <f t="shared" si="31"/>
        <v>2.09</v>
      </c>
      <c r="AA134" s="137">
        <f t="shared" si="31"/>
        <v>2.09</v>
      </c>
      <c r="AB134" s="137">
        <f t="shared" si="31"/>
        <v>2.09</v>
      </c>
      <c r="AC134" s="137">
        <f t="shared" si="31"/>
        <v>2.09</v>
      </c>
      <c r="AD134" s="137">
        <f t="shared" si="31"/>
        <v>2.09</v>
      </c>
      <c r="AE134" s="137">
        <f t="shared" si="31"/>
        <v>2.09</v>
      </c>
      <c r="AF134" s="137">
        <f t="shared" si="31"/>
        <v>2.09</v>
      </c>
      <c r="AG134" s="139">
        <v>4.9800000000000004</v>
      </c>
      <c r="AH134" s="56"/>
      <c r="AI134" s="57"/>
      <c r="AK134" s="58"/>
    </row>
    <row r="135" spans="1:37" x14ac:dyDescent="0.25">
      <c r="A135" s="124" t="s">
        <v>138</v>
      </c>
      <c r="B135" s="136">
        <v>1.1399999999999999</v>
      </c>
      <c r="C135" s="137">
        <f t="shared" si="30"/>
        <v>1.1399999999999999</v>
      </c>
      <c r="D135" s="137">
        <f t="shared" si="30"/>
        <v>1.1399999999999999</v>
      </c>
      <c r="E135" s="137">
        <f t="shared" si="30"/>
        <v>1.1399999999999999</v>
      </c>
      <c r="F135" s="137">
        <f t="shared" si="30"/>
        <v>1.1399999999999999</v>
      </c>
      <c r="G135" s="137">
        <f t="shared" si="30"/>
        <v>1.1399999999999999</v>
      </c>
      <c r="H135" s="137">
        <f t="shared" si="30"/>
        <v>1.1399999999999999</v>
      </c>
      <c r="I135" s="137">
        <f t="shared" si="30"/>
        <v>1.1399999999999999</v>
      </c>
      <c r="J135" s="137">
        <f t="shared" si="30"/>
        <v>1.1399999999999999</v>
      </c>
      <c r="K135" s="137">
        <f t="shared" si="30"/>
        <v>1.1399999999999999</v>
      </c>
      <c r="L135" s="137">
        <f t="shared" si="30"/>
        <v>1.1399999999999999</v>
      </c>
      <c r="M135" s="137">
        <f t="shared" si="30"/>
        <v>1.1399999999999999</v>
      </c>
      <c r="N135" s="137">
        <f t="shared" si="30"/>
        <v>1.1399999999999999</v>
      </c>
      <c r="O135" s="137">
        <f t="shared" si="30"/>
        <v>1.1399999999999999</v>
      </c>
      <c r="P135" s="137">
        <f t="shared" si="30"/>
        <v>1.1399999999999999</v>
      </c>
      <c r="Q135" s="137">
        <f t="shared" si="30"/>
        <v>1.1399999999999999</v>
      </c>
      <c r="R135" s="137">
        <f t="shared" si="30"/>
        <v>1.1399999999999999</v>
      </c>
      <c r="S135" s="137">
        <f t="shared" si="31"/>
        <v>1.1399999999999999</v>
      </c>
      <c r="T135" s="137">
        <f t="shared" si="31"/>
        <v>1.1399999999999999</v>
      </c>
      <c r="U135" s="137">
        <f t="shared" si="31"/>
        <v>1.1399999999999999</v>
      </c>
      <c r="V135" s="137">
        <f t="shared" si="31"/>
        <v>1.1399999999999999</v>
      </c>
      <c r="W135" s="137">
        <f t="shared" si="31"/>
        <v>1.1399999999999999</v>
      </c>
      <c r="X135" s="137">
        <f t="shared" si="31"/>
        <v>1.1399999999999999</v>
      </c>
      <c r="Y135" s="137">
        <f t="shared" si="31"/>
        <v>1.1399999999999999</v>
      </c>
      <c r="Z135" s="137">
        <f t="shared" si="31"/>
        <v>1.1399999999999999</v>
      </c>
      <c r="AA135" s="137">
        <f t="shared" si="31"/>
        <v>1.1399999999999999</v>
      </c>
      <c r="AB135" s="137">
        <f t="shared" si="31"/>
        <v>1.1399999999999999</v>
      </c>
      <c r="AC135" s="137">
        <f t="shared" si="31"/>
        <v>1.1399999999999999</v>
      </c>
      <c r="AD135" s="137">
        <f t="shared" si="31"/>
        <v>1.1399999999999999</v>
      </c>
      <c r="AE135" s="137">
        <f t="shared" si="31"/>
        <v>1.1399999999999999</v>
      </c>
      <c r="AF135" s="137">
        <f t="shared" si="31"/>
        <v>1.1399999999999999</v>
      </c>
      <c r="AG135" s="139">
        <v>4.95</v>
      </c>
      <c r="AH135" s="56"/>
      <c r="AI135" s="57"/>
      <c r="AK135" s="58"/>
    </row>
    <row r="136" spans="1:37" x14ac:dyDescent="0.25">
      <c r="A136" s="124" t="s">
        <v>139</v>
      </c>
      <c r="B136" s="136">
        <v>0.82</v>
      </c>
      <c r="C136" s="137">
        <f t="shared" si="30"/>
        <v>0.82</v>
      </c>
      <c r="D136" s="137">
        <f t="shared" si="30"/>
        <v>0.82</v>
      </c>
      <c r="E136" s="137">
        <f t="shared" si="30"/>
        <v>0.82</v>
      </c>
      <c r="F136" s="137">
        <f t="shared" si="30"/>
        <v>0.82</v>
      </c>
      <c r="G136" s="137">
        <f t="shared" si="30"/>
        <v>0.82</v>
      </c>
      <c r="H136" s="137">
        <f t="shared" si="30"/>
        <v>0.82</v>
      </c>
      <c r="I136" s="137">
        <f t="shared" si="30"/>
        <v>0.82</v>
      </c>
      <c r="J136" s="137">
        <f t="shared" si="30"/>
        <v>0.82</v>
      </c>
      <c r="K136" s="137">
        <f t="shared" si="30"/>
        <v>0.82</v>
      </c>
      <c r="L136" s="137">
        <f t="shared" si="30"/>
        <v>0.82</v>
      </c>
      <c r="M136" s="137">
        <f t="shared" si="30"/>
        <v>0.82</v>
      </c>
      <c r="N136" s="137">
        <f t="shared" si="30"/>
        <v>0.82</v>
      </c>
      <c r="O136" s="137">
        <f t="shared" si="30"/>
        <v>0.82</v>
      </c>
      <c r="P136" s="137">
        <f t="shared" si="30"/>
        <v>0.82</v>
      </c>
      <c r="Q136" s="137">
        <f t="shared" si="30"/>
        <v>0.82</v>
      </c>
      <c r="R136" s="137">
        <f t="shared" si="30"/>
        <v>0.82</v>
      </c>
      <c r="S136" s="137">
        <f t="shared" si="31"/>
        <v>0.82</v>
      </c>
      <c r="T136" s="137">
        <f t="shared" si="31"/>
        <v>0.82</v>
      </c>
      <c r="U136" s="137">
        <f t="shared" si="31"/>
        <v>0.82</v>
      </c>
      <c r="V136" s="137">
        <f t="shared" si="31"/>
        <v>0.82</v>
      </c>
      <c r="W136" s="137">
        <f t="shared" si="31"/>
        <v>0.82</v>
      </c>
      <c r="X136" s="137">
        <f t="shared" si="31"/>
        <v>0.82</v>
      </c>
      <c r="Y136" s="137">
        <f t="shared" si="31"/>
        <v>0.82</v>
      </c>
      <c r="Z136" s="137">
        <f t="shared" si="31"/>
        <v>0.82</v>
      </c>
      <c r="AA136" s="137">
        <f t="shared" si="31"/>
        <v>0.82</v>
      </c>
      <c r="AB136" s="137">
        <f t="shared" si="31"/>
        <v>0.82</v>
      </c>
      <c r="AC136" s="137">
        <f t="shared" si="31"/>
        <v>0.82</v>
      </c>
      <c r="AD136" s="137">
        <f t="shared" si="31"/>
        <v>0.82</v>
      </c>
      <c r="AE136" s="137">
        <f t="shared" si="31"/>
        <v>0.82</v>
      </c>
      <c r="AF136" s="137">
        <f t="shared" si="31"/>
        <v>0.82</v>
      </c>
      <c r="AG136" s="139">
        <v>4.95</v>
      </c>
      <c r="AH136" s="56"/>
      <c r="AI136" s="57"/>
      <c r="AK136" s="58"/>
    </row>
    <row r="137" spans="1:37" x14ac:dyDescent="0.25">
      <c r="A137" s="124" t="s">
        <v>140</v>
      </c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9">
        <v>4.8</v>
      </c>
      <c r="AH137" s="56"/>
      <c r="AI137" s="57"/>
      <c r="AK137" s="58"/>
    </row>
    <row r="138" spans="1:37" x14ac:dyDescent="0.25">
      <c r="A138" s="124" t="s">
        <v>141</v>
      </c>
      <c r="B138" s="136">
        <v>2</v>
      </c>
      <c r="C138" s="137">
        <f t="shared" ref="C138:R144" si="32">B138</f>
        <v>2</v>
      </c>
      <c r="D138" s="137">
        <f t="shared" si="32"/>
        <v>2</v>
      </c>
      <c r="E138" s="137">
        <f t="shared" si="32"/>
        <v>2</v>
      </c>
      <c r="F138" s="137">
        <f t="shared" si="32"/>
        <v>2</v>
      </c>
      <c r="G138" s="137">
        <f t="shared" si="32"/>
        <v>2</v>
      </c>
      <c r="H138" s="137">
        <f t="shared" si="32"/>
        <v>2</v>
      </c>
      <c r="I138" s="137">
        <f t="shared" si="32"/>
        <v>2</v>
      </c>
      <c r="J138" s="137">
        <f t="shared" si="32"/>
        <v>2</v>
      </c>
      <c r="K138" s="137">
        <f t="shared" si="32"/>
        <v>2</v>
      </c>
      <c r="L138" s="137">
        <f t="shared" si="32"/>
        <v>2</v>
      </c>
      <c r="M138" s="137">
        <f t="shared" si="32"/>
        <v>2</v>
      </c>
      <c r="N138" s="137">
        <f t="shared" si="32"/>
        <v>2</v>
      </c>
      <c r="O138" s="137">
        <f t="shared" si="32"/>
        <v>2</v>
      </c>
      <c r="P138" s="137">
        <f t="shared" si="32"/>
        <v>2</v>
      </c>
      <c r="Q138" s="137">
        <f t="shared" si="32"/>
        <v>2</v>
      </c>
      <c r="R138" s="137">
        <f t="shared" si="32"/>
        <v>2</v>
      </c>
      <c r="S138" s="137">
        <f t="shared" ref="S138:AF144" si="33">R138</f>
        <v>2</v>
      </c>
      <c r="T138" s="137">
        <f t="shared" si="33"/>
        <v>2</v>
      </c>
      <c r="U138" s="137">
        <f t="shared" si="33"/>
        <v>2</v>
      </c>
      <c r="V138" s="137">
        <f t="shared" si="33"/>
        <v>2</v>
      </c>
      <c r="W138" s="137">
        <f t="shared" si="33"/>
        <v>2</v>
      </c>
      <c r="X138" s="137">
        <f t="shared" si="33"/>
        <v>2</v>
      </c>
      <c r="Y138" s="137">
        <f t="shared" si="33"/>
        <v>2</v>
      </c>
      <c r="Z138" s="137">
        <f t="shared" si="33"/>
        <v>2</v>
      </c>
      <c r="AA138" s="137">
        <f t="shared" si="33"/>
        <v>2</v>
      </c>
      <c r="AB138" s="137">
        <f t="shared" si="33"/>
        <v>2</v>
      </c>
      <c r="AC138" s="137">
        <f t="shared" si="33"/>
        <v>2</v>
      </c>
      <c r="AD138" s="137">
        <f t="shared" si="33"/>
        <v>2</v>
      </c>
      <c r="AE138" s="137">
        <f t="shared" si="33"/>
        <v>2</v>
      </c>
      <c r="AF138" s="137">
        <f t="shared" si="33"/>
        <v>2</v>
      </c>
      <c r="AG138" s="139">
        <v>4.8</v>
      </c>
      <c r="AH138" s="56"/>
      <c r="AI138" s="57"/>
      <c r="AK138" s="58"/>
    </row>
    <row r="139" spans="1:37" x14ac:dyDescent="0.25">
      <c r="A139" s="124" t="s">
        <v>142</v>
      </c>
      <c r="B139" s="136">
        <v>5.61</v>
      </c>
      <c r="C139" s="137">
        <f t="shared" si="32"/>
        <v>5.61</v>
      </c>
      <c r="D139" s="137">
        <f t="shared" si="32"/>
        <v>5.61</v>
      </c>
      <c r="E139" s="137">
        <f t="shared" si="32"/>
        <v>5.61</v>
      </c>
      <c r="F139" s="137">
        <f t="shared" si="32"/>
        <v>5.61</v>
      </c>
      <c r="G139" s="137">
        <f t="shared" si="32"/>
        <v>5.61</v>
      </c>
      <c r="H139" s="137">
        <f t="shared" si="32"/>
        <v>5.61</v>
      </c>
      <c r="I139" s="137">
        <f t="shared" si="32"/>
        <v>5.61</v>
      </c>
      <c r="J139" s="137">
        <f t="shared" si="32"/>
        <v>5.61</v>
      </c>
      <c r="K139" s="137">
        <f t="shared" si="32"/>
        <v>5.61</v>
      </c>
      <c r="L139" s="137">
        <f t="shared" si="32"/>
        <v>5.61</v>
      </c>
      <c r="M139" s="137">
        <f t="shared" si="32"/>
        <v>5.61</v>
      </c>
      <c r="N139" s="137">
        <f t="shared" si="32"/>
        <v>5.61</v>
      </c>
      <c r="O139" s="137">
        <f t="shared" si="32"/>
        <v>5.61</v>
      </c>
      <c r="P139" s="137">
        <f t="shared" si="32"/>
        <v>5.61</v>
      </c>
      <c r="Q139" s="137">
        <f t="shared" si="32"/>
        <v>5.61</v>
      </c>
      <c r="R139" s="137">
        <f t="shared" si="32"/>
        <v>5.61</v>
      </c>
      <c r="S139" s="137">
        <f t="shared" si="33"/>
        <v>5.61</v>
      </c>
      <c r="T139" s="137">
        <f t="shared" si="33"/>
        <v>5.61</v>
      </c>
      <c r="U139" s="137">
        <f t="shared" si="33"/>
        <v>5.61</v>
      </c>
      <c r="V139" s="137">
        <f t="shared" si="33"/>
        <v>5.61</v>
      </c>
      <c r="W139" s="137">
        <f t="shared" si="33"/>
        <v>5.61</v>
      </c>
      <c r="X139" s="137">
        <f t="shared" si="33"/>
        <v>5.61</v>
      </c>
      <c r="Y139" s="137">
        <f t="shared" si="33"/>
        <v>5.61</v>
      </c>
      <c r="Z139" s="137">
        <f t="shared" si="33"/>
        <v>5.61</v>
      </c>
      <c r="AA139" s="137">
        <f t="shared" si="33"/>
        <v>5.61</v>
      </c>
      <c r="AB139" s="137">
        <f t="shared" si="33"/>
        <v>5.61</v>
      </c>
      <c r="AC139" s="137">
        <f t="shared" si="33"/>
        <v>5.61</v>
      </c>
      <c r="AD139" s="137">
        <f t="shared" si="33"/>
        <v>5.61</v>
      </c>
      <c r="AE139" s="137">
        <f t="shared" si="33"/>
        <v>5.61</v>
      </c>
      <c r="AF139" s="137">
        <f t="shared" si="33"/>
        <v>5.61</v>
      </c>
      <c r="AG139" s="139">
        <v>4.8</v>
      </c>
      <c r="AH139" s="56"/>
      <c r="AI139" s="57"/>
      <c r="AK139" s="58"/>
    </row>
    <row r="140" spans="1:37" x14ac:dyDescent="0.25">
      <c r="A140" s="124" t="s">
        <v>143</v>
      </c>
      <c r="B140" s="136">
        <v>1.25</v>
      </c>
      <c r="C140" s="137">
        <f t="shared" si="32"/>
        <v>1.25</v>
      </c>
      <c r="D140" s="137">
        <f t="shared" si="32"/>
        <v>1.25</v>
      </c>
      <c r="E140" s="137">
        <f t="shared" si="32"/>
        <v>1.25</v>
      </c>
      <c r="F140" s="137">
        <f t="shared" si="32"/>
        <v>1.25</v>
      </c>
      <c r="G140" s="137">
        <f t="shared" si="32"/>
        <v>1.25</v>
      </c>
      <c r="H140" s="137">
        <f t="shared" si="32"/>
        <v>1.25</v>
      </c>
      <c r="I140" s="137">
        <f t="shared" si="32"/>
        <v>1.25</v>
      </c>
      <c r="J140" s="137">
        <f t="shared" si="32"/>
        <v>1.25</v>
      </c>
      <c r="K140" s="137">
        <f t="shared" si="32"/>
        <v>1.25</v>
      </c>
      <c r="L140" s="137">
        <f t="shared" si="32"/>
        <v>1.25</v>
      </c>
      <c r="M140" s="137">
        <f t="shared" si="32"/>
        <v>1.25</v>
      </c>
      <c r="N140" s="137">
        <f t="shared" si="32"/>
        <v>1.25</v>
      </c>
      <c r="O140" s="137">
        <f t="shared" si="32"/>
        <v>1.25</v>
      </c>
      <c r="P140" s="137">
        <f t="shared" si="32"/>
        <v>1.25</v>
      </c>
      <c r="Q140" s="137">
        <f t="shared" si="32"/>
        <v>1.25</v>
      </c>
      <c r="R140" s="137">
        <f t="shared" si="32"/>
        <v>1.25</v>
      </c>
      <c r="S140" s="137">
        <f t="shared" si="33"/>
        <v>1.25</v>
      </c>
      <c r="T140" s="137">
        <f t="shared" si="33"/>
        <v>1.25</v>
      </c>
      <c r="U140" s="137">
        <f t="shared" si="33"/>
        <v>1.25</v>
      </c>
      <c r="V140" s="137">
        <f t="shared" si="33"/>
        <v>1.25</v>
      </c>
      <c r="W140" s="137">
        <f t="shared" si="33"/>
        <v>1.25</v>
      </c>
      <c r="X140" s="137">
        <f t="shared" si="33"/>
        <v>1.25</v>
      </c>
      <c r="Y140" s="137">
        <f t="shared" si="33"/>
        <v>1.25</v>
      </c>
      <c r="Z140" s="137">
        <f t="shared" si="33"/>
        <v>1.25</v>
      </c>
      <c r="AA140" s="137">
        <f t="shared" si="33"/>
        <v>1.25</v>
      </c>
      <c r="AB140" s="137">
        <f t="shared" si="33"/>
        <v>1.25</v>
      </c>
      <c r="AC140" s="137">
        <f t="shared" si="33"/>
        <v>1.25</v>
      </c>
      <c r="AD140" s="137">
        <f t="shared" si="33"/>
        <v>1.25</v>
      </c>
      <c r="AE140" s="137">
        <f t="shared" si="33"/>
        <v>1.25</v>
      </c>
      <c r="AF140" s="137">
        <f t="shared" si="33"/>
        <v>1.25</v>
      </c>
      <c r="AG140" s="139">
        <v>4.5</v>
      </c>
      <c r="AH140" s="56"/>
      <c r="AI140" s="57"/>
      <c r="AK140" s="58"/>
    </row>
    <row r="141" spans="1:37" x14ac:dyDescent="0.25">
      <c r="A141" s="124" t="s">
        <v>144</v>
      </c>
      <c r="B141" s="136">
        <v>1.25</v>
      </c>
      <c r="C141" s="137">
        <f t="shared" si="32"/>
        <v>1.25</v>
      </c>
      <c r="D141" s="137">
        <f t="shared" si="32"/>
        <v>1.25</v>
      </c>
      <c r="E141" s="137">
        <f t="shared" si="32"/>
        <v>1.25</v>
      </c>
      <c r="F141" s="137">
        <f t="shared" si="32"/>
        <v>1.25</v>
      </c>
      <c r="G141" s="137">
        <f t="shared" si="32"/>
        <v>1.25</v>
      </c>
      <c r="H141" s="137">
        <f t="shared" si="32"/>
        <v>1.25</v>
      </c>
      <c r="I141" s="137">
        <f t="shared" si="32"/>
        <v>1.25</v>
      </c>
      <c r="J141" s="137">
        <f t="shared" si="32"/>
        <v>1.25</v>
      </c>
      <c r="K141" s="137">
        <f t="shared" si="32"/>
        <v>1.25</v>
      </c>
      <c r="L141" s="137">
        <f t="shared" si="32"/>
        <v>1.25</v>
      </c>
      <c r="M141" s="137">
        <f t="shared" si="32"/>
        <v>1.25</v>
      </c>
      <c r="N141" s="137">
        <f t="shared" si="32"/>
        <v>1.25</v>
      </c>
      <c r="O141" s="137">
        <f t="shared" si="32"/>
        <v>1.25</v>
      </c>
      <c r="P141" s="137">
        <f t="shared" si="32"/>
        <v>1.25</v>
      </c>
      <c r="Q141" s="137">
        <f t="shared" si="32"/>
        <v>1.25</v>
      </c>
      <c r="R141" s="137">
        <f t="shared" si="32"/>
        <v>1.25</v>
      </c>
      <c r="S141" s="137">
        <f t="shared" si="33"/>
        <v>1.25</v>
      </c>
      <c r="T141" s="137">
        <f t="shared" si="33"/>
        <v>1.25</v>
      </c>
      <c r="U141" s="137">
        <f t="shared" si="33"/>
        <v>1.25</v>
      </c>
      <c r="V141" s="137">
        <f t="shared" si="33"/>
        <v>1.25</v>
      </c>
      <c r="W141" s="137">
        <f t="shared" si="33"/>
        <v>1.25</v>
      </c>
      <c r="X141" s="137">
        <f t="shared" si="33"/>
        <v>1.25</v>
      </c>
      <c r="Y141" s="137">
        <f t="shared" si="33"/>
        <v>1.25</v>
      </c>
      <c r="Z141" s="137">
        <f t="shared" si="33"/>
        <v>1.25</v>
      </c>
      <c r="AA141" s="137">
        <f t="shared" si="33"/>
        <v>1.25</v>
      </c>
      <c r="AB141" s="137">
        <f t="shared" si="33"/>
        <v>1.25</v>
      </c>
      <c r="AC141" s="137">
        <f t="shared" si="33"/>
        <v>1.25</v>
      </c>
      <c r="AD141" s="137">
        <f t="shared" si="33"/>
        <v>1.25</v>
      </c>
      <c r="AE141" s="137">
        <f t="shared" si="33"/>
        <v>1.25</v>
      </c>
      <c r="AF141" s="137">
        <f t="shared" si="33"/>
        <v>1.25</v>
      </c>
      <c r="AG141" s="139">
        <v>4.5</v>
      </c>
      <c r="AH141" s="56"/>
      <c r="AI141" s="57"/>
      <c r="AK141" s="58"/>
    </row>
    <row r="142" spans="1:37" x14ac:dyDescent="0.25">
      <c r="A142" s="124" t="s">
        <v>145</v>
      </c>
      <c r="B142" s="136">
        <v>1.46</v>
      </c>
      <c r="C142" s="137">
        <f t="shared" si="32"/>
        <v>1.46</v>
      </c>
      <c r="D142" s="137">
        <f t="shared" si="32"/>
        <v>1.46</v>
      </c>
      <c r="E142" s="137">
        <f t="shared" si="32"/>
        <v>1.46</v>
      </c>
      <c r="F142" s="137">
        <f t="shared" si="32"/>
        <v>1.46</v>
      </c>
      <c r="G142" s="137">
        <f t="shared" si="32"/>
        <v>1.46</v>
      </c>
      <c r="H142" s="137">
        <f t="shared" si="32"/>
        <v>1.46</v>
      </c>
      <c r="I142" s="137">
        <f t="shared" si="32"/>
        <v>1.46</v>
      </c>
      <c r="J142" s="137">
        <f t="shared" si="32"/>
        <v>1.46</v>
      </c>
      <c r="K142" s="137">
        <f t="shared" si="32"/>
        <v>1.46</v>
      </c>
      <c r="L142" s="137">
        <f t="shared" si="32"/>
        <v>1.46</v>
      </c>
      <c r="M142" s="137">
        <f t="shared" si="32"/>
        <v>1.46</v>
      </c>
      <c r="N142" s="137">
        <f t="shared" si="32"/>
        <v>1.46</v>
      </c>
      <c r="O142" s="137">
        <f t="shared" si="32"/>
        <v>1.46</v>
      </c>
      <c r="P142" s="137">
        <f t="shared" si="32"/>
        <v>1.46</v>
      </c>
      <c r="Q142" s="137">
        <f t="shared" si="32"/>
        <v>1.46</v>
      </c>
      <c r="R142" s="137">
        <f t="shared" si="32"/>
        <v>1.46</v>
      </c>
      <c r="S142" s="137">
        <f t="shared" si="33"/>
        <v>1.46</v>
      </c>
      <c r="T142" s="137">
        <f t="shared" si="33"/>
        <v>1.46</v>
      </c>
      <c r="U142" s="137">
        <f t="shared" si="33"/>
        <v>1.46</v>
      </c>
      <c r="V142" s="137">
        <f t="shared" si="33"/>
        <v>1.46</v>
      </c>
      <c r="W142" s="137">
        <f t="shared" si="33"/>
        <v>1.46</v>
      </c>
      <c r="X142" s="137">
        <f t="shared" si="33"/>
        <v>1.46</v>
      </c>
      <c r="Y142" s="137">
        <f t="shared" si="33"/>
        <v>1.46</v>
      </c>
      <c r="Z142" s="137">
        <f t="shared" si="33"/>
        <v>1.46</v>
      </c>
      <c r="AA142" s="137">
        <f t="shared" si="33"/>
        <v>1.46</v>
      </c>
      <c r="AB142" s="137">
        <f t="shared" si="33"/>
        <v>1.46</v>
      </c>
      <c r="AC142" s="137">
        <f t="shared" si="33"/>
        <v>1.46</v>
      </c>
      <c r="AD142" s="137">
        <f t="shared" si="33"/>
        <v>1.46</v>
      </c>
      <c r="AE142" s="137">
        <f t="shared" si="33"/>
        <v>1.46</v>
      </c>
      <c r="AF142" s="137">
        <f t="shared" si="33"/>
        <v>1.46</v>
      </c>
      <c r="AG142" s="139">
        <v>4.4550000000000001</v>
      </c>
      <c r="AH142" s="56"/>
      <c r="AI142" s="57"/>
      <c r="AK142" s="58"/>
    </row>
    <row r="143" spans="1:37" x14ac:dyDescent="0.25">
      <c r="A143" s="124" t="s">
        <v>146</v>
      </c>
      <c r="B143" s="136">
        <v>3</v>
      </c>
      <c r="C143" s="137">
        <f t="shared" si="32"/>
        <v>3</v>
      </c>
      <c r="D143" s="137">
        <f t="shared" si="32"/>
        <v>3</v>
      </c>
      <c r="E143" s="137">
        <f t="shared" si="32"/>
        <v>3</v>
      </c>
      <c r="F143" s="137">
        <f t="shared" si="32"/>
        <v>3</v>
      </c>
      <c r="G143" s="137">
        <f t="shared" si="32"/>
        <v>3</v>
      </c>
      <c r="H143" s="137">
        <f t="shared" si="32"/>
        <v>3</v>
      </c>
      <c r="I143" s="137">
        <f t="shared" si="32"/>
        <v>3</v>
      </c>
      <c r="J143" s="137">
        <f t="shared" si="32"/>
        <v>3</v>
      </c>
      <c r="K143" s="137">
        <f t="shared" si="32"/>
        <v>3</v>
      </c>
      <c r="L143" s="137">
        <f t="shared" si="32"/>
        <v>3</v>
      </c>
      <c r="M143" s="137">
        <f t="shared" si="32"/>
        <v>3</v>
      </c>
      <c r="N143" s="137">
        <f t="shared" si="32"/>
        <v>3</v>
      </c>
      <c r="O143" s="137">
        <f t="shared" si="32"/>
        <v>3</v>
      </c>
      <c r="P143" s="137">
        <f t="shared" si="32"/>
        <v>3</v>
      </c>
      <c r="Q143" s="137">
        <f t="shared" si="32"/>
        <v>3</v>
      </c>
      <c r="R143" s="137">
        <f t="shared" si="32"/>
        <v>3</v>
      </c>
      <c r="S143" s="137">
        <f t="shared" si="33"/>
        <v>3</v>
      </c>
      <c r="T143" s="137">
        <f t="shared" si="33"/>
        <v>3</v>
      </c>
      <c r="U143" s="137">
        <f t="shared" si="33"/>
        <v>3</v>
      </c>
      <c r="V143" s="137">
        <f t="shared" si="33"/>
        <v>3</v>
      </c>
      <c r="W143" s="137">
        <f t="shared" si="33"/>
        <v>3</v>
      </c>
      <c r="X143" s="137">
        <f t="shared" si="33"/>
        <v>3</v>
      </c>
      <c r="Y143" s="137">
        <f t="shared" si="33"/>
        <v>3</v>
      </c>
      <c r="Z143" s="137">
        <f t="shared" si="33"/>
        <v>3</v>
      </c>
      <c r="AA143" s="137">
        <f t="shared" si="33"/>
        <v>3</v>
      </c>
      <c r="AB143" s="137">
        <f t="shared" si="33"/>
        <v>3</v>
      </c>
      <c r="AC143" s="137">
        <f t="shared" si="33"/>
        <v>3</v>
      </c>
      <c r="AD143" s="137">
        <f t="shared" si="33"/>
        <v>3</v>
      </c>
      <c r="AE143" s="137">
        <f t="shared" si="33"/>
        <v>3</v>
      </c>
      <c r="AF143" s="137">
        <f t="shared" si="33"/>
        <v>3</v>
      </c>
      <c r="AG143" s="139">
        <v>4.41</v>
      </c>
      <c r="AH143" s="56"/>
      <c r="AI143" s="57"/>
      <c r="AK143" s="58"/>
    </row>
    <row r="144" spans="1:37" x14ac:dyDescent="0.25">
      <c r="A144" s="124" t="s">
        <v>147</v>
      </c>
      <c r="B144" s="136">
        <v>3.3</v>
      </c>
      <c r="C144" s="137">
        <f t="shared" si="32"/>
        <v>3.3</v>
      </c>
      <c r="D144" s="137">
        <f t="shared" si="32"/>
        <v>3.3</v>
      </c>
      <c r="E144" s="137">
        <f t="shared" si="32"/>
        <v>3.3</v>
      </c>
      <c r="F144" s="137">
        <f t="shared" si="32"/>
        <v>3.3</v>
      </c>
      <c r="G144" s="137">
        <f t="shared" si="32"/>
        <v>3.3</v>
      </c>
      <c r="H144" s="137">
        <f t="shared" si="32"/>
        <v>3.3</v>
      </c>
      <c r="I144" s="137">
        <f t="shared" si="32"/>
        <v>3.3</v>
      </c>
      <c r="J144" s="137">
        <f t="shared" si="32"/>
        <v>3.3</v>
      </c>
      <c r="K144" s="137">
        <f t="shared" si="32"/>
        <v>3.3</v>
      </c>
      <c r="L144" s="137">
        <f t="shared" si="32"/>
        <v>3.3</v>
      </c>
      <c r="M144" s="137">
        <f t="shared" si="32"/>
        <v>3.3</v>
      </c>
      <c r="N144" s="137">
        <f t="shared" si="32"/>
        <v>3.3</v>
      </c>
      <c r="O144" s="137">
        <f t="shared" si="32"/>
        <v>3.3</v>
      </c>
      <c r="P144" s="137">
        <f t="shared" si="32"/>
        <v>3.3</v>
      </c>
      <c r="Q144" s="137">
        <f t="shared" si="32"/>
        <v>3.3</v>
      </c>
      <c r="R144" s="137">
        <f t="shared" si="32"/>
        <v>3.3</v>
      </c>
      <c r="S144" s="137">
        <f t="shared" si="33"/>
        <v>3.3</v>
      </c>
      <c r="T144" s="137">
        <f t="shared" si="33"/>
        <v>3.3</v>
      </c>
      <c r="U144" s="137">
        <f t="shared" si="33"/>
        <v>3.3</v>
      </c>
      <c r="V144" s="137">
        <f t="shared" si="33"/>
        <v>3.3</v>
      </c>
      <c r="W144" s="137">
        <f t="shared" si="33"/>
        <v>3.3</v>
      </c>
      <c r="X144" s="137">
        <f t="shared" si="33"/>
        <v>3.3</v>
      </c>
      <c r="Y144" s="137">
        <f t="shared" si="33"/>
        <v>3.3</v>
      </c>
      <c r="Z144" s="137">
        <f t="shared" si="33"/>
        <v>3.3</v>
      </c>
      <c r="AA144" s="137">
        <f t="shared" si="33"/>
        <v>3.3</v>
      </c>
      <c r="AB144" s="137">
        <f t="shared" si="33"/>
        <v>3.3</v>
      </c>
      <c r="AC144" s="137">
        <f t="shared" si="33"/>
        <v>3.3</v>
      </c>
      <c r="AD144" s="137">
        <f t="shared" si="33"/>
        <v>3.3</v>
      </c>
      <c r="AE144" s="137">
        <f t="shared" si="33"/>
        <v>3.3</v>
      </c>
      <c r="AF144" s="137">
        <f t="shared" si="33"/>
        <v>3.3</v>
      </c>
      <c r="AG144" s="139">
        <v>4.4000000000000004</v>
      </c>
      <c r="AH144" s="56"/>
      <c r="AI144" s="57"/>
      <c r="AK144" s="58"/>
    </row>
    <row r="145" spans="1:37" x14ac:dyDescent="0.25">
      <c r="A145" s="124" t="s">
        <v>148</v>
      </c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9">
        <v>4.3600000000000003</v>
      </c>
      <c r="AH145" s="56"/>
      <c r="AI145" s="57"/>
      <c r="AK145" s="58"/>
    </row>
    <row r="146" spans="1:37" x14ac:dyDescent="0.25">
      <c r="A146" s="124" t="s">
        <v>149</v>
      </c>
      <c r="B146" s="136">
        <v>1.76</v>
      </c>
      <c r="C146" s="137">
        <f t="shared" ref="C146:R147" si="34">B146</f>
        <v>1.76</v>
      </c>
      <c r="D146" s="137">
        <f t="shared" si="34"/>
        <v>1.76</v>
      </c>
      <c r="E146" s="137">
        <f t="shared" si="34"/>
        <v>1.76</v>
      </c>
      <c r="F146" s="137">
        <f t="shared" si="34"/>
        <v>1.76</v>
      </c>
      <c r="G146" s="137">
        <f t="shared" si="34"/>
        <v>1.76</v>
      </c>
      <c r="H146" s="137">
        <f t="shared" si="34"/>
        <v>1.76</v>
      </c>
      <c r="I146" s="137">
        <f t="shared" si="34"/>
        <v>1.76</v>
      </c>
      <c r="J146" s="137">
        <f t="shared" si="34"/>
        <v>1.76</v>
      </c>
      <c r="K146" s="137">
        <f t="shared" si="34"/>
        <v>1.76</v>
      </c>
      <c r="L146" s="137">
        <f t="shared" si="34"/>
        <v>1.76</v>
      </c>
      <c r="M146" s="137">
        <f t="shared" si="34"/>
        <v>1.76</v>
      </c>
      <c r="N146" s="137">
        <f t="shared" si="34"/>
        <v>1.76</v>
      </c>
      <c r="O146" s="137">
        <f t="shared" si="34"/>
        <v>1.76</v>
      </c>
      <c r="P146" s="137">
        <f t="shared" si="34"/>
        <v>1.76</v>
      </c>
      <c r="Q146" s="137">
        <f t="shared" si="34"/>
        <v>1.76</v>
      </c>
      <c r="R146" s="137">
        <f t="shared" si="34"/>
        <v>1.76</v>
      </c>
      <c r="S146" s="137">
        <f t="shared" ref="S146:AF147" si="35">R146</f>
        <v>1.76</v>
      </c>
      <c r="T146" s="137">
        <f t="shared" si="35"/>
        <v>1.76</v>
      </c>
      <c r="U146" s="137">
        <f t="shared" si="35"/>
        <v>1.76</v>
      </c>
      <c r="V146" s="137">
        <f t="shared" si="35"/>
        <v>1.76</v>
      </c>
      <c r="W146" s="137">
        <f t="shared" si="35"/>
        <v>1.76</v>
      </c>
      <c r="X146" s="137">
        <f t="shared" si="35"/>
        <v>1.76</v>
      </c>
      <c r="Y146" s="137">
        <f t="shared" si="35"/>
        <v>1.76</v>
      </c>
      <c r="Z146" s="137">
        <f t="shared" si="35"/>
        <v>1.76</v>
      </c>
      <c r="AA146" s="137">
        <f t="shared" si="35"/>
        <v>1.76</v>
      </c>
      <c r="AB146" s="137">
        <f t="shared" si="35"/>
        <v>1.76</v>
      </c>
      <c r="AC146" s="137">
        <f t="shared" si="35"/>
        <v>1.76</v>
      </c>
      <c r="AD146" s="137">
        <f t="shared" si="35"/>
        <v>1.76</v>
      </c>
      <c r="AE146" s="137">
        <f t="shared" si="35"/>
        <v>1.76</v>
      </c>
      <c r="AF146" s="137">
        <f t="shared" si="35"/>
        <v>1.76</v>
      </c>
      <c r="AG146" s="139">
        <v>4.2</v>
      </c>
      <c r="AH146" s="56"/>
      <c r="AI146" s="57"/>
      <c r="AK146" s="58"/>
    </row>
    <row r="147" spans="1:37" x14ac:dyDescent="0.25">
      <c r="A147" s="124" t="s">
        <v>150</v>
      </c>
      <c r="B147" s="136">
        <v>0</v>
      </c>
      <c r="C147" s="137">
        <f t="shared" si="34"/>
        <v>0</v>
      </c>
      <c r="D147" s="137">
        <f t="shared" si="34"/>
        <v>0</v>
      </c>
      <c r="E147" s="137">
        <f t="shared" si="34"/>
        <v>0</v>
      </c>
      <c r="F147" s="137">
        <f t="shared" si="34"/>
        <v>0</v>
      </c>
      <c r="G147" s="137">
        <f t="shared" si="34"/>
        <v>0</v>
      </c>
      <c r="H147" s="137">
        <f t="shared" si="34"/>
        <v>0</v>
      </c>
      <c r="I147" s="137">
        <f t="shared" si="34"/>
        <v>0</v>
      </c>
      <c r="J147" s="137">
        <f t="shared" si="34"/>
        <v>0</v>
      </c>
      <c r="K147" s="137">
        <f t="shared" si="34"/>
        <v>0</v>
      </c>
      <c r="L147" s="137">
        <f t="shared" si="34"/>
        <v>0</v>
      </c>
      <c r="M147" s="137">
        <f t="shared" si="34"/>
        <v>0</v>
      </c>
      <c r="N147" s="137">
        <f t="shared" si="34"/>
        <v>0</v>
      </c>
      <c r="O147" s="137">
        <f t="shared" si="34"/>
        <v>0</v>
      </c>
      <c r="P147" s="137">
        <f t="shared" si="34"/>
        <v>0</v>
      </c>
      <c r="Q147" s="137">
        <f t="shared" si="34"/>
        <v>0</v>
      </c>
      <c r="R147" s="137">
        <f t="shared" si="34"/>
        <v>0</v>
      </c>
      <c r="S147" s="137">
        <f t="shared" si="35"/>
        <v>0</v>
      </c>
      <c r="T147" s="137">
        <f t="shared" si="35"/>
        <v>0</v>
      </c>
      <c r="U147" s="137">
        <f t="shared" si="35"/>
        <v>0</v>
      </c>
      <c r="V147" s="137">
        <f t="shared" si="35"/>
        <v>0</v>
      </c>
      <c r="W147" s="137">
        <f t="shared" si="35"/>
        <v>0</v>
      </c>
      <c r="X147" s="137">
        <f t="shared" si="35"/>
        <v>0</v>
      </c>
      <c r="Y147" s="137">
        <f t="shared" si="35"/>
        <v>0</v>
      </c>
      <c r="Z147" s="137">
        <f t="shared" si="35"/>
        <v>0</v>
      </c>
      <c r="AA147" s="137">
        <f t="shared" si="35"/>
        <v>0</v>
      </c>
      <c r="AB147" s="137">
        <f t="shared" si="35"/>
        <v>0</v>
      </c>
      <c r="AC147" s="137">
        <f t="shared" si="35"/>
        <v>0</v>
      </c>
      <c r="AD147" s="137">
        <f t="shared" si="35"/>
        <v>0</v>
      </c>
      <c r="AE147" s="137">
        <f t="shared" si="35"/>
        <v>0</v>
      </c>
      <c r="AF147" s="137">
        <f t="shared" si="35"/>
        <v>0</v>
      </c>
      <c r="AG147" s="139">
        <v>4</v>
      </c>
      <c r="AH147" s="56"/>
      <c r="AI147" s="57"/>
      <c r="AK147" s="58"/>
    </row>
    <row r="148" spans="1:37" x14ac:dyDescent="0.25">
      <c r="A148" s="124" t="s">
        <v>151</v>
      </c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9">
        <v>4</v>
      </c>
      <c r="AH148" s="56"/>
      <c r="AI148" s="57"/>
      <c r="AK148" s="58"/>
    </row>
    <row r="149" spans="1:37" x14ac:dyDescent="0.25">
      <c r="A149" s="124" t="s">
        <v>152</v>
      </c>
      <c r="B149" s="136">
        <v>0.1</v>
      </c>
      <c r="C149" s="137">
        <f t="shared" ref="C149:R152" si="36">B149</f>
        <v>0.1</v>
      </c>
      <c r="D149" s="137">
        <f t="shared" si="36"/>
        <v>0.1</v>
      </c>
      <c r="E149" s="137">
        <f t="shared" si="36"/>
        <v>0.1</v>
      </c>
      <c r="F149" s="137">
        <f t="shared" si="36"/>
        <v>0.1</v>
      </c>
      <c r="G149" s="137">
        <f t="shared" si="36"/>
        <v>0.1</v>
      </c>
      <c r="H149" s="137">
        <f t="shared" si="36"/>
        <v>0.1</v>
      </c>
      <c r="I149" s="137">
        <f t="shared" si="36"/>
        <v>0.1</v>
      </c>
      <c r="J149" s="137">
        <f t="shared" si="36"/>
        <v>0.1</v>
      </c>
      <c r="K149" s="137">
        <f t="shared" si="36"/>
        <v>0.1</v>
      </c>
      <c r="L149" s="137">
        <f t="shared" si="36"/>
        <v>0.1</v>
      </c>
      <c r="M149" s="137">
        <f t="shared" si="36"/>
        <v>0.1</v>
      </c>
      <c r="N149" s="137">
        <f t="shared" si="36"/>
        <v>0.1</v>
      </c>
      <c r="O149" s="137">
        <f t="shared" si="36"/>
        <v>0.1</v>
      </c>
      <c r="P149" s="137">
        <f t="shared" si="36"/>
        <v>0.1</v>
      </c>
      <c r="Q149" s="137">
        <f t="shared" si="36"/>
        <v>0.1</v>
      </c>
      <c r="R149" s="137">
        <f t="shared" si="36"/>
        <v>0.1</v>
      </c>
      <c r="S149" s="137">
        <f t="shared" ref="S149:AF152" si="37">R149</f>
        <v>0.1</v>
      </c>
      <c r="T149" s="137">
        <f t="shared" si="37"/>
        <v>0.1</v>
      </c>
      <c r="U149" s="137">
        <f t="shared" si="37"/>
        <v>0.1</v>
      </c>
      <c r="V149" s="137">
        <f t="shared" si="37"/>
        <v>0.1</v>
      </c>
      <c r="W149" s="137">
        <f t="shared" si="37"/>
        <v>0.1</v>
      </c>
      <c r="X149" s="137">
        <f t="shared" si="37"/>
        <v>0.1</v>
      </c>
      <c r="Y149" s="137">
        <f t="shared" si="37"/>
        <v>0.1</v>
      </c>
      <c r="Z149" s="137">
        <f t="shared" si="37"/>
        <v>0.1</v>
      </c>
      <c r="AA149" s="137">
        <f t="shared" si="37"/>
        <v>0.1</v>
      </c>
      <c r="AB149" s="137">
        <f t="shared" si="37"/>
        <v>0.1</v>
      </c>
      <c r="AC149" s="137">
        <f t="shared" si="37"/>
        <v>0.1</v>
      </c>
      <c r="AD149" s="137">
        <f t="shared" si="37"/>
        <v>0.1</v>
      </c>
      <c r="AE149" s="137">
        <f t="shared" si="37"/>
        <v>0.1</v>
      </c>
      <c r="AF149" s="137">
        <f t="shared" si="37"/>
        <v>0.1</v>
      </c>
      <c r="AG149" s="139">
        <v>4</v>
      </c>
      <c r="AH149" s="56"/>
      <c r="AI149" s="57"/>
      <c r="AK149" s="58"/>
    </row>
    <row r="150" spans="1:37" x14ac:dyDescent="0.25">
      <c r="A150" s="124" t="s">
        <v>153</v>
      </c>
      <c r="B150" s="136">
        <v>2.0499999999999998</v>
      </c>
      <c r="C150" s="137">
        <f t="shared" si="36"/>
        <v>2.0499999999999998</v>
      </c>
      <c r="D150" s="137">
        <f t="shared" si="36"/>
        <v>2.0499999999999998</v>
      </c>
      <c r="E150" s="137">
        <f t="shared" si="36"/>
        <v>2.0499999999999998</v>
      </c>
      <c r="F150" s="137">
        <f t="shared" si="36"/>
        <v>2.0499999999999998</v>
      </c>
      <c r="G150" s="137">
        <f t="shared" si="36"/>
        <v>2.0499999999999998</v>
      </c>
      <c r="H150" s="137">
        <f t="shared" si="36"/>
        <v>2.0499999999999998</v>
      </c>
      <c r="I150" s="137">
        <f t="shared" si="36"/>
        <v>2.0499999999999998</v>
      </c>
      <c r="J150" s="137">
        <f t="shared" si="36"/>
        <v>2.0499999999999998</v>
      </c>
      <c r="K150" s="137">
        <f t="shared" si="36"/>
        <v>2.0499999999999998</v>
      </c>
      <c r="L150" s="137">
        <f t="shared" si="36"/>
        <v>2.0499999999999998</v>
      </c>
      <c r="M150" s="137">
        <f t="shared" si="36"/>
        <v>2.0499999999999998</v>
      </c>
      <c r="N150" s="137">
        <f t="shared" si="36"/>
        <v>2.0499999999999998</v>
      </c>
      <c r="O150" s="137">
        <f t="shared" si="36"/>
        <v>2.0499999999999998</v>
      </c>
      <c r="P150" s="137">
        <f t="shared" si="36"/>
        <v>2.0499999999999998</v>
      </c>
      <c r="Q150" s="137">
        <f t="shared" si="36"/>
        <v>2.0499999999999998</v>
      </c>
      <c r="R150" s="137">
        <f t="shared" si="36"/>
        <v>2.0499999999999998</v>
      </c>
      <c r="S150" s="137">
        <f t="shared" si="37"/>
        <v>2.0499999999999998</v>
      </c>
      <c r="T150" s="137">
        <f t="shared" si="37"/>
        <v>2.0499999999999998</v>
      </c>
      <c r="U150" s="137">
        <f t="shared" si="37"/>
        <v>2.0499999999999998</v>
      </c>
      <c r="V150" s="137">
        <f t="shared" si="37"/>
        <v>2.0499999999999998</v>
      </c>
      <c r="W150" s="137">
        <f t="shared" si="37"/>
        <v>2.0499999999999998</v>
      </c>
      <c r="X150" s="137">
        <f t="shared" si="37"/>
        <v>2.0499999999999998</v>
      </c>
      <c r="Y150" s="137">
        <f t="shared" si="37"/>
        <v>2.0499999999999998</v>
      </c>
      <c r="Z150" s="137">
        <f t="shared" si="37"/>
        <v>2.0499999999999998</v>
      </c>
      <c r="AA150" s="137">
        <f t="shared" si="37"/>
        <v>2.0499999999999998</v>
      </c>
      <c r="AB150" s="137">
        <f t="shared" si="37"/>
        <v>2.0499999999999998</v>
      </c>
      <c r="AC150" s="137">
        <f t="shared" si="37"/>
        <v>2.0499999999999998</v>
      </c>
      <c r="AD150" s="137">
        <f t="shared" si="37"/>
        <v>2.0499999999999998</v>
      </c>
      <c r="AE150" s="137">
        <f t="shared" si="37"/>
        <v>2.0499999999999998</v>
      </c>
      <c r="AF150" s="137">
        <f t="shared" si="37"/>
        <v>2.0499999999999998</v>
      </c>
      <c r="AG150" s="139">
        <v>4</v>
      </c>
      <c r="AH150" s="56"/>
      <c r="AI150" s="57"/>
      <c r="AK150" s="58"/>
    </row>
    <row r="151" spans="1:37" x14ac:dyDescent="0.25">
      <c r="A151" s="124" t="s">
        <v>154</v>
      </c>
      <c r="B151" s="136">
        <v>2.7</v>
      </c>
      <c r="C151" s="137">
        <f t="shared" si="36"/>
        <v>2.7</v>
      </c>
      <c r="D151" s="137">
        <f t="shared" si="36"/>
        <v>2.7</v>
      </c>
      <c r="E151" s="137">
        <f t="shared" si="36"/>
        <v>2.7</v>
      </c>
      <c r="F151" s="137">
        <f t="shared" si="36"/>
        <v>2.7</v>
      </c>
      <c r="G151" s="137">
        <f t="shared" si="36"/>
        <v>2.7</v>
      </c>
      <c r="H151" s="137">
        <f t="shared" si="36"/>
        <v>2.7</v>
      </c>
      <c r="I151" s="137">
        <f t="shared" si="36"/>
        <v>2.7</v>
      </c>
      <c r="J151" s="137">
        <f t="shared" si="36"/>
        <v>2.7</v>
      </c>
      <c r="K151" s="137">
        <f t="shared" si="36"/>
        <v>2.7</v>
      </c>
      <c r="L151" s="137">
        <f t="shared" si="36"/>
        <v>2.7</v>
      </c>
      <c r="M151" s="137">
        <f t="shared" si="36"/>
        <v>2.7</v>
      </c>
      <c r="N151" s="137">
        <f t="shared" si="36"/>
        <v>2.7</v>
      </c>
      <c r="O151" s="137">
        <f t="shared" si="36"/>
        <v>2.7</v>
      </c>
      <c r="P151" s="137">
        <f t="shared" si="36"/>
        <v>2.7</v>
      </c>
      <c r="Q151" s="137">
        <f t="shared" si="36"/>
        <v>2.7</v>
      </c>
      <c r="R151" s="137">
        <f t="shared" si="36"/>
        <v>2.7</v>
      </c>
      <c r="S151" s="137">
        <f t="shared" si="37"/>
        <v>2.7</v>
      </c>
      <c r="T151" s="137">
        <f t="shared" si="37"/>
        <v>2.7</v>
      </c>
      <c r="U151" s="137">
        <f t="shared" si="37"/>
        <v>2.7</v>
      </c>
      <c r="V151" s="137">
        <f t="shared" si="37"/>
        <v>2.7</v>
      </c>
      <c r="W151" s="137">
        <f t="shared" si="37"/>
        <v>2.7</v>
      </c>
      <c r="X151" s="137">
        <f t="shared" si="37"/>
        <v>2.7</v>
      </c>
      <c r="Y151" s="137">
        <f t="shared" si="37"/>
        <v>2.7</v>
      </c>
      <c r="Z151" s="137">
        <f t="shared" si="37"/>
        <v>2.7</v>
      </c>
      <c r="AA151" s="137">
        <f t="shared" si="37"/>
        <v>2.7</v>
      </c>
      <c r="AB151" s="137">
        <f t="shared" si="37"/>
        <v>2.7</v>
      </c>
      <c r="AC151" s="137">
        <f t="shared" si="37"/>
        <v>2.7</v>
      </c>
      <c r="AD151" s="137">
        <f t="shared" si="37"/>
        <v>2.7</v>
      </c>
      <c r="AE151" s="137">
        <f t="shared" si="37"/>
        <v>2.7</v>
      </c>
      <c r="AF151" s="137">
        <f t="shared" si="37"/>
        <v>2.7</v>
      </c>
      <c r="AG151" s="139">
        <v>4</v>
      </c>
      <c r="AH151" s="56"/>
      <c r="AI151" s="57"/>
      <c r="AK151" s="58"/>
    </row>
    <row r="152" spans="1:37" x14ac:dyDescent="0.25">
      <c r="A152" s="124" t="s">
        <v>155</v>
      </c>
      <c r="B152" s="136">
        <v>2.15</v>
      </c>
      <c r="C152" s="137">
        <f t="shared" si="36"/>
        <v>2.15</v>
      </c>
      <c r="D152" s="137">
        <f t="shared" si="36"/>
        <v>2.15</v>
      </c>
      <c r="E152" s="137">
        <f t="shared" si="36"/>
        <v>2.15</v>
      </c>
      <c r="F152" s="137">
        <f t="shared" si="36"/>
        <v>2.15</v>
      </c>
      <c r="G152" s="137">
        <f t="shared" si="36"/>
        <v>2.15</v>
      </c>
      <c r="H152" s="137">
        <f t="shared" si="36"/>
        <v>2.15</v>
      </c>
      <c r="I152" s="137">
        <f t="shared" si="36"/>
        <v>2.15</v>
      </c>
      <c r="J152" s="137">
        <f t="shared" si="36"/>
        <v>2.15</v>
      </c>
      <c r="K152" s="137">
        <f t="shared" si="36"/>
        <v>2.15</v>
      </c>
      <c r="L152" s="137">
        <f t="shared" si="36"/>
        <v>2.15</v>
      </c>
      <c r="M152" s="137">
        <f t="shared" si="36"/>
        <v>2.15</v>
      </c>
      <c r="N152" s="137">
        <f t="shared" si="36"/>
        <v>2.15</v>
      </c>
      <c r="O152" s="137">
        <f t="shared" si="36"/>
        <v>2.15</v>
      </c>
      <c r="P152" s="137">
        <f t="shared" si="36"/>
        <v>2.15</v>
      </c>
      <c r="Q152" s="137">
        <f t="shared" si="36"/>
        <v>2.15</v>
      </c>
      <c r="R152" s="137">
        <f t="shared" si="36"/>
        <v>2.15</v>
      </c>
      <c r="S152" s="137">
        <f t="shared" si="37"/>
        <v>2.15</v>
      </c>
      <c r="T152" s="137">
        <f t="shared" si="37"/>
        <v>2.15</v>
      </c>
      <c r="U152" s="137">
        <f t="shared" si="37"/>
        <v>2.15</v>
      </c>
      <c r="V152" s="137">
        <f t="shared" si="37"/>
        <v>2.15</v>
      </c>
      <c r="W152" s="137">
        <f t="shared" si="37"/>
        <v>2.15</v>
      </c>
      <c r="X152" s="137">
        <f t="shared" si="37"/>
        <v>2.15</v>
      </c>
      <c r="Y152" s="137">
        <f t="shared" si="37"/>
        <v>2.15</v>
      </c>
      <c r="Z152" s="137">
        <f t="shared" si="37"/>
        <v>2.15</v>
      </c>
      <c r="AA152" s="137">
        <f t="shared" si="37"/>
        <v>2.15</v>
      </c>
      <c r="AB152" s="137">
        <f t="shared" si="37"/>
        <v>2.15</v>
      </c>
      <c r="AC152" s="137">
        <f t="shared" si="37"/>
        <v>2.15</v>
      </c>
      <c r="AD152" s="137">
        <f t="shared" si="37"/>
        <v>2.15</v>
      </c>
      <c r="AE152" s="137">
        <f t="shared" si="37"/>
        <v>2.15</v>
      </c>
      <c r="AF152" s="137">
        <f t="shared" si="37"/>
        <v>2.15</v>
      </c>
      <c r="AG152" s="139">
        <v>4</v>
      </c>
      <c r="AH152" s="56"/>
      <c r="AI152" s="57"/>
      <c r="AK152" s="58"/>
    </row>
    <row r="153" spans="1:37" x14ac:dyDescent="0.25">
      <c r="A153" s="124" t="s">
        <v>156</v>
      </c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9">
        <v>4</v>
      </c>
      <c r="AH153" s="56"/>
      <c r="AI153" s="57"/>
      <c r="AK153" s="58"/>
    </row>
    <row r="154" spans="1:37" x14ac:dyDescent="0.25">
      <c r="A154" s="124" t="s">
        <v>157</v>
      </c>
      <c r="B154" s="136">
        <v>0.9</v>
      </c>
      <c r="C154" s="137">
        <f t="shared" ref="C154:R166" si="38">B154</f>
        <v>0.9</v>
      </c>
      <c r="D154" s="137">
        <f t="shared" si="38"/>
        <v>0.9</v>
      </c>
      <c r="E154" s="137">
        <f t="shared" si="38"/>
        <v>0.9</v>
      </c>
      <c r="F154" s="137">
        <f t="shared" si="38"/>
        <v>0.9</v>
      </c>
      <c r="G154" s="137">
        <f t="shared" si="38"/>
        <v>0.9</v>
      </c>
      <c r="H154" s="137">
        <f t="shared" si="38"/>
        <v>0.9</v>
      </c>
      <c r="I154" s="137">
        <f t="shared" si="38"/>
        <v>0.9</v>
      </c>
      <c r="J154" s="137">
        <f t="shared" si="38"/>
        <v>0.9</v>
      </c>
      <c r="K154" s="137">
        <f t="shared" si="38"/>
        <v>0.9</v>
      </c>
      <c r="L154" s="137">
        <f t="shared" si="38"/>
        <v>0.9</v>
      </c>
      <c r="M154" s="137">
        <f t="shared" si="38"/>
        <v>0.9</v>
      </c>
      <c r="N154" s="137">
        <f t="shared" si="38"/>
        <v>0.9</v>
      </c>
      <c r="O154" s="137">
        <f t="shared" si="38"/>
        <v>0.9</v>
      </c>
      <c r="P154" s="137">
        <f t="shared" si="38"/>
        <v>0.9</v>
      </c>
      <c r="Q154" s="137">
        <f t="shared" si="38"/>
        <v>0.9</v>
      </c>
      <c r="R154" s="137">
        <f t="shared" si="38"/>
        <v>0.9</v>
      </c>
      <c r="S154" s="137">
        <f t="shared" ref="R154:AF166" si="39">R154</f>
        <v>0.9</v>
      </c>
      <c r="T154" s="137">
        <f t="shared" si="39"/>
        <v>0.9</v>
      </c>
      <c r="U154" s="137">
        <f t="shared" si="39"/>
        <v>0.9</v>
      </c>
      <c r="V154" s="137">
        <f t="shared" si="39"/>
        <v>0.9</v>
      </c>
      <c r="W154" s="137">
        <f t="shared" si="39"/>
        <v>0.9</v>
      </c>
      <c r="X154" s="137">
        <f t="shared" si="39"/>
        <v>0.9</v>
      </c>
      <c r="Y154" s="137">
        <f t="shared" si="39"/>
        <v>0.9</v>
      </c>
      <c r="Z154" s="137">
        <f t="shared" si="39"/>
        <v>0.9</v>
      </c>
      <c r="AA154" s="137">
        <f t="shared" si="39"/>
        <v>0.9</v>
      </c>
      <c r="AB154" s="137">
        <f t="shared" si="39"/>
        <v>0.9</v>
      </c>
      <c r="AC154" s="137">
        <f t="shared" si="39"/>
        <v>0.9</v>
      </c>
      <c r="AD154" s="137">
        <f t="shared" si="39"/>
        <v>0.9</v>
      </c>
      <c r="AE154" s="137">
        <f t="shared" si="39"/>
        <v>0.9</v>
      </c>
      <c r="AF154" s="137">
        <f t="shared" si="39"/>
        <v>0.9</v>
      </c>
      <c r="AG154" s="139">
        <v>4</v>
      </c>
      <c r="AH154" s="56"/>
      <c r="AI154" s="57"/>
      <c r="AK154" s="58"/>
    </row>
    <row r="155" spans="1:37" x14ac:dyDescent="0.25">
      <c r="A155" s="124" t="s">
        <v>158</v>
      </c>
      <c r="B155" s="136">
        <v>1.08</v>
      </c>
      <c r="C155" s="137">
        <f t="shared" si="38"/>
        <v>1.08</v>
      </c>
      <c r="D155" s="137">
        <f t="shared" si="38"/>
        <v>1.08</v>
      </c>
      <c r="E155" s="137">
        <f t="shared" si="38"/>
        <v>1.08</v>
      </c>
      <c r="F155" s="137">
        <f t="shared" si="38"/>
        <v>1.08</v>
      </c>
      <c r="G155" s="137">
        <f t="shared" si="38"/>
        <v>1.08</v>
      </c>
      <c r="H155" s="137">
        <f t="shared" si="38"/>
        <v>1.08</v>
      </c>
      <c r="I155" s="137">
        <f t="shared" si="38"/>
        <v>1.08</v>
      </c>
      <c r="J155" s="137">
        <f t="shared" si="38"/>
        <v>1.08</v>
      </c>
      <c r="K155" s="137">
        <f t="shared" si="38"/>
        <v>1.08</v>
      </c>
      <c r="L155" s="137">
        <f t="shared" si="38"/>
        <v>1.08</v>
      </c>
      <c r="M155" s="137">
        <f t="shared" si="38"/>
        <v>1.08</v>
      </c>
      <c r="N155" s="137">
        <f t="shared" si="38"/>
        <v>1.08</v>
      </c>
      <c r="O155" s="137">
        <f t="shared" si="38"/>
        <v>1.08</v>
      </c>
      <c r="P155" s="137">
        <f t="shared" si="38"/>
        <v>1.08</v>
      </c>
      <c r="Q155" s="137">
        <f t="shared" si="38"/>
        <v>1.08</v>
      </c>
      <c r="R155" s="137">
        <f t="shared" si="38"/>
        <v>1.08</v>
      </c>
      <c r="S155" s="137">
        <f t="shared" si="39"/>
        <v>1.08</v>
      </c>
      <c r="T155" s="137">
        <f t="shared" si="39"/>
        <v>1.08</v>
      </c>
      <c r="U155" s="137">
        <f t="shared" si="39"/>
        <v>1.08</v>
      </c>
      <c r="V155" s="137">
        <f t="shared" si="39"/>
        <v>1.08</v>
      </c>
      <c r="W155" s="137">
        <f t="shared" si="39"/>
        <v>1.08</v>
      </c>
      <c r="X155" s="137">
        <f t="shared" si="39"/>
        <v>1.08</v>
      </c>
      <c r="Y155" s="137">
        <f t="shared" si="39"/>
        <v>1.08</v>
      </c>
      <c r="Z155" s="137">
        <f t="shared" si="39"/>
        <v>1.08</v>
      </c>
      <c r="AA155" s="137">
        <f t="shared" si="39"/>
        <v>1.08</v>
      </c>
      <c r="AB155" s="137">
        <f t="shared" si="39"/>
        <v>1.08</v>
      </c>
      <c r="AC155" s="137">
        <f t="shared" si="39"/>
        <v>1.08</v>
      </c>
      <c r="AD155" s="137">
        <f t="shared" si="39"/>
        <v>1.08</v>
      </c>
      <c r="AE155" s="137">
        <f t="shared" si="39"/>
        <v>1.08</v>
      </c>
      <c r="AF155" s="137">
        <f t="shared" si="39"/>
        <v>1.08</v>
      </c>
      <c r="AG155" s="139">
        <v>3.75</v>
      </c>
      <c r="AH155" s="56"/>
      <c r="AI155" s="57"/>
      <c r="AK155" s="58"/>
    </row>
    <row r="156" spans="1:37" x14ac:dyDescent="0.25">
      <c r="A156" s="124" t="s">
        <v>159</v>
      </c>
      <c r="B156" s="136">
        <v>2.37</v>
      </c>
      <c r="C156" s="137">
        <f t="shared" si="38"/>
        <v>2.37</v>
      </c>
      <c r="D156" s="137">
        <f t="shared" si="38"/>
        <v>2.37</v>
      </c>
      <c r="E156" s="137">
        <f t="shared" si="38"/>
        <v>2.37</v>
      </c>
      <c r="F156" s="137">
        <f t="shared" si="38"/>
        <v>2.37</v>
      </c>
      <c r="G156" s="137">
        <f t="shared" si="38"/>
        <v>2.37</v>
      </c>
      <c r="H156" s="137">
        <f t="shared" si="38"/>
        <v>2.37</v>
      </c>
      <c r="I156" s="137">
        <f t="shared" si="38"/>
        <v>2.37</v>
      </c>
      <c r="J156" s="137">
        <f t="shared" si="38"/>
        <v>2.37</v>
      </c>
      <c r="K156" s="137">
        <f t="shared" si="38"/>
        <v>2.37</v>
      </c>
      <c r="L156" s="137">
        <f t="shared" si="38"/>
        <v>2.37</v>
      </c>
      <c r="M156" s="137">
        <f t="shared" si="38"/>
        <v>2.37</v>
      </c>
      <c r="N156" s="137">
        <f t="shared" si="38"/>
        <v>2.37</v>
      </c>
      <c r="O156" s="137">
        <f t="shared" si="38"/>
        <v>2.37</v>
      </c>
      <c r="P156" s="137">
        <f t="shared" si="38"/>
        <v>2.37</v>
      </c>
      <c r="Q156" s="137">
        <f t="shared" si="38"/>
        <v>2.37</v>
      </c>
      <c r="R156" s="137">
        <f t="shared" si="38"/>
        <v>2.37</v>
      </c>
      <c r="S156" s="137">
        <f t="shared" si="39"/>
        <v>2.37</v>
      </c>
      <c r="T156" s="137">
        <f t="shared" si="39"/>
        <v>2.37</v>
      </c>
      <c r="U156" s="137">
        <f t="shared" si="39"/>
        <v>2.37</v>
      </c>
      <c r="V156" s="137">
        <f t="shared" si="39"/>
        <v>2.37</v>
      </c>
      <c r="W156" s="137">
        <f t="shared" si="39"/>
        <v>2.37</v>
      </c>
      <c r="X156" s="137">
        <f t="shared" si="39"/>
        <v>2.37</v>
      </c>
      <c r="Y156" s="137">
        <f t="shared" si="39"/>
        <v>2.37</v>
      </c>
      <c r="Z156" s="137">
        <f t="shared" si="39"/>
        <v>2.37</v>
      </c>
      <c r="AA156" s="137">
        <f t="shared" si="39"/>
        <v>2.37</v>
      </c>
      <c r="AB156" s="137">
        <f t="shared" si="39"/>
        <v>2.37</v>
      </c>
      <c r="AC156" s="137">
        <f t="shared" si="39"/>
        <v>2.37</v>
      </c>
      <c r="AD156" s="137">
        <f t="shared" si="39"/>
        <v>2.37</v>
      </c>
      <c r="AE156" s="137">
        <f t="shared" si="39"/>
        <v>2.37</v>
      </c>
      <c r="AF156" s="137">
        <f t="shared" si="39"/>
        <v>2.37</v>
      </c>
      <c r="AG156" s="139">
        <v>3.52</v>
      </c>
      <c r="AH156" s="56"/>
      <c r="AI156" s="57"/>
      <c r="AK156" s="58"/>
    </row>
    <row r="157" spans="1:37" x14ac:dyDescent="0.25">
      <c r="A157" s="124" t="s">
        <v>160</v>
      </c>
      <c r="B157" s="136">
        <v>1.81</v>
      </c>
      <c r="C157" s="137">
        <f t="shared" si="38"/>
        <v>1.81</v>
      </c>
      <c r="D157" s="137">
        <f t="shared" si="38"/>
        <v>1.81</v>
      </c>
      <c r="E157" s="137">
        <f t="shared" si="38"/>
        <v>1.81</v>
      </c>
      <c r="F157" s="137">
        <f t="shared" si="38"/>
        <v>1.81</v>
      </c>
      <c r="G157" s="137">
        <f t="shared" si="38"/>
        <v>1.81</v>
      </c>
      <c r="H157" s="137">
        <f t="shared" si="38"/>
        <v>1.81</v>
      </c>
      <c r="I157" s="137">
        <f t="shared" si="38"/>
        <v>1.81</v>
      </c>
      <c r="J157" s="137">
        <f t="shared" si="38"/>
        <v>1.81</v>
      </c>
      <c r="K157" s="137">
        <f t="shared" si="38"/>
        <v>1.81</v>
      </c>
      <c r="L157" s="137">
        <f t="shared" si="38"/>
        <v>1.81</v>
      </c>
      <c r="M157" s="137">
        <f t="shared" si="38"/>
        <v>1.81</v>
      </c>
      <c r="N157" s="137">
        <f t="shared" si="38"/>
        <v>1.81</v>
      </c>
      <c r="O157" s="137">
        <f t="shared" si="38"/>
        <v>1.81</v>
      </c>
      <c r="P157" s="137">
        <f t="shared" si="38"/>
        <v>1.81</v>
      </c>
      <c r="Q157" s="137">
        <f t="shared" si="38"/>
        <v>1.81</v>
      </c>
      <c r="R157" s="137">
        <f t="shared" si="38"/>
        <v>1.81</v>
      </c>
      <c r="S157" s="137">
        <f t="shared" si="39"/>
        <v>1.81</v>
      </c>
      <c r="T157" s="137">
        <f t="shared" si="39"/>
        <v>1.81</v>
      </c>
      <c r="U157" s="137">
        <f t="shared" si="39"/>
        <v>1.81</v>
      </c>
      <c r="V157" s="137">
        <f t="shared" si="39"/>
        <v>1.81</v>
      </c>
      <c r="W157" s="137">
        <f t="shared" si="39"/>
        <v>1.81</v>
      </c>
      <c r="X157" s="137">
        <f t="shared" si="39"/>
        <v>1.81</v>
      </c>
      <c r="Y157" s="137">
        <f t="shared" si="39"/>
        <v>1.81</v>
      </c>
      <c r="Z157" s="137">
        <f t="shared" si="39"/>
        <v>1.81</v>
      </c>
      <c r="AA157" s="137">
        <f t="shared" si="39"/>
        <v>1.81</v>
      </c>
      <c r="AB157" s="137">
        <f t="shared" si="39"/>
        <v>1.81</v>
      </c>
      <c r="AC157" s="137">
        <f t="shared" si="39"/>
        <v>1.81</v>
      </c>
      <c r="AD157" s="137">
        <f t="shared" si="39"/>
        <v>1.81</v>
      </c>
      <c r="AE157" s="137">
        <f t="shared" si="39"/>
        <v>1.81</v>
      </c>
      <c r="AF157" s="137">
        <f t="shared" si="39"/>
        <v>1.81</v>
      </c>
      <c r="AG157" s="139">
        <v>3.33</v>
      </c>
      <c r="AH157" s="56"/>
      <c r="AI157" s="57"/>
      <c r="AK157" s="58"/>
    </row>
    <row r="158" spans="1:37" x14ac:dyDescent="0.25">
      <c r="A158" s="124" t="s">
        <v>161</v>
      </c>
      <c r="B158" s="136">
        <v>1.0900000000000001</v>
      </c>
      <c r="C158" s="137">
        <f t="shared" si="38"/>
        <v>1.0900000000000001</v>
      </c>
      <c r="D158" s="137">
        <f t="shared" si="38"/>
        <v>1.0900000000000001</v>
      </c>
      <c r="E158" s="137">
        <f t="shared" si="38"/>
        <v>1.0900000000000001</v>
      </c>
      <c r="F158" s="137">
        <f t="shared" si="38"/>
        <v>1.0900000000000001</v>
      </c>
      <c r="G158" s="137">
        <f t="shared" si="38"/>
        <v>1.0900000000000001</v>
      </c>
      <c r="H158" s="137">
        <f t="shared" si="38"/>
        <v>1.0900000000000001</v>
      </c>
      <c r="I158" s="137">
        <f t="shared" si="38"/>
        <v>1.0900000000000001</v>
      </c>
      <c r="J158" s="137">
        <f t="shared" si="38"/>
        <v>1.0900000000000001</v>
      </c>
      <c r="K158" s="137">
        <f t="shared" si="38"/>
        <v>1.0900000000000001</v>
      </c>
      <c r="L158" s="137">
        <f t="shared" si="38"/>
        <v>1.0900000000000001</v>
      </c>
      <c r="M158" s="137">
        <f t="shared" si="38"/>
        <v>1.0900000000000001</v>
      </c>
      <c r="N158" s="137">
        <f t="shared" si="38"/>
        <v>1.0900000000000001</v>
      </c>
      <c r="O158" s="137">
        <f t="shared" si="38"/>
        <v>1.0900000000000001</v>
      </c>
      <c r="P158" s="137">
        <f t="shared" si="38"/>
        <v>1.0900000000000001</v>
      </c>
      <c r="Q158" s="137">
        <f t="shared" si="38"/>
        <v>1.0900000000000001</v>
      </c>
      <c r="R158" s="137">
        <f t="shared" si="38"/>
        <v>1.0900000000000001</v>
      </c>
      <c r="S158" s="137">
        <f t="shared" si="39"/>
        <v>1.0900000000000001</v>
      </c>
      <c r="T158" s="137">
        <f t="shared" si="39"/>
        <v>1.0900000000000001</v>
      </c>
      <c r="U158" s="137">
        <f t="shared" si="39"/>
        <v>1.0900000000000001</v>
      </c>
      <c r="V158" s="137">
        <f t="shared" si="39"/>
        <v>1.0900000000000001</v>
      </c>
      <c r="W158" s="137">
        <f t="shared" si="39"/>
        <v>1.0900000000000001</v>
      </c>
      <c r="X158" s="137">
        <f t="shared" si="39"/>
        <v>1.0900000000000001</v>
      </c>
      <c r="Y158" s="137">
        <f t="shared" si="39"/>
        <v>1.0900000000000001</v>
      </c>
      <c r="Z158" s="137">
        <f t="shared" si="39"/>
        <v>1.0900000000000001</v>
      </c>
      <c r="AA158" s="137">
        <f t="shared" si="39"/>
        <v>1.0900000000000001</v>
      </c>
      <c r="AB158" s="137">
        <f t="shared" si="39"/>
        <v>1.0900000000000001</v>
      </c>
      <c r="AC158" s="137">
        <f t="shared" si="39"/>
        <v>1.0900000000000001</v>
      </c>
      <c r="AD158" s="137">
        <f t="shared" si="39"/>
        <v>1.0900000000000001</v>
      </c>
      <c r="AE158" s="137">
        <f t="shared" si="39"/>
        <v>1.0900000000000001</v>
      </c>
      <c r="AF158" s="137">
        <f t="shared" si="39"/>
        <v>1.0900000000000001</v>
      </c>
      <c r="AG158" s="139">
        <v>3.2</v>
      </c>
      <c r="AH158" s="56"/>
      <c r="AI158" s="57"/>
      <c r="AK158" s="58"/>
    </row>
    <row r="159" spans="1:37" x14ac:dyDescent="0.25">
      <c r="A159" s="124" t="s">
        <v>162</v>
      </c>
      <c r="B159" s="136">
        <v>1.58</v>
      </c>
      <c r="C159" s="137">
        <f t="shared" si="38"/>
        <v>1.58</v>
      </c>
      <c r="D159" s="137">
        <f t="shared" si="38"/>
        <v>1.58</v>
      </c>
      <c r="E159" s="137">
        <f t="shared" si="38"/>
        <v>1.58</v>
      </c>
      <c r="F159" s="137">
        <f t="shared" si="38"/>
        <v>1.58</v>
      </c>
      <c r="G159" s="137">
        <f t="shared" si="38"/>
        <v>1.58</v>
      </c>
      <c r="H159" s="137">
        <f t="shared" si="38"/>
        <v>1.58</v>
      </c>
      <c r="I159" s="137">
        <f t="shared" si="38"/>
        <v>1.58</v>
      </c>
      <c r="J159" s="137">
        <f t="shared" si="38"/>
        <v>1.58</v>
      </c>
      <c r="K159" s="137">
        <f t="shared" si="38"/>
        <v>1.58</v>
      </c>
      <c r="L159" s="137">
        <f t="shared" si="38"/>
        <v>1.58</v>
      </c>
      <c r="M159" s="137">
        <f t="shared" si="38"/>
        <v>1.58</v>
      </c>
      <c r="N159" s="137">
        <f t="shared" si="38"/>
        <v>1.58</v>
      </c>
      <c r="O159" s="137">
        <f t="shared" si="38"/>
        <v>1.58</v>
      </c>
      <c r="P159" s="137">
        <f t="shared" si="38"/>
        <v>1.58</v>
      </c>
      <c r="Q159" s="137">
        <f t="shared" si="38"/>
        <v>1.58</v>
      </c>
      <c r="R159" s="137">
        <f t="shared" si="38"/>
        <v>1.58</v>
      </c>
      <c r="S159" s="137">
        <f t="shared" si="39"/>
        <v>1.58</v>
      </c>
      <c r="T159" s="137">
        <f t="shared" si="39"/>
        <v>1.58</v>
      </c>
      <c r="U159" s="137">
        <f t="shared" si="39"/>
        <v>1.58</v>
      </c>
      <c r="V159" s="137">
        <f t="shared" si="39"/>
        <v>1.58</v>
      </c>
      <c r="W159" s="137">
        <f t="shared" si="39"/>
        <v>1.58</v>
      </c>
      <c r="X159" s="137">
        <f t="shared" si="39"/>
        <v>1.58</v>
      </c>
      <c r="Y159" s="137">
        <f t="shared" si="39"/>
        <v>1.58</v>
      </c>
      <c r="Z159" s="137">
        <f t="shared" si="39"/>
        <v>1.58</v>
      </c>
      <c r="AA159" s="137">
        <f t="shared" si="39"/>
        <v>1.58</v>
      </c>
      <c r="AB159" s="137">
        <f t="shared" si="39"/>
        <v>1.58</v>
      </c>
      <c r="AC159" s="137">
        <f t="shared" si="39"/>
        <v>1.58</v>
      </c>
      <c r="AD159" s="137">
        <f t="shared" si="39"/>
        <v>1.58</v>
      </c>
      <c r="AE159" s="137">
        <f t="shared" si="39"/>
        <v>1.58</v>
      </c>
      <c r="AF159" s="137">
        <f t="shared" si="39"/>
        <v>1.58</v>
      </c>
      <c r="AG159" s="139">
        <v>3</v>
      </c>
      <c r="AH159" s="56"/>
      <c r="AI159" s="57"/>
      <c r="AK159" s="58"/>
    </row>
    <row r="160" spans="1:37" x14ac:dyDescent="0.25">
      <c r="A160" s="124" t="s">
        <v>163</v>
      </c>
      <c r="B160" s="136">
        <v>2</v>
      </c>
      <c r="C160" s="137">
        <f t="shared" si="38"/>
        <v>2</v>
      </c>
      <c r="D160" s="137">
        <f t="shared" si="38"/>
        <v>2</v>
      </c>
      <c r="E160" s="137">
        <f t="shared" si="38"/>
        <v>2</v>
      </c>
      <c r="F160" s="137">
        <f t="shared" si="38"/>
        <v>2</v>
      </c>
      <c r="G160" s="137">
        <f t="shared" si="38"/>
        <v>2</v>
      </c>
      <c r="H160" s="137">
        <f t="shared" si="38"/>
        <v>2</v>
      </c>
      <c r="I160" s="137">
        <f t="shared" si="38"/>
        <v>2</v>
      </c>
      <c r="J160" s="137">
        <f t="shared" si="38"/>
        <v>2</v>
      </c>
      <c r="K160" s="137">
        <f t="shared" si="38"/>
        <v>2</v>
      </c>
      <c r="L160" s="137">
        <f t="shared" si="38"/>
        <v>2</v>
      </c>
      <c r="M160" s="137">
        <f t="shared" si="38"/>
        <v>2</v>
      </c>
      <c r="N160" s="137">
        <f t="shared" si="38"/>
        <v>2</v>
      </c>
      <c r="O160" s="137">
        <f t="shared" si="38"/>
        <v>2</v>
      </c>
      <c r="P160" s="137">
        <f t="shared" si="38"/>
        <v>2</v>
      </c>
      <c r="Q160" s="137">
        <f t="shared" si="38"/>
        <v>2</v>
      </c>
      <c r="R160" s="137">
        <f t="shared" si="38"/>
        <v>2</v>
      </c>
      <c r="S160" s="137">
        <f t="shared" si="39"/>
        <v>2</v>
      </c>
      <c r="T160" s="137">
        <f t="shared" si="39"/>
        <v>2</v>
      </c>
      <c r="U160" s="137">
        <f t="shared" si="39"/>
        <v>2</v>
      </c>
      <c r="V160" s="137">
        <f t="shared" si="39"/>
        <v>2</v>
      </c>
      <c r="W160" s="137">
        <f t="shared" si="39"/>
        <v>2</v>
      </c>
      <c r="X160" s="137">
        <f t="shared" si="39"/>
        <v>2</v>
      </c>
      <c r="Y160" s="137">
        <f t="shared" si="39"/>
        <v>2</v>
      </c>
      <c r="Z160" s="137">
        <f t="shared" si="39"/>
        <v>2</v>
      </c>
      <c r="AA160" s="137">
        <f t="shared" si="39"/>
        <v>2</v>
      </c>
      <c r="AB160" s="137">
        <f t="shared" si="39"/>
        <v>2</v>
      </c>
      <c r="AC160" s="137">
        <f t="shared" si="39"/>
        <v>2</v>
      </c>
      <c r="AD160" s="137">
        <f t="shared" si="39"/>
        <v>2</v>
      </c>
      <c r="AE160" s="137">
        <f t="shared" si="39"/>
        <v>2</v>
      </c>
      <c r="AF160" s="137">
        <f t="shared" si="39"/>
        <v>2</v>
      </c>
      <c r="AG160" s="139">
        <v>3</v>
      </c>
      <c r="AH160" s="56"/>
      <c r="AI160" s="57"/>
      <c r="AK160" s="58"/>
    </row>
    <row r="161" spans="1:37" x14ac:dyDescent="0.25">
      <c r="A161" s="124" t="s">
        <v>164</v>
      </c>
      <c r="B161" s="136">
        <v>0.47</v>
      </c>
      <c r="C161" s="137">
        <f t="shared" si="38"/>
        <v>0.47</v>
      </c>
      <c r="D161" s="137">
        <f t="shared" si="38"/>
        <v>0.47</v>
      </c>
      <c r="E161" s="137">
        <f t="shared" si="38"/>
        <v>0.47</v>
      </c>
      <c r="F161" s="137">
        <f t="shared" si="38"/>
        <v>0.47</v>
      </c>
      <c r="G161" s="137">
        <f t="shared" si="38"/>
        <v>0.47</v>
      </c>
      <c r="H161" s="137">
        <f t="shared" si="38"/>
        <v>0.47</v>
      </c>
      <c r="I161" s="137">
        <f t="shared" si="38"/>
        <v>0.47</v>
      </c>
      <c r="J161" s="137">
        <f t="shared" si="38"/>
        <v>0.47</v>
      </c>
      <c r="K161" s="137">
        <f t="shared" si="38"/>
        <v>0.47</v>
      </c>
      <c r="L161" s="137">
        <f t="shared" si="38"/>
        <v>0.47</v>
      </c>
      <c r="M161" s="137">
        <f t="shared" si="38"/>
        <v>0.47</v>
      </c>
      <c r="N161" s="137">
        <f t="shared" si="38"/>
        <v>0.47</v>
      </c>
      <c r="O161" s="137">
        <f t="shared" si="38"/>
        <v>0.47</v>
      </c>
      <c r="P161" s="137">
        <f t="shared" si="38"/>
        <v>0.47</v>
      </c>
      <c r="Q161" s="137">
        <f t="shared" si="38"/>
        <v>0.47</v>
      </c>
      <c r="R161" s="137">
        <f t="shared" si="38"/>
        <v>0.47</v>
      </c>
      <c r="S161" s="137">
        <f t="shared" si="39"/>
        <v>0.47</v>
      </c>
      <c r="T161" s="137">
        <f t="shared" si="39"/>
        <v>0.47</v>
      </c>
      <c r="U161" s="137">
        <f t="shared" si="39"/>
        <v>0.47</v>
      </c>
      <c r="V161" s="137">
        <f t="shared" si="39"/>
        <v>0.47</v>
      </c>
      <c r="W161" s="137">
        <f t="shared" si="39"/>
        <v>0.47</v>
      </c>
      <c r="X161" s="137">
        <f t="shared" si="39"/>
        <v>0.47</v>
      </c>
      <c r="Y161" s="137">
        <f t="shared" si="39"/>
        <v>0.47</v>
      </c>
      <c r="Z161" s="137">
        <f t="shared" si="39"/>
        <v>0.47</v>
      </c>
      <c r="AA161" s="137">
        <f t="shared" si="39"/>
        <v>0.47</v>
      </c>
      <c r="AB161" s="137">
        <f t="shared" si="39"/>
        <v>0.47</v>
      </c>
      <c r="AC161" s="137">
        <f t="shared" si="39"/>
        <v>0.47</v>
      </c>
      <c r="AD161" s="137">
        <f t="shared" si="39"/>
        <v>0.47</v>
      </c>
      <c r="AE161" s="137">
        <f t="shared" si="39"/>
        <v>0.47</v>
      </c>
      <c r="AF161" s="137">
        <f t="shared" si="39"/>
        <v>0.47</v>
      </c>
      <c r="AG161" s="139">
        <v>3</v>
      </c>
      <c r="AH161" s="56"/>
      <c r="AI161" s="57"/>
      <c r="AK161" s="58"/>
    </row>
    <row r="162" spans="1:37" x14ac:dyDescent="0.25">
      <c r="A162" s="124" t="s">
        <v>165</v>
      </c>
      <c r="B162" s="136">
        <v>0</v>
      </c>
      <c r="C162" s="137">
        <f t="shared" si="38"/>
        <v>0</v>
      </c>
      <c r="D162" s="137">
        <f t="shared" si="38"/>
        <v>0</v>
      </c>
      <c r="E162" s="137">
        <f t="shared" si="38"/>
        <v>0</v>
      </c>
      <c r="F162" s="137">
        <f t="shared" si="38"/>
        <v>0</v>
      </c>
      <c r="G162" s="137">
        <f t="shared" si="38"/>
        <v>0</v>
      </c>
      <c r="H162" s="137">
        <f t="shared" si="38"/>
        <v>0</v>
      </c>
      <c r="I162" s="137">
        <f t="shared" si="38"/>
        <v>0</v>
      </c>
      <c r="J162" s="137">
        <f t="shared" si="38"/>
        <v>0</v>
      </c>
      <c r="K162" s="137">
        <f t="shared" si="38"/>
        <v>0</v>
      </c>
      <c r="L162" s="137">
        <f t="shared" si="38"/>
        <v>0</v>
      </c>
      <c r="M162" s="137">
        <f t="shared" si="38"/>
        <v>0</v>
      </c>
      <c r="N162" s="137">
        <f t="shared" si="38"/>
        <v>0</v>
      </c>
      <c r="O162" s="137">
        <f t="shared" si="38"/>
        <v>0</v>
      </c>
      <c r="P162" s="137">
        <f t="shared" si="38"/>
        <v>0</v>
      </c>
      <c r="Q162" s="137">
        <f t="shared" si="38"/>
        <v>0</v>
      </c>
      <c r="R162" s="137">
        <f t="shared" si="38"/>
        <v>0</v>
      </c>
      <c r="S162" s="137">
        <f t="shared" si="39"/>
        <v>0</v>
      </c>
      <c r="T162" s="137">
        <f t="shared" si="39"/>
        <v>0</v>
      </c>
      <c r="U162" s="137">
        <f t="shared" si="39"/>
        <v>0</v>
      </c>
      <c r="V162" s="137">
        <f t="shared" si="39"/>
        <v>0</v>
      </c>
      <c r="W162" s="137">
        <f t="shared" si="39"/>
        <v>0</v>
      </c>
      <c r="X162" s="137">
        <f t="shared" si="39"/>
        <v>0</v>
      </c>
      <c r="Y162" s="137">
        <f t="shared" si="39"/>
        <v>0</v>
      </c>
      <c r="Z162" s="137">
        <f t="shared" si="39"/>
        <v>0</v>
      </c>
      <c r="AA162" s="137">
        <f t="shared" si="39"/>
        <v>0</v>
      </c>
      <c r="AB162" s="137">
        <f t="shared" si="39"/>
        <v>0</v>
      </c>
      <c r="AC162" s="137">
        <f t="shared" si="39"/>
        <v>0</v>
      </c>
      <c r="AD162" s="137">
        <f t="shared" si="39"/>
        <v>0</v>
      </c>
      <c r="AE162" s="137">
        <f t="shared" si="39"/>
        <v>0</v>
      </c>
      <c r="AF162" s="137">
        <f t="shared" si="39"/>
        <v>0</v>
      </c>
      <c r="AG162" s="139">
        <v>3</v>
      </c>
      <c r="AH162" s="56"/>
      <c r="AI162" s="57"/>
      <c r="AK162" s="58"/>
    </row>
    <row r="163" spans="1:37" x14ac:dyDescent="0.25">
      <c r="A163" s="124" t="s">
        <v>166</v>
      </c>
      <c r="B163" s="136">
        <v>0</v>
      </c>
      <c r="C163" s="137">
        <f t="shared" si="38"/>
        <v>0</v>
      </c>
      <c r="D163" s="137">
        <f t="shared" si="38"/>
        <v>0</v>
      </c>
      <c r="E163" s="137">
        <f t="shared" si="38"/>
        <v>0</v>
      </c>
      <c r="F163" s="137">
        <f t="shared" si="38"/>
        <v>0</v>
      </c>
      <c r="G163" s="137">
        <f t="shared" si="38"/>
        <v>0</v>
      </c>
      <c r="H163" s="137">
        <f t="shared" si="38"/>
        <v>0</v>
      </c>
      <c r="I163" s="137">
        <f t="shared" si="38"/>
        <v>0</v>
      </c>
      <c r="J163" s="137">
        <f t="shared" si="38"/>
        <v>0</v>
      </c>
      <c r="K163" s="137">
        <f t="shared" si="38"/>
        <v>0</v>
      </c>
      <c r="L163" s="137">
        <f t="shared" si="38"/>
        <v>0</v>
      </c>
      <c r="M163" s="137">
        <f t="shared" si="38"/>
        <v>0</v>
      </c>
      <c r="N163" s="137">
        <f t="shared" si="38"/>
        <v>0</v>
      </c>
      <c r="O163" s="137">
        <f t="shared" si="38"/>
        <v>0</v>
      </c>
      <c r="P163" s="137">
        <f t="shared" si="38"/>
        <v>0</v>
      </c>
      <c r="Q163" s="137">
        <f t="shared" si="38"/>
        <v>0</v>
      </c>
      <c r="R163" s="137">
        <f t="shared" si="39"/>
        <v>0</v>
      </c>
      <c r="S163" s="137">
        <f t="shared" si="39"/>
        <v>0</v>
      </c>
      <c r="T163" s="137">
        <f t="shared" si="39"/>
        <v>0</v>
      </c>
      <c r="U163" s="137">
        <f t="shared" si="39"/>
        <v>0</v>
      </c>
      <c r="V163" s="137">
        <f t="shared" si="39"/>
        <v>0</v>
      </c>
      <c r="W163" s="137">
        <f t="shared" si="39"/>
        <v>0</v>
      </c>
      <c r="X163" s="137">
        <f t="shared" si="39"/>
        <v>0</v>
      </c>
      <c r="Y163" s="137">
        <f t="shared" si="39"/>
        <v>0</v>
      </c>
      <c r="Z163" s="137">
        <f t="shared" si="39"/>
        <v>0</v>
      </c>
      <c r="AA163" s="137">
        <f t="shared" si="39"/>
        <v>0</v>
      </c>
      <c r="AB163" s="137">
        <f t="shared" si="39"/>
        <v>0</v>
      </c>
      <c r="AC163" s="137">
        <f t="shared" si="39"/>
        <v>0</v>
      </c>
      <c r="AD163" s="137">
        <f t="shared" si="39"/>
        <v>0</v>
      </c>
      <c r="AE163" s="137">
        <f t="shared" si="39"/>
        <v>0</v>
      </c>
      <c r="AF163" s="137">
        <f t="shared" si="39"/>
        <v>0</v>
      </c>
      <c r="AG163" s="139">
        <v>3</v>
      </c>
      <c r="AH163" s="56"/>
      <c r="AI163" s="57"/>
      <c r="AK163" s="58"/>
    </row>
    <row r="164" spans="1:37" x14ac:dyDescent="0.25">
      <c r="A164" s="124" t="s">
        <v>167</v>
      </c>
      <c r="B164" s="136">
        <v>0.8</v>
      </c>
      <c r="C164" s="137">
        <f t="shared" si="38"/>
        <v>0.8</v>
      </c>
      <c r="D164" s="137">
        <f t="shared" si="38"/>
        <v>0.8</v>
      </c>
      <c r="E164" s="137">
        <f t="shared" si="38"/>
        <v>0.8</v>
      </c>
      <c r="F164" s="137">
        <f t="shared" si="38"/>
        <v>0.8</v>
      </c>
      <c r="G164" s="137">
        <f t="shared" si="38"/>
        <v>0.8</v>
      </c>
      <c r="H164" s="137">
        <f t="shared" si="38"/>
        <v>0.8</v>
      </c>
      <c r="I164" s="137">
        <f t="shared" si="38"/>
        <v>0.8</v>
      </c>
      <c r="J164" s="137">
        <f t="shared" si="38"/>
        <v>0.8</v>
      </c>
      <c r="K164" s="137">
        <f t="shared" si="38"/>
        <v>0.8</v>
      </c>
      <c r="L164" s="137">
        <f t="shared" si="38"/>
        <v>0.8</v>
      </c>
      <c r="M164" s="137">
        <f t="shared" si="38"/>
        <v>0.8</v>
      </c>
      <c r="N164" s="137">
        <f t="shared" si="38"/>
        <v>0.8</v>
      </c>
      <c r="O164" s="137">
        <f t="shared" si="38"/>
        <v>0.8</v>
      </c>
      <c r="P164" s="137">
        <f t="shared" si="38"/>
        <v>0.8</v>
      </c>
      <c r="Q164" s="137">
        <f t="shared" si="38"/>
        <v>0.8</v>
      </c>
      <c r="R164" s="137">
        <f t="shared" si="39"/>
        <v>0.8</v>
      </c>
      <c r="S164" s="137">
        <f t="shared" si="39"/>
        <v>0.8</v>
      </c>
      <c r="T164" s="137">
        <f t="shared" si="39"/>
        <v>0.8</v>
      </c>
      <c r="U164" s="137">
        <f t="shared" si="39"/>
        <v>0.8</v>
      </c>
      <c r="V164" s="137">
        <f t="shared" si="39"/>
        <v>0.8</v>
      </c>
      <c r="W164" s="137">
        <f t="shared" si="39"/>
        <v>0.8</v>
      </c>
      <c r="X164" s="137">
        <f t="shared" si="39"/>
        <v>0.8</v>
      </c>
      <c r="Y164" s="137">
        <f t="shared" si="39"/>
        <v>0.8</v>
      </c>
      <c r="Z164" s="137">
        <f t="shared" si="39"/>
        <v>0.8</v>
      </c>
      <c r="AA164" s="137">
        <f t="shared" si="39"/>
        <v>0.8</v>
      </c>
      <c r="AB164" s="137">
        <f t="shared" si="39"/>
        <v>0.8</v>
      </c>
      <c r="AC164" s="137">
        <f t="shared" si="39"/>
        <v>0.8</v>
      </c>
      <c r="AD164" s="137">
        <f t="shared" si="39"/>
        <v>0.8</v>
      </c>
      <c r="AE164" s="137">
        <f t="shared" si="39"/>
        <v>0.8</v>
      </c>
      <c r="AF164" s="137">
        <f t="shared" si="39"/>
        <v>0.8</v>
      </c>
      <c r="AG164" s="139">
        <v>3</v>
      </c>
      <c r="AH164" s="56"/>
      <c r="AI164" s="57"/>
      <c r="AK164" s="58"/>
    </row>
    <row r="165" spans="1:37" x14ac:dyDescent="0.25">
      <c r="A165" s="124" t="s">
        <v>168</v>
      </c>
      <c r="B165" s="136">
        <v>1.5</v>
      </c>
      <c r="C165" s="137">
        <f t="shared" si="38"/>
        <v>1.5</v>
      </c>
      <c r="D165" s="137">
        <f t="shared" si="38"/>
        <v>1.5</v>
      </c>
      <c r="E165" s="137">
        <f t="shared" si="38"/>
        <v>1.5</v>
      </c>
      <c r="F165" s="137">
        <f t="shared" si="38"/>
        <v>1.5</v>
      </c>
      <c r="G165" s="137">
        <f t="shared" si="38"/>
        <v>1.5</v>
      </c>
      <c r="H165" s="137">
        <f t="shared" si="38"/>
        <v>1.5</v>
      </c>
      <c r="I165" s="137">
        <f t="shared" si="38"/>
        <v>1.5</v>
      </c>
      <c r="J165" s="137">
        <f t="shared" si="38"/>
        <v>1.5</v>
      </c>
      <c r="K165" s="137">
        <f t="shared" si="38"/>
        <v>1.5</v>
      </c>
      <c r="L165" s="137">
        <f t="shared" si="38"/>
        <v>1.5</v>
      </c>
      <c r="M165" s="137">
        <f t="shared" si="38"/>
        <v>1.5</v>
      </c>
      <c r="N165" s="137">
        <f t="shared" si="38"/>
        <v>1.5</v>
      </c>
      <c r="O165" s="137">
        <f t="shared" si="38"/>
        <v>1.5</v>
      </c>
      <c r="P165" s="137">
        <f t="shared" si="38"/>
        <v>1.5</v>
      </c>
      <c r="Q165" s="137">
        <f t="shared" si="38"/>
        <v>1.5</v>
      </c>
      <c r="R165" s="137">
        <f t="shared" si="39"/>
        <v>1.5</v>
      </c>
      <c r="S165" s="137">
        <f t="shared" si="39"/>
        <v>1.5</v>
      </c>
      <c r="T165" s="137">
        <f t="shared" si="39"/>
        <v>1.5</v>
      </c>
      <c r="U165" s="137">
        <f t="shared" si="39"/>
        <v>1.5</v>
      </c>
      <c r="V165" s="137">
        <f t="shared" si="39"/>
        <v>1.5</v>
      </c>
      <c r="W165" s="137">
        <f t="shared" si="39"/>
        <v>1.5</v>
      </c>
      <c r="X165" s="137">
        <f t="shared" si="39"/>
        <v>1.5</v>
      </c>
      <c r="Y165" s="137">
        <f t="shared" si="39"/>
        <v>1.5</v>
      </c>
      <c r="Z165" s="137">
        <f t="shared" si="39"/>
        <v>1.5</v>
      </c>
      <c r="AA165" s="137">
        <f t="shared" si="39"/>
        <v>1.5</v>
      </c>
      <c r="AB165" s="137">
        <f t="shared" si="39"/>
        <v>1.5</v>
      </c>
      <c r="AC165" s="137">
        <f t="shared" si="39"/>
        <v>1.5</v>
      </c>
      <c r="AD165" s="137">
        <f t="shared" si="39"/>
        <v>1.5</v>
      </c>
      <c r="AE165" s="137">
        <f t="shared" si="39"/>
        <v>1.5</v>
      </c>
      <c r="AF165" s="137">
        <f t="shared" si="39"/>
        <v>1.5</v>
      </c>
      <c r="AG165" s="139">
        <v>3</v>
      </c>
      <c r="AH165" s="56"/>
      <c r="AI165" s="57"/>
      <c r="AK165" s="58"/>
    </row>
    <row r="166" spans="1:37" x14ac:dyDescent="0.25">
      <c r="A166" s="124" t="s">
        <v>169</v>
      </c>
      <c r="B166" s="136">
        <v>1</v>
      </c>
      <c r="C166" s="137">
        <f t="shared" si="38"/>
        <v>1</v>
      </c>
      <c r="D166" s="137">
        <f t="shared" si="38"/>
        <v>1</v>
      </c>
      <c r="E166" s="137">
        <f t="shared" si="38"/>
        <v>1</v>
      </c>
      <c r="F166" s="137">
        <f t="shared" si="38"/>
        <v>1</v>
      </c>
      <c r="G166" s="137">
        <f t="shared" si="38"/>
        <v>1</v>
      </c>
      <c r="H166" s="137">
        <f t="shared" si="38"/>
        <v>1</v>
      </c>
      <c r="I166" s="137">
        <f t="shared" si="38"/>
        <v>1</v>
      </c>
      <c r="J166" s="137">
        <f t="shared" si="38"/>
        <v>1</v>
      </c>
      <c r="K166" s="137">
        <f t="shared" si="38"/>
        <v>1</v>
      </c>
      <c r="L166" s="137">
        <f t="shared" si="38"/>
        <v>1</v>
      </c>
      <c r="M166" s="137">
        <f t="shared" si="38"/>
        <v>1</v>
      </c>
      <c r="N166" s="137">
        <f t="shared" si="38"/>
        <v>1</v>
      </c>
      <c r="O166" s="137">
        <f t="shared" si="38"/>
        <v>1</v>
      </c>
      <c r="P166" s="137">
        <f t="shared" si="38"/>
        <v>1</v>
      </c>
      <c r="Q166" s="137">
        <f t="shared" si="38"/>
        <v>1</v>
      </c>
      <c r="R166" s="137">
        <f t="shared" si="39"/>
        <v>1</v>
      </c>
      <c r="S166" s="137">
        <f t="shared" si="39"/>
        <v>1</v>
      </c>
      <c r="T166" s="137">
        <f t="shared" si="39"/>
        <v>1</v>
      </c>
      <c r="U166" s="137">
        <f t="shared" si="39"/>
        <v>1</v>
      </c>
      <c r="V166" s="137">
        <f t="shared" si="39"/>
        <v>1</v>
      </c>
      <c r="W166" s="137">
        <f t="shared" si="39"/>
        <v>1</v>
      </c>
      <c r="X166" s="137">
        <f t="shared" si="39"/>
        <v>1</v>
      </c>
      <c r="Y166" s="137">
        <f t="shared" si="39"/>
        <v>1</v>
      </c>
      <c r="Z166" s="137">
        <f t="shared" si="39"/>
        <v>1</v>
      </c>
      <c r="AA166" s="137">
        <f t="shared" si="39"/>
        <v>1</v>
      </c>
      <c r="AB166" s="137">
        <f t="shared" si="39"/>
        <v>1</v>
      </c>
      <c r="AC166" s="137">
        <f t="shared" si="39"/>
        <v>1</v>
      </c>
      <c r="AD166" s="137">
        <f t="shared" si="39"/>
        <v>1</v>
      </c>
      <c r="AE166" s="137">
        <f t="shared" si="39"/>
        <v>1</v>
      </c>
      <c r="AF166" s="137">
        <f t="shared" si="39"/>
        <v>1</v>
      </c>
      <c r="AG166" s="139">
        <v>3</v>
      </c>
      <c r="AH166" s="56"/>
      <c r="AI166" s="57"/>
      <c r="AK166" s="58"/>
    </row>
    <row r="167" spans="1:37" x14ac:dyDescent="0.25">
      <c r="A167" s="124" t="s">
        <v>170</v>
      </c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9">
        <v>2.83</v>
      </c>
      <c r="AH167" s="56"/>
      <c r="AI167" s="57"/>
      <c r="AK167" s="58"/>
    </row>
    <row r="168" spans="1:37" x14ac:dyDescent="0.25">
      <c r="A168" s="124" t="s">
        <v>171</v>
      </c>
      <c r="B168" s="136">
        <v>1</v>
      </c>
      <c r="C168" s="137">
        <f t="shared" ref="C168:R175" si="40">B168</f>
        <v>1</v>
      </c>
      <c r="D168" s="137">
        <f t="shared" si="40"/>
        <v>1</v>
      </c>
      <c r="E168" s="137">
        <f t="shared" si="40"/>
        <v>1</v>
      </c>
      <c r="F168" s="137">
        <f t="shared" si="40"/>
        <v>1</v>
      </c>
      <c r="G168" s="137">
        <f t="shared" si="40"/>
        <v>1</v>
      </c>
      <c r="H168" s="137">
        <f t="shared" si="40"/>
        <v>1</v>
      </c>
      <c r="I168" s="137">
        <f t="shared" si="40"/>
        <v>1</v>
      </c>
      <c r="J168" s="137">
        <f t="shared" si="40"/>
        <v>1</v>
      </c>
      <c r="K168" s="137">
        <f t="shared" si="40"/>
        <v>1</v>
      </c>
      <c r="L168" s="137">
        <f t="shared" si="40"/>
        <v>1</v>
      </c>
      <c r="M168" s="137">
        <f t="shared" si="40"/>
        <v>1</v>
      </c>
      <c r="N168" s="137">
        <f t="shared" si="40"/>
        <v>1</v>
      </c>
      <c r="O168" s="137">
        <f t="shared" si="40"/>
        <v>1</v>
      </c>
      <c r="P168" s="137">
        <f t="shared" si="40"/>
        <v>1</v>
      </c>
      <c r="Q168" s="137">
        <f t="shared" si="40"/>
        <v>1</v>
      </c>
      <c r="R168" s="137">
        <f t="shared" si="40"/>
        <v>1</v>
      </c>
      <c r="S168" s="137">
        <f t="shared" ref="R168:AF175" si="41">R168</f>
        <v>1</v>
      </c>
      <c r="T168" s="137">
        <f t="shared" si="41"/>
        <v>1</v>
      </c>
      <c r="U168" s="137">
        <f t="shared" si="41"/>
        <v>1</v>
      </c>
      <c r="V168" s="137">
        <f t="shared" si="41"/>
        <v>1</v>
      </c>
      <c r="W168" s="137">
        <f t="shared" si="41"/>
        <v>1</v>
      </c>
      <c r="X168" s="137">
        <f t="shared" si="41"/>
        <v>1</v>
      </c>
      <c r="Y168" s="137">
        <f t="shared" si="41"/>
        <v>1</v>
      </c>
      <c r="Z168" s="137">
        <f t="shared" si="41"/>
        <v>1</v>
      </c>
      <c r="AA168" s="137">
        <f t="shared" si="41"/>
        <v>1</v>
      </c>
      <c r="AB168" s="137">
        <f t="shared" si="41"/>
        <v>1</v>
      </c>
      <c r="AC168" s="137">
        <f t="shared" si="41"/>
        <v>1</v>
      </c>
      <c r="AD168" s="137">
        <f t="shared" si="41"/>
        <v>1</v>
      </c>
      <c r="AE168" s="137">
        <f t="shared" si="41"/>
        <v>1</v>
      </c>
      <c r="AF168" s="137">
        <f t="shared" si="41"/>
        <v>1</v>
      </c>
      <c r="AG168" s="139">
        <v>2.5</v>
      </c>
      <c r="AH168" s="56"/>
      <c r="AI168" s="57"/>
      <c r="AK168" s="58"/>
    </row>
    <row r="169" spans="1:37" x14ac:dyDescent="0.25">
      <c r="A169" s="124" t="s">
        <v>172</v>
      </c>
      <c r="B169" s="136">
        <v>0.42</v>
      </c>
      <c r="C169" s="137">
        <f t="shared" si="40"/>
        <v>0.42</v>
      </c>
      <c r="D169" s="137">
        <f t="shared" si="40"/>
        <v>0.42</v>
      </c>
      <c r="E169" s="137">
        <f t="shared" si="40"/>
        <v>0.42</v>
      </c>
      <c r="F169" s="137">
        <f t="shared" si="40"/>
        <v>0.42</v>
      </c>
      <c r="G169" s="137">
        <f t="shared" si="40"/>
        <v>0.42</v>
      </c>
      <c r="H169" s="137">
        <f t="shared" si="40"/>
        <v>0.42</v>
      </c>
      <c r="I169" s="137">
        <f t="shared" si="40"/>
        <v>0.42</v>
      </c>
      <c r="J169" s="137">
        <f t="shared" si="40"/>
        <v>0.42</v>
      </c>
      <c r="K169" s="137">
        <f t="shared" si="40"/>
        <v>0.42</v>
      </c>
      <c r="L169" s="137">
        <f t="shared" si="40"/>
        <v>0.42</v>
      </c>
      <c r="M169" s="137">
        <f t="shared" si="40"/>
        <v>0.42</v>
      </c>
      <c r="N169" s="137">
        <f t="shared" si="40"/>
        <v>0.42</v>
      </c>
      <c r="O169" s="137">
        <f t="shared" si="40"/>
        <v>0.42</v>
      </c>
      <c r="P169" s="137">
        <f t="shared" si="40"/>
        <v>0.42</v>
      </c>
      <c r="Q169" s="137">
        <f t="shared" si="40"/>
        <v>0.42</v>
      </c>
      <c r="R169" s="137">
        <f t="shared" si="41"/>
        <v>0.42</v>
      </c>
      <c r="S169" s="137">
        <f t="shared" si="41"/>
        <v>0.42</v>
      </c>
      <c r="T169" s="137">
        <f t="shared" si="41"/>
        <v>0.42</v>
      </c>
      <c r="U169" s="137">
        <f t="shared" si="41"/>
        <v>0.42</v>
      </c>
      <c r="V169" s="137">
        <f t="shared" si="41"/>
        <v>0.42</v>
      </c>
      <c r="W169" s="137">
        <f t="shared" si="41"/>
        <v>0.42</v>
      </c>
      <c r="X169" s="137">
        <f t="shared" si="41"/>
        <v>0.42</v>
      </c>
      <c r="Y169" s="137">
        <f t="shared" si="41"/>
        <v>0.42</v>
      </c>
      <c r="Z169" s="137">
        <f t="shared" si="41"/>
        <v>0.42</v>
      </c>
      <c r="AA169" s="137">
        <f t="shared" si="41"/>
        <v>0.42</v>
      </c>
      <c r="AB169" s="137">
        <f t="shared" si="41"/>
        <v>0.42</v>
      </c>
      <c r="AC169" s="137">
        <f t="shared" si="41"/>
        <v>0.42</v>
      </c>
      <c r="AD169" s="137">
        <f t="shared" si="41"/>
        <v>0.42</v>
      </c>
      <c r="AE169" s="137">
        <f t="shared" si="41"/>
        <v>0.42</v>
      </c>
      <c r="AF169" s="137">
        <f t="shared" si="41"/>
        <v>0.42</v>
      </c>
      <c r="AG169" s="139">
        <v>2.5</v>
      </c>
      <c r="AH169" s="56"/>
      <c r="AI169" s="57"/>
      <c r="AK169" s="58"/>
    </row>
    <row r="170" spans="1:37" x14ac:dyDescent="0.25">
      <c r="A170" s="124" t="s">
        <v>173</v>
      </c>
      <c r="B170" s="136">
        <v>0.46</v>
      </c>
      <c r="C170" s="137">
        <f t="shared" si="40"/>
        <v>0.46</v>
      </c>
      <c r="D170" s="137">
        <f t="shared" si="40"/>
        <v>0.46</v>
      </c>
      <c r="E170" s="137">
        <f t="shared" si="40"/>
        <v>0.46</v>
      </c>
      <c r="F170" s="137">
        <f t="shared" si="40"/>
        <v>0.46</v>
      </c>
      <c r="G170" s="137">
        <f t="shared" si="40"/>
        <v>0.46</v>
      </c>
      <c r="H170" s="137">
        <f t="shared" si="40"/>
        <v>0.46</v>
      </c>
      <c r="I170" s="137">
        <f t="shared" si="40"/>
        <v>0.46</v>
      </c>
      <c r="J170" s="137">
        <f t="shared" si="40"/>
        <v>0.46</v>
      </c>
      <c r="K170" s="137">
        <f t="shared" si="40"/>
        <v>0.46</v>
      </c>
      <c r="L170" s="137">
        <f t="shared" si="40"/>
        <v>0.46</v>
      </c>
      <c r="M170" s="137">
        <f t="shared" si="40"/>
        <v>0.46</v>
      </c>
      <c r="N170" s="137">
        <f t="shared" si="40"/>
        <v>0.46</v>
      </c>
      <c r="O170" s="137">
        <f t="shared" si="40"/>
        <v>0.46</v>
      </c>
      <c r="P170" s="137">
        <f t="shared" si="40"/>
        <v>0.46</v>
      </c>
      <c r="Q170" s="137">
        <f t="shared" si="40"/>
        <v>0.46</v>
      </c>
      <c r="R170" s="137">
        <f t="shared" si="41"/>
        <v>0.46</v>
      </c>
      <c r="S170" s="137">
        <f t="shared" si="41"/>
        <v>0.46</v>
      </c>
      <c r="T170" s="137">
        <f t="shared" si="41"/>
        <v>0.46</v>
      </c>
      <c r="U170" s="137">
        <f t="shared" si="41"/>
        <v>0.46</v>
      </c>
      <c r="V170" s="137">
        <f t="shared" si="41"/>
        <v>0.46</v>
      </c>
      <c r="W170" s="137">
        <f t="shared" si="41"/>
        <v>0.46</v>
      </c>
      <c r="X170" s="137">
        <f t="shared" si="41"/>
        <v>0.46</v>
      </c>
      <c r="Y170" s="137">
        <f t="shared" si="41"/>
        <v>0.46</v>
      </c>
      <c r="Z170" s="137">
        <f t="shared" si="41"/>
        <v>0.46</v>
      </c>
      <c r="AA170" s="137">
        <f t="shared" si="41"/>
        <v>0.46</v>
      </c>
      <c r="AB170" s="137">
        <f t="shared" si="41"/>
        <v>0.46</v>
      </c>
      <c r="AC170" s="137">
        <f t="shared" si="41"/>
        <v>0.46</v>
      </c>
      <c r="AD170" s="137">
        <f t="shared" si="41"/>
        <v>0.46</v>
      </c>
      <c r="AE170" s="137">
        <f t="shared" si="41"/>
        <v>0.46</v>
      </c>
      <c r="AF170" s="137">
        <f t="shared" si="41"/>
        <v>0.46</v>
      </c>
      <c r="AG170" s="139">
        <v>2.4</v>
      </c>
      <c r="AH170" s="56"/>
      <c r="AI170" s="57"/>
      <c r="AK170" s="58"/>
    </row>
    <row r="171" spans="1:37" x14ac:dyDescent="0.25">
      <c r="A171" s="124" t="s">
        <v>174</v>
      </c>
      <c r="B171" s="136">
        <v>0.85</v>
      </c>
      <c r="C171" s="137">
        <f t="shared" si="40"/>
        <v>0.85</v>
      </c>
      <c r="D171" s="137">
        <f t="shared" si="40"/>
        <v>0.85</v>
      </c>
      <c r="E171" s="137">
        <f t="shared" si="40"/>
        <v>0.85</v>
      </c>
      <c r="F171" s="137">
        <f t="shared" si="40"/>
        <v>0.85</v>
      </c>
      <c r="G171" s="137">
        <f t="shared" si="40"/>
        <v>0.85</v>
      </c>
      <c r="H171" s="137">
        <f t="shared" si="40"/>
        <v>0.85</v>
      </c>
      <c r="I171" s="137">
        <f t="shared" si="40"/>
        <v>0.85</v>
      </c>
      <c r="J171" s="137">
        <f t="shared" si="40"/>
        <v>0.85</v>
      </c>
      <c r="K171" s="137">
        <f t="shared" si="40"/>
        <v>0.85</v>
      </c>
      <c r="L171" s="137">
        <f t="shared" si="40"/>
        <v>0.85</v>
      </c>
      <c r="M171" s="137">
        <f t="shared" si="40"/>
        <v>0.85</v>
      </c>
      <c r="N171" s="137">
        <f t="shared" si="40"/>
        <v>0.85</v>
      </c>
      <c r="O171" s="137">
        <f t="shared" si="40"/>
        <v>0.85</v>
      </c>
      <c r="P171" s="137">
        <f t="shared" si="40"/>
        <v>0.85</v>
      </c>
      <c r="Q171" s="137">
        <f t="shared" si="40"/>
        <v>0.85</v>
      </c>
      <c r="R171" s="137">
        <f t="shared" si="41"/>
        <v>0.85</v>
      </c>
      <c r="S171" s="137">
        <f t="shared" si="41"/>
        <v>0.85</v>
      </c>
      <c r="T171" s="137">
        <f t="shared" si="41"/>
        <v>0.85</v>
      </c>
      <c r="U171" s="137">
        <f t="shared" si="41"/>
        <v>0.85</v>
      </c>
      <c r="V171" s="137">
        <f t="shared" si="41"/>
        <v>0.85</v>
      </c>
      <c r="W171" s="137">
        <f t="shared" si="41"/>
        <v>0.85</v>
      </c>
      <c r="X171" s="137">
        <f t="shared" si="41"/>
        <v>0.85</v>
      </c>
      <c r="Y171" s="137">
        <f t="shared" si="41"/>
        <v>0.85</v>
      </c>
      <c r="Z171" s="137">
        <f t="shared" si="41"/>
        <v>0.85</v>
      </c>
      <c r="AA171" s="137">
        <f t="shared" si="41"/>
        <v>0.85</v>
      </c>
      <c r="AB171" s="137">
        <f t="shared" si="41"/>
        <v>0.85</v>
      </c>
      <c r="AC171" s="137">
        <f t="shared" si="41"/>
        <v>0.85</v>
      </c>
      <c r="AD171" s="137">
        <f t="shared" si="41"/>
        <v>0.85</v>
      </c>
      <c r="AE171" s="137">
        <f t="shared" si="41"/>
        <v>0.85</v>
      </c>
      <c r="AF171" s="137">
        <f t="shared" si="41"/>
        <v>0.85</v>
      </c>
      <c r="AG171" s="139">
        <v>2.4</v>
      </c>
      <c r="AH171" s="56"/>
      <c r="AI171" s="57"/>
      <c r="AK171" s="58"/>
    </row>
    <row r="172" spans="1:37" x14ac:dyDescent="0.25">
      <c r="A172" s="124" t="s">
        <v>175</v>
      </c>
      <c r="B172" s="136">
        <v>0.9</v>
      </c>
      <c r="C172" s="137">
        <f t="shared" si="40"/>
        <v>0.9</v>
      </c>
      <c r="D172" s="137">
        <f t="shared" si="40"/>
        <v>0.9</v>
      </c>
      <c r="E172" s="137">
        <f t="shared" si="40"/>
        <v>0.9</v>
      </c>
      <c r="F172" s="137">
        <f t="shared" si="40"/>
        <v>0.9</v>
      </c>
      <c r="G172" s="137">
        <f t="shared" si="40"/>
        <v>0.9</v>
      </c>
      <c r="H172" s="137">
        <f t="shared" si="40"/>
        <v>0.9</v>
      </c>
      <c r="I172" s="137">
        <f t="shared" si="40"/>
        <v>0.9</v>
      </c>
      <c r="J172" s="137">
        <f t="shared" si="40"/>
        <v>0.9</v>
      </c>
      <c r="K172" s="137">
        <f t="shared" si="40"/>
        <v>0.9</v>
      </c>
      <c r="L172" s="137">
        <f t="shared" si="40"/>
        <v>0.9</v>
      </c>
      <c r="M172" s="137">
        <f t="shared" si="40"/>
        <v>0.9</v>
      </c>
      <c r="N172" s="137">
        <f t="shared" si="40"/>
        <v>0.9</v>
      </c>
      <c r="O172" s="137">
        <f t="shared" si="40"/>
        <v>0.9</v>
      </c>
      <c r="P172" s="137">
        <f t="shared" si="40"/>
        <v>0.9</v>
      </c>
      <c r="Q172" s="137">
        <f t="shared" si="40"/>
        <v>0.9</v>
      </c>
      <c r="R172" s="137">
        <f t="shared" si="41"/>
        <v>0.9</v>
      </c>
      <c r="S172" s="137">
        <f t="shared" si="41"/>
        <v>0.9</v>
      </c>
      <c r="T172" s="137">
        <f t="shared" si="41"/>
        <v>0.9</v>
      </c>
      <c r="U172" s="137">
        <f t="shared" si="41"/>
        <v>0.9</v>
      </c>
      <c r="V172" s="137">
        <f t="shared" si="41"/>
        <v>0.9</v>
      </c>
      <c r="W172" s="137">
        <f t="shared" si="41"/>
        <v>0.9</v>
      </c>
      <c r="X172" s="137">
        <f t="shared" si="41"/>
        <v>0.9</v>
      </c>
      <c r="Y172" s="137">
        <f t="shared" si="41"/>
        <v>0.9</v>
      </c>
      <c r="Z172" s="137">
        <f t="shared" si="41"/>
        <v>0.9</v>
      </c>
      <c r="AA172" s="137">
        <f t="shared" si="41"/>
        <v>0.9</v>
      </c>
      <c r="AB172" s="137">
        <f t="shared" si="41"/>
        <v>0.9</v>
      </c>
      <c r="AC172" s="137">
        <f t="shared" si="41"/>
        <v>0.9</v>
      </c>
      <c r="AD172" s="137">
        <f t="shared" si="41"/>
        <v>0.9</v>
      </c>
      <c r="AE172" s="137">
        <f t="shared" si="41"/>
        <v>0.9</v>
      </c>
      <c r="AF172" s="137">
        <f t="shared" si="41"/>
        <v>0.9</v>
      </c>
      <c r="AG172" s="139">
        <v>2.2000000000000002</v>
      </c>
      <c r="AH172" s="56"/>
      <c r="AI172" s="57"/>
      <c r="AK172" s="58"/>
    </row>
    <row r="173" spans="1:37" x14ac:dyDescent="0.25">
      <c r="A173" s="124" t="s">
        <v>176</v>
      </c>
      <c r="B173" s="136">
        <v>0.44</v>
      </c>
      <c r="C173" s="137">
        <f t="shared" si="40"/>
        <v>0.44</v>
      </c>
      <c r="D173" s="137">
        <f t="shared" si="40"/>
        <v>0.44</v>
      </c>
      <c r="E173" s="137">
        <f t="shared" si="40"/>
        <v>0.44</v>
      </c>
      <c r="F173" s="137">
        <f t="shared" si="40"/>
        <v>0.44</v>
      </c>
      <c r="G173" s="137">
        <f t="shared" si="40"/>
        <v>0.44</v>
      </c>
      <c r="H173" s="137">
        <f t="shared" si="40"/>
        <v>0.44</v>
      </c>
      <c r="I173" s="137">
        <f t="shared" si="40"/>
        <v>0.44</v>
      </c>
      <c r="J173" s="137">
        <f t="shared" si="40"/>
        <v>0.44</v>
      </c>
      <c r="K173" s="137">
        <f t="shared" si="40"/>
        <v>0.44</v>
      </c>
      <c r="L173" s="137">
        <f t="shared" si="40"/>
        <v>0.44</v>
      </c>
      <c r="M173" s="137">
        <f t="shared" si="40"/>
        <v>0.44</v>
      </c>
      <c r="N173" s="137">
        <f t="shared" si="40"/>
        <v>0.44</v>
      </c>
      <c r="O173" s="137">
        <f t="shared" si="40"/>
        <v>0.44</v>
      </c>
      <c r="P173" s="137">
        <f t="shared" si="40"/>
        <v>0.44</v>
      </c>
      <c r="Q173" s="137">
        <f t="shared" si="40"/>
        <v>0.44</v>
      </c>
      <c r="R173" s="137">
        <f t="shared" si="41"/>
        <v>0.44</v>
      </c>
      <c r="S173" s="137">
        <f t="shared" si="41"/>
        <v>0.44</v>
      </c>
      <c r="T173" s="137">
        <f t="shared" si="41"/>
        <v>0.44</v>
      </c>
      <c r="U173" s="137">
        <f t="shared" si="41"/>
        <v>0.44</v>
      </c>
      <c r="V173" s="137">
        <f t="shared" si="41"/>
        <v>0.44</v>
      </c>
      <c r="W173" s="137">
        <f t="shared" si="41"/>
        <v>0.44</v>
      </c>
      <c r="X173" s="137">
        <f t="shared" si="41"/>
        <v>0.44</v>
      </c>
      <c r="Y173" s="137">
        <f t="shared" si="41"/>
        <v>0.44</v>
      </c>
      <c r="Z173" s="137">
        <f t="shared" si="41"/>
        <v>0.44</v>
      </c>
      <c r="AA173" s="137">
        <f t="shared" si="41"/>
        <v>0.44</v>
      </c>
      <c r="AB173" s="137">
        <f t="shared" si="41"/>
        <v>0.44</v>
      </c>
      <c r="AC173" s="137">
        <f t="shared" si="41"/>
        <v>0.44</v>
      </c>
      <c r="AD173" s="137">
        <f t="shared" si="41"/>
        <v>0.44</v>
      </c>
      <c r="AE173" s="137">
        <f t="shared" si="41"/>
        <v>0.44</v>
      </c>
      <c r="AF173" s="137">
        <f t="shared" si="41"/>
        <v>0.44</v>
      </c>
      <c r="AG173" s="139">
        <v>2</v>
      </c>
      <c r="AH173" s="56"/>
      <c r="AI173" s="57"/>
      <c r="AK173" s="58"/>
    </row>
    <row r="174" spans="1:37" x14ac:dyDescent="0.25">
      <c r="A174" s="124" t="s">
        <v>177</v>
      </c>
      <c r="B174" s="136">
        <v>2.1</v>
      </c>
      <c r="C174" s="137">
        <f t="shared" si="40"/>
        <v>2.1</v>
      </c>
      <c r="D174" s="137">
        <f t="shared" si="40"/>
        <v>2.1</v>
      </c>
      <c r="E174" s="137">
        <f t="shared" si="40"/>
        <v>2.1</v>
      </c>
      <c r="F174" s="137">
        <f t="shared" si="40"/>
        <v>2.1</v>
      </c>
      <c r="G174" s="137">
        <f t="shared" si="40"/>
        <v>2.1</v>
      </c>
      <c r="H174" s="137">
        <f t="shared" si="40"/>
        <v>2.1</v>
      </c>
      <c r="I174" s="137">
        <f t="shared" si="40"/>
        <v>2.1</v>
      </c>
      <c r="J174" s="137">
        <f t="shared" si="40"/>
        <v>2.1</v>
      </c>
      <c r="K174" s="137">
        <f t="shared" si="40"/>
        <v>2.1</v>
      </c>
      <c r="L174" s="137">
        <f t="shared" si="40"/>
        <v>2.1</v>
      </c>
      <c r="M174" s="137">
        <f t="shared" si="40"/>
        <v>2.1</v>
      </c>
      <c r="N174" s="137">
        <f t="shared" si="40"/>
        <v>2.1</v>
      </c>
      <c r="O174" s="137">
        <f t="shared" si="40"/>
        <v>2.1</v>
      </c>
      <c r="P174" s="137">
        <f t="shared" si="40"/>
        <v>2.1</v>
      </c>
      <c r="Q174" s="137">
        <f t="shared" si="40"/>
        <v>2.1</v>
      </c>
      <c r="R174" s="137">
        <f t="shared" si="41"/>
        <v>2.1</v>
      </c>
      <c r="S174" s="137">
        <f t="shared" si="41"/>
        <v>2.1</v>
      </c>
      <c r="T174" s="137">
        <f t="shared" si="41"/>
        <v>2.1</v>
      </c>
      <c r="U174" s="137">
        <f t="shared" si="41"/>
        <v>2.1</v>
      </c>
      <c r="V174" s="137">
        <f t="shared" si="41"/>
        <v>2.1</v>
      </c>
      <c r="W174" s="137">
        <f t="shared" si="41"/>
        <v>2.1</v>
      </c>
      <c r="X174" s="137">
        <f t="shared" si="41"/>
        <v>2.1</v>
      </c>
      <c r="Y174" s="137">
        <f t="shared" si="41"/>
        <v>2.1</v>
      </c>
      <c r="Z174" s="137">
        <f t="shared" si="41"/>
        <v>2.1</v>
      </c>
      <c r="AA174" s="137">
        <f t="shared" si="41"/>
        <v>2.1</v>
      </c>
      <c r="AB174" s="137">
        <f t="shared" si="41"/>
        <v>2.1</v>
      </c>
      <c r="AC174" s="137">
        <f t="shared" si="41"/>
        <v>2.1</v>
      </c>
      <c r="AD174" s="137">
        <f t="shared" si="41"/>
        <v>2.1</v>
      </c>
      <c r="AE174" s="137">
        <f t="shared" si="41"/>
        <v>2.1</v>
      </c>
      <c r="AF174" s="137">
        <f t="shared" si="41"/>
        <v>2.1</v>
      </c>
      <c r="AG174" s="139">
        <v>2</v>
      </c>
      <c r="AH174" s="56"/>
      <c r="AI174" s="57"/>
      <c r="AK174" s="58"/>
    </row>
    <row r="175" spans="1:37" x14ac:dyDescent="0.25">
      <c r="A175" s="124" t="s">
        <v>178</v>
      </c>
      <c r="B175" s="136">
        <v>0.9</v>
      </c>
      <c r="C175" s="137">
        <f t="shared" si="40"/>
        <v>0.9</v>
      </c>
      <c r="D175" s="137">
        <f t="shared" si="40"/>
        <v>0.9</v>
      </c>
      <c r="E175" s="137">
        <f t="shared" si="40"/>
        <v>0.9</v>
      </c>
      <c r="F175" s="137">
        <f t="shared" si="40"/>
        <v>0.9</v>
      </c>
      <c r="G175" s="137">
        <f t="shared" si="40"/>
        <v>0.9</v>
      </c>
      <c r="H175" s="137">
        <f t="shared" si="40"/>
        <v>0.9</v>
      </c>
      <c r="I175" s="137">
        <f t="shared" si="40"/>
        <v>0.9</v>
      </c>
      <c r="J175" s="137">
        <f t="shared" si="40"/>
        <v>0.9</v>
      </c>
      <c r="K175" s="137">
        <f t="shared" si="40"/>
        <v>0.9</v>
      </c>
      <c r="L175" s="137">
        <f t="shared" si="40"/>
        <v>0.9</v>
      </c>
      <c r="M175" s="137">
        <f t="shared" si="40"/>
        <v>0.9</v>
      </c>
      <c r="N175" s="137">
        <f t="shared" si="40"/>
        <v>0.9</v>
      </c>
      <c r="O175" s="137">
        <f t="shared" si="40"/>
        <v>0.9</v>
      </c>
      <c r="P175" s="137">
        <f t="shared" si="40"/>
        <v>0.9</v>
      </c>
      <c r="Q175" s="137">
        <f t="shared" si="40"/>
        <v>0.9</v>
      </c>
      <c r="R175" s="137">
        <f t="shared" si="41"/>
        <v>0.9</v>
      </c>
      <c r="S175" s="137">
        <f t="shared" si="41"/>
        <v>0.9</v>
      </c>
      <c r="T175" s="137">
        <f t="shared" si="41"/>
        <v>0.9</v>
      </c>
      <c r="U175" s="137">
        <f t="shared" si="41"/>
        <v>0.9</v>
      </c>
      <c r="V175" s="137">
        <f t="shared" si="41"/>
        <v>0.9</v>
      </c>
      <c r="W175" s="137">
        <f t="shared" si="41"/>
        <v>0.9</v>
      </c>
      <c r="X175" s="137">
        <f t="shared" si="41"/>
        <v>0.9</v>
      </c>
      <c r="Y175" s="137">
        <f t="shared" si="41"/>
        <v>0.9</v>
      </c>
      <c r="Z175" s="137">
        <f t="shared" si="41"/>
        <v>0.9</v>
      </c>
      <c r="AA175" s="137">
        <f t="shared" si="41"/>
        <v>0.9</v>
      </c>
      <c r="AB175" s="137">
        <f t="shared" si="41"/>
        <v>0.9</v>
      </c>
      <c r="AC175" s="137">
        <f t="shared" si="41"/>
        <v>0.9</v>
      </c>
      <c r="AD175" s="137">
        <f t="shared" si="41"/>
        <v>0.9</v>
      </c>
      <c r="AE175" s="137">
        <f t="shared" si="41"/>
        <v>0.9</v>
      </c>
      <c r="AF175" s="137">
        <f t="shared" si="41"/>
        <v>0.9</v>
      </c>
      <c r="AG175" s="139">
        <v>2</v>
      </c>
      <c r="AH175" s="56"/>
      <c r="AI175" s="57"/>
      <c r="AK175" s="58"/>
    </row>
    <row r="176" spans="1:37" x14ac:dyDescent="0.25">
      <c r="A176" s="124" t="s">
        <v>179</v>
      </c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9">
        <v>1.8</v>
      </c>
      <c r="AH176" s="56"/>
      <c r="AI176" s="57"/>
      <c r="AK176" s="58"/>
    </row>
    <row r="177" spans="1:37" x14ac:dyDescent="0.25">
      <c r="A177" s="124" t="s">
        <v>180</v>
      </c>
      <c r="B177" s="136">
        <v>0.57999999999999996</v>
      </c>
      <c r="C177" s="137">
        <f t="shared" ref="C177:R189" si="42">B177</f>
        <v>0.57999999999999996</v>
      </c>
      <c r="D177" s="137">
        <f t="shared" si="42"/>
        <v>0.57999999999999996</v>
      </c>
      <c r="E177" s="137">
        <f t="shared" si="42"/>
        <v>0.57999999999999996</v>
      </c>
      <c r="F177" s="137">
        <f t="shared" si="42"/>
        <v>0.57999999999999996</v>
      </c>
      <c r="G177" s="137">
        <f t="shared" si="42"/>
        <v>0.57999999999999996</v>
      </c>
      <c r="H177" s="137">
        <f t="shared" si="42"/>
        <v>0.57999999999999996</v>
      </c>
      <c r="I177" s="137">
        <f t="shared" si="42"/>
        <v>0.57999999999999996</v>
      </c>
      <c r="J177" s="137">
        <f t="shared" si="42"/>
        <v>0.57999999999999996</v>
      </c>
      <c r="K177" s="137">
        <f t="shared" si="42"/>
        <v>0.57999999999999996</v>
      </c>
      <c r="L177" s="137">
        <f t="shared" si="42"/>
        <v>0.57999999999999996</v>
      </c>
      <c r="M177" s="137">
        <f t="shared" si="42"/>
        <v>0.57999999999999996</v>
      </c>
      <c r="N177" s="137">
        <f t="shared" si="42"/>
        <v>0.57999999999999996</v>
      </c>
      <c r="O177" s="137">
        <f t="shared" si="42"/>
        <v>0.57999999999999996</v>
      </c>
      <c r="P177" s="137">
        <f t="shared" si="42"/>
        <v>0.57999999999999996</v>
      </c>
      <c r="Q177" s="137">
        <f t="shared" si="42"/>
        <v>0.57999999999999996</v>
      </c>
      <c r="R177" s="137">
        <f t="shared" si="42"/>
        <v>0.57999999999999996</v>
      </c>
      <c r="S177" s="137">
        <f t="shared" ref="R177:AF189" si="43">R177</f>
        <v>0.57999999999999996</v>
      </c>
      <c r="T177" s="137">
        <f t="shared" si="43"/>
        <v>0.57999999999999996</v>
      </c>
      <c r="U177" s="137">
        <f t="shared" si="43"/>
        <v>0.57999999999999996</v>
      </c>
      <c r="V177" s="137">
        <f t="shared" si="43"/>
        <v>0.57999999999999996</v>
      </c>
      <c r="W177" s="137">
        <f t="shared" si="43"/>
        <v>0.57999999999999996</v>
      </c>
      <c r="X177" s="137">
        <f t="shared" si="43"/>
        <v>0.57999999999999996</v>
      </c>
      <c r="Y177" s="137">
        <f t="shared" si="43"/>
        <v>0.57999999999999996</v>
      </c>
      <c r="Z177" s="137">
        <f t="shared" si="43"/>
        <v>0.57999999999999996</v>
      </c>
      <c r="AA177" s="137">
        <f t="shared" si="43"/>
        <v>0.57999999999999996</v>
      </c>
      <c r="AB177" s="137">
        <f t="shared" si="43"/>
        <v>0.57999999999999996</v>
      </c>
      <c r="AC177" s="137">
        <f t="shared" si="43"/>
        <v>0.57999999999999996</v>
      </c>
      <c r="AD177" s="137">
        <f t="shared" si="43"/>
        <v>0.57999999999999996</v>
      </c>
      <c r="AE177" s="137">
        <f t="shared" si="43"/>
        <v>0.57999999999999996</v>
      </c>
      <c r="AF177" s="137">
        <f t="shared" si="43"/>
        <v>0.57999999999999996</v>
      </c>
      <c r="AG177" s="139">
        <v>1.8</v>
      </c>
      <c r="AH177" s="56"/>
      <c r="AI177" s="57"/>
      <c r="AK177" s="58"/>
    </row>
    <row r="178" spans="1:37" x14ac:dyDescent="0.25">
      <c r="A178" s="124" t="s">
        <v>181</v>
      </c>
      <c r="B178" s="136">
        <v>0.8</v>
      </c>
      <c r="C178" s="137">
        <f t="shared" si="42"/>
        <v>0.8</v>
      </c>
      <c r="D178" s="137">
        <f t="shared" si="42"/>
        <v>0.8</v>
      </c>
      <c r="E178" s="137">
        <f t="shared" si="42"/>
        <v>0.8</v>
      </c>
      <c r="F178" s="137">
        <f t="shared" si="42"/>
        <v>0.8</v>
      </c>
      <c r="G178" s="137">
        <f t="shared" si="42"/>
        <v>0.8</v>
      </c>
      <c r="H178" s="137">
        <f t="shared" si="42"/>
        <v>0.8</v>
      </c>
      <c r="I178" s="137">
        <f t="shared" si="42"/>
        <v>0.8</v>
      </c>
      <c r="J178" s="137">
        <f t="shared" si="42"/>
        <v>0.8</v>
      </c>
      <c r="K178" s="137">
        <f t="shared" si="42"/>
        <v>0.8</v>
      </c>
      <c r="L178" s="137">
        <f t="shared" si="42"/>
        <v>0.8</v>
      </c>
      <c r="M178" s="137">
        <f t="shared" si="42"/>
        <v>0.8</v>
      </c>
      <c r="N178" s="137">
        <f t="shared" si="42"/>
        <v>0.8</v>
      </c>
      <c r="O178" s="137">
        <f t="shared" si="42"/>
        <v>0.8</v>
      </c>
      <c r="P178" s="137">
        <f t="shared" si="42"/>
        <v>0.8</v>
      </c>
      <c r="Q178" s="137">
        <f t="shared" si="42"/>
        <v>0.8</v>
      </c>
      <c r="R178" s="137">
        <f t="shared" si="42"/>
        <v>0.8</v>
      </c>
      <c r="S178" s="137">
        <f t="shared" si="43"/>
        <v>0.8</v>
      </c>
      <c r="T178" s="137">
        <f t="shared" si="43"/>
        <v>0.8</v>
      </c>
      <c r="U178" s="137">
        <f t="shared" si="43"/>
        <v>0.8</v>
      </c>
      <c r="V178" s="137">
        <f t="shared" si="43"/>
        <v>0.8</v>
      </c>
      <c r="W178" s="137">
        <f t="shared" si="43"/>
        <v>0.8</v>
      </c>
      <c r="X178" s="137">
        <f t="shared" si="43"/>
        <v>0.8</v>
      </c>
      <c r="Y178" s="137">
        <f t="shared" si="43"/>
        <v>0.8</v>
      </c>
      <c r="Z178" s="137">
        <f t="shared" si="43"/>
        <v>0.8</v>
      </c>
      <c r="AA178" s="137">
        <f t="shared" si="43"/>
        <v>0.8</v>
      </c>
      <c r="AB178" s="137">
        <f t="shared" si="43"/>
        <v>0.8</v>
      </c>
      <c r="AC178" s="137">
        <f t="shared" si="43"/>
        <v>0.8</v>
      </c>
      <c r="AD178" s="137">
        <f t="shared" si="43"/>
        <v>0.8</v>
      </c>
      <c r="AE178" s="137">
        <f t="shared" si="43"/>
        <v>0.8</v>
      </c>
      <c r="AF178" s="137">
        <f t="shared" si="43"/>
        <v>0.8</v>
      </c>
      <c r="AG178" s="139">
        <v>1.65</v>
      </c>
      <c r="AH178" s="56"/>
      <c r="AI178" s="57"/>
      <c r="AK178" s="58"/>
    </row>
    <row r="179" spans="1:37" x14ac:dyDescent="0.25">
      <c r="A179" s="124" t="s">
        <v>182</v>
      </c>
      <c r="B179" s="136">
        <v>0</v>
      </c>
      <c r="C179" s="137">
        <f t="shared" si="42"/>
        <v>0</v>
      </c>
      <c r="D179" s="137">
        <f t="shared" si="42"/>
        <v>0</v>
      </c>
      <c r="E179" s="137">
        <f t="shared" si="42"/>
        <v>0</v>
      </c>
      <c r="F179" s="137">
        <f t="shared" si="42"/>
        <v>0</v>
      </c>
      <c r="G179" s="137">
        <f t="shared" si="42"/>
        <v>0</v>
      </c>
      <c r="H179" s="137">
        <f t="shared" si="42"/>
        <v>0</v>
      </c>
      <c r="I179" s="137">
        <f t="shared" si="42"/>
        <v>0</v>
      </c>
      <c r="J179" s="137">
        <f t="shared" si="42"/>
        <v>0</v>
      </c>
      <c r="K179" s="137">
        <f t="shared" si="42"/>
        <v>0</v>
      </c>
      <c r="L179" s="137">
        <f t="shared" si="42"/>
        <v>0</v>
      </c>
      <c r="M179" s="137">
        <f t="shared" si="42"/>
        <v>0</v>
      </c>
      <c r="N179" s="137">
        <f t="shared" si="42"/>
        <v>0</v>
      </c>
      <c r="O179" s="137">
        <f t="shared" si="42"/>
        <v>0</v>
      </c>
      <c r="P179" s="137">
        <f t="shared" si="42"/>
        <v>0</v>
      </c>
      <c r="Q179" s="137">
        <f t="shared" si="42"/>
        <v>0</v>
      </c>
      <c r="R179" s="137">
        <f t="shared" si="42"/>
        <v>0</v>
      </c>
      <c r="S179" s="137">
        <f t="shared" si="43"/>
        <v>0</v>
      </c>
      <c r="T179" s="137">
        <f t="shared" si="43"/>
        <v>0</v>
      </c>
      <c r="U179" s="137">
        <f t="shared" si="43"/>
        <v>0</v>
      </c>
      <c r="V179" s="137">
        <f t="shared" si="43"/>
        <v>0</v>
      </c>
      <c r="W179" s="137">
        <f t="shared" si="43"/>
        <v>0</v>
      </c>
      <c r="X179" s="137">
        <f t="shared" si="43"/>
        <v>0</v>
      </c>
      <c r="Y179" s="137">
        <f t="shared" si="43"/>
        <v>0</v>
      </c>
      <c r="Z179" s="137">
        <f t="shared" si="43"/>
        <v>0</v>
      </c>
      <c r="AA179" s="137">
        <f t="shared" si="43"/>
        <v>0</v>
      </c>
      <c r="AB179" s="137">
        <f t="shared" si="43"/>
        <v>0</v>
      </c>
      <c r="AC179" s="137">
        <f t="shared" si="43"/>
        <v>0</v>
      </c>
      <c r="AD179" s="137">
        <f t="shared" si="43"/>
        <v>0</v>
      </c>
      <c r="AE179" s="137">
        <f t="shared" si="43"/>
        <v>0</v>
      </c>
      <c r="AF179" s="137">
        <f t="shared" si="43"/>
        <v>0</v>
      </c>
      <c r="AG179" s="139">
        <v>1.5</v>
      </c>
      <c r="AH179" s="56"/>
      <c r="AI179" s="57"/>
      <c r="AK179" s="58"/>
    </row>
    <row r="180" spans="1:37" x14ac:dyDescent="0.25">
      <c r="A180" s="124" t="s">
        <v>183</v>
      </c>
      <c r="B180" s="136">
        <v>0.6</v>
      </c>
      <c r="C180" s="137">
        <f t="shared" si="42"/>
        <v>0.6</v>
      </c>
      <c r="D180" s="137">
        <f t="shared" si="42"/>
        <v>0.6</v>
      </c>
      <c r="E180" s="137">
        <f t="shared" si="42"/>
        <v>0.6</v>
      </c>
      <c r="F180" s="137">
        <f t="shared" si="42"/>
        <v>0.6</v>
      </c>
      <c r="G180" s="137">
        <f t="shared" si="42"/>
        <v>0.6</v>
      </c>
      <c r="H180" s="137">
        <f t="shared" si="42"/>
        <v>0.6</v>
      </c>
      <c r="I180" s="137">
        <f t="shared" si="42"/>
        <v>0.6</v>
      </c>
      <c r="J180" s="137">
        <f t="shared" si="42"/>
        <v>0.6</v>
      </c>
      <c r="K180" s="137">
        <f t="shared" si="42"/>
        <v>0.6</v>
      </c>
      <c r="L180" s="137">
        <f t="shared" si="42"/>
        <v>0.6</v>
      </c>
      <c r="M180" s="137">
        <f t="shared" si="42"/>
        <v>0.6</v>
      </c>
      <c r="N180" s="137">
        <f t="shared" si="42"/>
        <v>0.6</v>
      </c>
      <c r="O180" s="137">
        <f t="shared" si="42"/>
        <v>0.6</v>
      </c>
      <c r="P180" s="137">
        <f t="shared" si="42"/>
        <v>0.6</v>
      </c>
      <c r="Q180" s="137">
        <f t="shared" si="42"/>
        <v>0.6</v>
      </c>
      <c r="R180" s="137">
        <f t="shared" si="42"/>
        <v>0.6</v>
      </c>
      <c r="S180" s="137">
        <f t="shared" si="43"/>
        <v>0.6</v>
      </c>
      <c r="T180" s="137">
        <f t="shared" si="43"/>
        <v>0.6</v>
      </c>
      <c r="U180" s="137">
        <f t="shared" si="43"/>
        <v>0.6</v>
      </c>
      <c r="V180" s="137">
        <f t="shared" si="43"/>
        <v>0.6</v>
      </c>
      <c r="W180" s="137">
        <f t="shared" si="43"/>
        <v>0.6</v>
      </c>
      <c r="X180" s="137">
        <f t="shared" si="43"/>
        <v>0.6</v>
      </c>
      <c r="Y180" s="137">
        <f t="shared" si="43"/>
        <v>0.6</v>
      </c>
      <c r="Z180" s="137">
        <f t="shared" si="43"/>
        <v>0.6</v>
      </c>
      <c r="AA180" s="137">
        <f t="shared" si="43"/>
        <v>0.6</v>
      </c>
      <c r="AB180" s="137">
        <f t="shared" si="43"/>
        <v>0.6</v>
      </c>
      <c r="AC180" s="137">
        <f t="shared" si="43"/>
        <v>0.6</v>
      </c>
      <c r="AD180" s="137">
        <f t="shared" si="43"/>
        <v>0.6</v>
      </c>
      <c r="AE180" s="137">
        <f t="shared" si="43"/>
        <v>0.6</v>
      </c>
      <c r="AF180" s="137">
        <f t="shared" si="43"/>
        <v>0.6</v>
      </c>
      <c r="AG180" s="139">
        <v>0.998</v>
      </c>
      <c r="AH180" s="56"/>
      <c r="AI180" s="57"/>
      <c r="AK180" s="58"/>
    </row>
    <row r="181" spans="1:37" x14ac:dyDescent="0.25">
      <c r="A181" s="124" t="s">
        <v>184</v>
      </c>
      <c r="B181" s="136">
        <v>0.6</v>
      </c>
      <c r="C181" s="137">
        <f t="shared" si="42"/>
        <v>0.6</v>
      </c>
      <c r="D181" s="137">
        <f t="shared" si="42"/>
        <v>0.6</v>
      </c>
      <c r="E181" s="137">
        <f t="shared" si="42"/>
        <v>0.6</v>
      </c>
      <c r="F181" s="137">
        <f t="shared" si="42"/>
        <v>0.6</v>
      </c>
      <c r="G181" s="137">
        <f t="shared" si="42"/>
        <v>0.6</v>
      </c>
      <c r="H181" s="137">
        <f t="shared" si="42"/>
        <v>0.6</v>
      </c>
      <c r="I181" s="137">
        <f t="shared" si="42"/>
        <v>0.6</v>
      </c>
      <c r="J181" s="137">
        <f t="shared" si="42"/>
        <v>0.6</v>
      </c>
      <c r="K181" s="137">
        <f t="shared" si="42"/>
        <v>0.6</v>
      </c>
      <c r="L181" s="137">
        <f t="shared" si="42"/>
        <v>0.6</v>
      </c>
      <c r="M181" s="137">
        <f t="shared" si="42"/>
        <v>0.6</v>
      </c>
      <c r="N181" s="137">
        <f t="shared" si="42"/>
        <v>0.6</v>
      </c>
      <c r="O181" s="137">
        <f t="shared" si="42"/>
        <v>0.6</v>
      </c>
      <c r="P181" s="137">
        <f t="shared" si="42"/>
        <v>0.6</v>
      </c>
      <c r="Q181" s="137">
        <f t="shared" si="42"/>
        <v>0.6</v>
      </c>
      <c r="R181" s="137">
        <f t="shared" si="42"/>
        <v>0.6</v>
      </c>
      <c r="S181" s="137">
        <f t="shared" si="43"/>
        <v>0.6</v>
      </c>
      <c r="T181" s="137">
        <f t="shared" si="43"/>
        <v>0.6</v>
      </c>
      <c r="U181" s="137">
        <f t="shared" si="43"/>
        <v>0.6</v>
      </c>
      <c r="V181" s="137">
        <f t="shared" si="43"/>
        <v>0.6</v>
      </c>
      <c r="W181" s="137">
        <f t="shared" si="43"/>
        <v>0.6</v>
      </c>
      <c r="X181" s="137">
        <f t="shared" si="43"/>
        <v>0.6</v>
      </c>
      <c r="Y181" s="137">
        <f t="shared" si="43"/>
        <v>0.6</v>
      </c>
      <c r="Z181" s="137">
        <f t="shared" si="43"/>
        <v>0.6</v>
      </c>
      <c r="AA181" s="137">
        <f t="shared" si="43"/>
        <v>0.6</v>
      </c>
      <c r="AB181" s="137">
        <f t="shared" si="43"/>
        <v>0.6</v>
      </c>
      <c r="AC181" s="137">
        <f t="shared" si="43"/>
        <v>0.6</v>
      </c>
      <c r="AD181" s="137">
        <f t="shared" si="43"/>
        <v>0.6</v>
      </c>
      <c r="AE181" s="137">
        <f t="shared" si="43"/>
        <v>0.6</v>
      </c>
      <c r="AF181" s="137">
        <f t="shared" si="43"/>
        <v>0.6</v>
      </c>
      <c r="AG181" s="139">
        <v>0.997</v>
      </c>
      <c r="AH181" s="56"/>
      <c r="AI181" s="57"/>
      <c r="AK181" s="58"/>
    </row>
    <row r="182" spans="1:37" x14ac:dyDescent="0.25">
      <c r="A182" s="124" t="s">
        <v>185</v>
      </c>
      <c r="B182" s="136">
        <v>0.35</v>
      </c>
      <c r="C182" s="137">
        <f t="shared" si="42"/>
        <v>0.35</v>
      </c>
      <c r="D182" s="137">
        <f t="shared" si="42"/>
        <v>0.35</v>
      </c>
      <c r="E182" s="137">
        <f t="shared" si="42"/>
        <v>0.35</v>
      </c>
      <c r="F182" s="137">
        <f t="shared" si="42"/>
        <v>0.35</v>
      </c>
      <c r="G182" s="137">
        <f t="shared" si="42"/>
        <v>0.35</v>
      </c>
      <c r="H182" s="137">
        <f t="shared" si="42"/>
        <v>0.35</v>
      </c>
      <c r="I182" s="137">
        <f t="shared" si="42"/>
        <v>0.35</v>
      </c>
      <c r="J182" s="137">
        <f t="shared" si="42"/>
        <v>0.35</v>
      </c>
      <c r="K182" s="137">
        <f t="shared" si="42"/>
        <v>0.35</v>
      </c>
      <c r="L182" s="137">
        <f t="shared" si="42"/>
        <v>0.35</v>
      </c>
      <c r="M182" s="137">
        <f t="shared" si="42"/>
        <v>0.35</v>
      </c>
      <c r="N182" s="137">
        <f t="shared" si="42"/>
        <v>0.35</v>
      </c>
      <c r="O182" s="137">
        <f t="shared" si="42"/>
        <v>0.35</v>
      </c>
      <c r="P182" s="137">
        <f t="shared" si="42"/>
        <v>0.35</v>
      </c>
      <c r="Q182" s="137">
        <f t="shared" si="42"/>
        <v>0.35</v>
      </c>
      <c r="R182" s="137">
        <f t="shared" si="42"/>
        <v>0.35</v>
      </c>
      <c r="S182" s="137">
        <f t="shared" si="43"/>
        <v>0.35</v>
      </c>
      <c r="T182" s="137">
        <f t="shared" si="43"/>
        <v>0.35</v>
      </c>
      <c r="U182" s="137">
        <f t="shared" si="43"/>
        <v>0.35</v>
      </c>
      <c r="V182" s="137">
        <f t="shared" si="43"/>
        <v>0.35</v>
      </c>
      <c r="W182" s="137">
        <f t="shared" si="43"/>
        <v>0.35</v>
      </c>
      <c r="X182" s="137">
        <f t="shared" si="43"/>
        <v>0.35</v>
      </c>
      <c r="Y182" s="137">
        <f t="shared" si="43"/>
        <v>0.35</v>
      </c>
      <c r="Z182" s="137">
        <f t="shared" si="43"/>
        <v>0.35</v>
      </c>
      <c r="AA182" s="137">
        <f t="shared" si="43"/>
        <v>0.35</v>
      </c>
      <c r="AB182" s="137">
        <f t="shared" si="43"/>
        <v>0.35</v>
      </c>
      <c r="AC182" s="137">
        <f t="shared" si="43"/>
        <v>0.35</v>
      </c>
      <c r="AD182" s="137">
        <f t="shared" si="43"/>
        <v>0.35</v>
      </c>
      <c r="AE182" s="137">
        <f t="shared" si="43"/>
        <v>0.35</v>
      </c>
      <c r="AF182" s="137">
        <f t="shared" si="43"/>
        <v>0.35</v>
      </c>
      <c r="AG182" s="139">
        <v>0.997</v>
      </c>
      <c r="AH182" s="56"/>
      <c r="AI182" s="57"/>
      <c r="AK182" s="58"/>
    </row>
    <row r="183" spans="1:37" x14ac:dyDescent="0.25">
      <c r="A183" s="124" t="s">
        <v>186</v>
      </c>
      <c r="B183" s="136">
        <v>0.28999999999999998</v>
      </c>
      <c r="C183" s="137">
        <f t="shared" si="42"/>
        <v>0.28999999999999998</v>
      </c>
      <c r="D183" s="137">
        <f t="shared" si="42"/>
        <v>0.28999999999999998</v>
      </c>
      <c r="E183" s="137">
        <f t="shared" si="42"/>
        <v>0.28999999999999998</v>
      </c>
      <c r="F183" s="137">
        <f t="shared" si="42"/>
        <v>0.28999999999999998</v>
      </c>
      <c r="G183" s="137">
        <f t="shared" si="42"/>
        <v>0.28999999999999998</v>
      </c>
      <c r="H183" s="137">
        <f t="shared" si="42"/>
        <v>0.28999999999999998</v>
      </c>
      <c r="I183" s="137">
        <f t="shared" si="42"/>
        <v>0.28999999999999998</v>
      </c>
      <c r="J183" s="137">
        <f t="shared" si="42"/>
        <v>0.28999999999999998</v>
      </c>
      <c r="K183" s="137">
        <f t="shared" si="42"/>
        <v>0.28999999999999998</v>
      </c>
      <c r="L183" s="137">
        <f t="shared" si="42"/>
        <v>0.28999999999999998</v>
      </c>
      <c r="M183" s="137">
        <f t="shared" si="42"/>
        <v>0.28999999999999998</v>
      </c>
      <c r="N183" s="137">
        <f t="shared" si="42"/>
        <v>0.28999999999999998</v>
      </c>
      <c r="O183" s="137">
        <f t="shared" si="42"/>
        <v>0.28999999999999998</v>
      </c>
      <c r="P183" s="137">
        <f t="shared" si="42"/>
        <v>0.28999999999999998</v>
      </c>
      <c r="Q183" s="137">
        <f t="shared" si="42"/>
        <v>0.28999999999999998</v>
      </c>
      <c r="R183" s="137">
        <f t="shared" si="42"/>
        <v>0.28999999999999998</v>
      </c>
      <c r="S183" s="137">
        <f t="shared" si="43"/>
        <v>0.28999999999999998</v>
      </c>
      <c r="T183" s="137">
        <f t="shared" si="43"/>
        <v>0.28999999999999998</v>
      </c>
      <c r="U183" s="137">
        <f t="shared" si="43"/>
        <v>0.28999999999999998</v>
      </c>
      <c r="V183" s="137">
        <f t="shared" si="43"/>
        <v>0.28999999999999998</v>
      </c>
      <c r="W183" s="137">
        <f t="shared" si="43"/>
        <v>0.28999999999999998</v>
      </c>
      <c r="X183" s="137">
        <f t="shared" si="43"/>
        <v>0.28999999999999998</v>
      </c>
      <c r="Y183" s="137">
        <f t="shared" si="43"/>
        <v>0.28999999999999998</v>
      </c>
      <c r="Z183" s="137">
        <f t="shared" si="43"/>
        <v>0.28999999999999998</v>
      </c>
      <c r="AA183" s="137">
        <f t="shared" si="43"/>
        <v>0.28999999999999998</v>
      </c>
      <c r="AB183" s="137">
        <f t="shared" si="43"/>
        <v>0.28999999999999998</v>
      </c>
      <c r="AC183" s="137">
        <f t="shared" si="43"/>
        <v>0.28999999999999998</v>
      </c>
      <c r="AD183" s="137">
        <f t="shared" si="43"/>
        <v>0.28999999999999998</v>
      </c>
      <c r="AE183" s="137">
        <f t="shared" si="43"/>
        <v>0.28999999999999998</v>
      </c>
      <c r="AF183" s="137">
        <f t="shared" si="43"/>
        <v>0.28999999999999998</v>
      </c>
      <c r="AG183" s="139">
        <v>0.996</v>
      </c>
      <c r="AH183" s="56"/>
      <c r="AI183" s="57"/>
      <c r="AK183" s="58"/>
    </row>
    <row r="184" spans="1:37" x14ac:dyDescent="0.25">
      <c r="A184" s="124" t="s">
        <v>187</v>
      </c>
      <c r="B184" s="136">
        <v>0.06</v>
      </c>
      <c r="C184" s="137">
        <f t="shared" si="42"/>
        <v>0.06</v>
      </c>
      <c r="D184" s="137">
        <f t="shared" si="42"/>
        <v>0.06</v>
      </c>
      <c r="E184" s="137">
        <f t="shared" si="42"/>
        <v>0.06</v>
      </c>
      <c r="F184" s="137">
        <f t="shared" si="42"/>
        <v>0.06</v>
      </c>
      <c r="G184" s="137">
        <f t="shared" si="42"/>
        <v>0.06</v>
      </c>
      <c r="H184" s="137">
        <f t="shared" si="42"/>
        <v>0.06</v>
      </c>
      <c r="I184" s="137">
        <f t="shared" si="42"/>
        <v>0.06</v>
      </c>
      <c r="J184" s="137">
        <f t="shared" si="42"/>
        <v>0.06</v>
      </c>
      <c r="K184" s="137">
        <f t="shared" si="42"/>
        <v>0.06</v>
      </c>
      <c r="L184" s="137">
        <f t="shared" si="42"/>
        <v>0.06</v>
      </c>
      <c r="M184" s="137">
        <f t="shared" si="42"/>
        <v>0.06</v>
      </c>
      <c r="N184" s="137">
        <f t="shared" si="42"/>
        <v>0.06</v>
      </c>
      <c r="O184" s="137">
        <f t="shared" si="42"/>
        <v>0.06</v>
      </c>
      <c r="P184" s="137">
        <f t="shared" si="42"/>
        <v>0.06</v>
      </c>
      <c r="Q184" s="137">
        <f t="shared" si="42"/>
        <v>0.06</v>
      </c>
      <c r="R184" s="137">
        <f t="shared" si="42"/>
        <v>0.06</v>
      </c>
      <c r="S184" s="137">
        <f t="shared" si="43"/>
        <v>0.06</v>
      </c>
      <c r="T184" s="137">
        <f t="shared" si="43"/>
        <v>0.06</v>
      </c>
      <c r="U184" s="137">
        <f t="shared" si="43"/>
        <v>0.06</v>
      </c>
      <c r="V184" s="137">
        <f t="shared" si="43"/>
        <v>0.06</v>
      </c>
      <c r="W184" s="137">
        <f t="shared" si="43"/>
        <v>0.06</v>
      </c>
      <c r="X184" s="137">
        <f t="shared" si="43"/>
        <v>0.06</v>
      </c>
      <c r="Y184" s="137">
        <f t="shared" si="43"/>
        <v>0.06</v>
      </c>
      <c r="Z184" s="137">
        <f t="shared" si="43"/>
        <v>0.06</v>
      </c>
      <c r="AA184" s="137">
        <f t="shared" si="43"/>
        <v>0.06</v>
      </c>
      <c r="AB184" s="137">
        <f t="shared" si="43"/>
        <v>0.06</v>
      </c>
      <c r="AC184" s="137">
        <f t="shared" si="43"/>
        <v>0.06</v>
      </c>
      <c r="AD184" s="137">
        <f t="shared" si="43"/>
        <v>0.06</v>
      </c>
      <c r="AE184" s="137">
        <f t="shared" si="43"/>
        <v>0.06</v>
      </c>
      <c r="AF184" s="137">
        <f t="shared" si="43"/>
        <v>0.06</v>
      </c>
      <c r="AG184" s="139">
        <v>0.996</v>
      </c>
      <c r="AH184" s="56"/>
      <c r="AI184" s="57"/>
      <c r="AK184" s="58"/>
    </row>
    <row r="185" spans="1:37" x14ac:dyDescent="0.25">
      <c r="A185" s="124" t="s">
        <v>188</v>
      </c>
      <c r="B185" s="136">
        <v>0.11</v>
      </c>
      <c r="C185" s="137">
        <f t="shared" si="42"/>
        <v>0.11</v>
      </c>
      <c r="D185" s="137">
        <f t="shared" si="42"/>
        <v>0.11</v>
      </c>
      <c r="E185" s="137">
        <f t="shared" si="42"/>
        <v>0.11</v>
      </c>
      <c r="F185" s="137">
        <f t="shared" si="42"/>
        <v>0.11</v>
      </c>
      <c r="G185" s="137">
        <f t="shared" si="42"/>
        <v>0.11</v>
      </c>
      <c r="H185" s="137">
        <f t="shared" si="42"/>
        <v>0.11</v>
      </c>
      <c r="I185" s="137">
        <f t="shared" si="42"/>
        <v>0.11</v>
      </c>
      <c r="J185" s="137">
        <f t="shared" si="42"/>
        <v>0.11</v>
      </c>
      <c r="K185" s="137">
        <f t="shared" si="42"/>
        <v>0.11</v>
      </c>
      <c r="L185" s="137">
        <f t="shared" si="42"/>
        <v>0.11</v>
      </c>
      <c r="M185" s="137">
        <f t="shared" si="42"/>
        <v>0.11</v>
      </c>
      <c r="N185" s="137">
        <f t="shared" si="42"/>
        <v>0.11</v>
      </c>
      <c r="O185" s="137">
        <f t="shared" si="42"/>
        <v>0.11</v>
      </c>
      <c r="P185" s="137">
        <f t="shared" si="42"/>
        <v>0.11</v>
      </c>
      <c r="Q185" s="137">
        <f t="shared" si="42"/>
        <v>0.11</v>
      </c>
      <c r="R185" s="137">
        <f t="shared" si="42"/>
        <v>0.11</v>
      </c>
      <c r="S185" s="137">
        <f t="shared" si="43"/>
        <v>0.11</v>
      </c>
      <c r="T185" s="137">
        <f t="shared" si="43"/>
        <v>0.11</v>
      </c>
      <c r="U185" s="137">
        <f t="shared" si="43"/>
        <v>0.11</v>
      </c>
      <c r="V185" s="137">
        <f t="shared" si="43"/>
        <v>0.11</v>
      </c>
      <c r="W185" s="137">
        <f t="shared" si="43"/>
        <v>0.11</v>
      </c>
      <c r="X185" s="137">
        <f t="shared" si="43"/>
        <v>0.11</v>
      </c>
      <c r="Y185" s="137">
        <f t="shared" si="43"/>
        <v>0.11</v>
      </c>
      <c r="Z185" s="137">
        <f t="shared" si="43"/>
        <v>0.11</v>
      </c>
      <c r="AA185" s="137">
        <f t="shared" si="43"/>
        <v>0.11</v>
      </c>
      <c r="AB185" s="137">
        <f t="shared" si="43"/>
        <v>0.11</v>
      </c>
      <c r="AC185" s="137">
        <f t="shared" si="43"/>
        <v>0.11</v>
      </c>
      <c r="AD185" s="137">
        <f t="shared" si="43"/>
        <v>0.11</v>
      </c>
      <c r="AE185" s="137">
        <f t="shared" si="43"/>
        <v>0.11</v>
      </c>
      <c r="AF185" s="137">
        <f t="shared" si="43"/>
        <v>0.11</v>
      </c>
      <c r="AG185" s="139">
        <v>0.996</v>
      </c>
      <c r="AH185" s="56"/>
      <c r="AI185" s="57"/>
      <c r="AK185" s="58"/>
    </row>
    <row r="186" spans="1:37" x14ac:dyDescent="0.25">
      <c r="A186" s="124" t="s">
        <v>189</v>
      </c>
      <c r="B186" s="136">
        <v>0.1</v>
      </c>
      <c r="C186" s="137">
        <f t="shared" si="42"/>
        <v>0.1</v>
      </c>
      <c r="D186" s="137">
        <f t="shared" si="42"/>
        <v>0.1</v>
      </c>
      <c r="E186" s="137">
        <f t="shared" si="42"/>
        <v>0.1</v>
      </c>
      <c r="F186" s="137">
        <f t="shared" si="42"/>
        <v>0.1</v>
      </c>
      <c r="G186" s="137">
        <f t="shared" si="42"/>
        <v>0.1</v>
      </c>
      <c r="H186" s="137">
        <f t="shared" si="42"/>
        <v>0.1</v>
      </c>
      <c r="I186" s="137">
        <f t="shared" si="42"/>
        <v>0.1</v>
      </c>
      <c r="J186" s="137">
        <f t="shared" si="42"/>
        <v>0.1</v>
      </c>
      <c r="K186" s="137">
        <f t="shared" si="42"/>
        <v>0.1</v>
      </c>
      <c r="L186" s="137">
        <f t="shared" si="42"/>
        <v>0.1</v>
      </c>
      <c r="M186" s="137">
        <f t="shared" si="42"/>
        <v>0.1</v>
      </c>
      <c r="N186" s="137">
        <f t="shared" si="42"/>
        <v>0.1</v>
      </c>
      <c r="O186" s="137">
        <f t="shared" si="42"/>
        <v>0.1</v>
      </c>
      <c r="P186" s="137">
        <f t="shared" si="42"/>
        <v>0.1</v>
      </c>
      <c r="Q186" s="137">
        <f t="shared" si="42"/>
        <v>0.1</v>
      </c>
      <c r="R186" s="137">
        <f t="shared" si="43"/>
        <v>0.1</v>
      </c>
      <c r="S186" s="137">
        <f t="shared" si="43"/>
        <v>0.1</v>
      </c>
      <c r="T186" s="137">
        <f t="shared" si="43"/>
        <v>0.1</v>
      </c>
      <c r="U186" s="137">
        <f t="shared" si="43"/>
        <v>0.1</v>
      </c>
      <c r="V186" s="137">
        <f t="shared" si="43"/>
        <v>0.1</v>
      </c>
      <c r="W186" s="137">
        <f t="shared" si="43"/>
        <v>0.1</v>
      </c>
      <c r="X186" s="137">
        <f t="shared" si="43"/>
        <v>0.1</v>
      </c>
      <c r="Y186" s="137">
        <f t="shared" si="43"/>
        <v>0.1</v>
      </c>
      <c r="Z186" s="137">
        <f t="shared" si="43"/>
        <v>0.1</v>
      </c>
      <c r="AA186" s="137">
        <f t="shared" si="43"/>
        <v>0.1</v>
      </c>
      <c r="AB186" s="137">
        <f t="shared" si="43"/>
        <v>0.1</v>
      </c>
      <c r="AC186" s="137">
        <f t="shared" si="43"/>
        <v>0.1</v>
      </c>
      <c r="AD186" s="137">
        <f t="shared" si="43"/>
        <v>0.1</v>
      </c>
      <c r="AE186" s="137">
        <f t="shared" si="43"/>
        <v>0.1</v>
      </c>
      <c r="AF186" s="137">
        <f t="shared" si="43"/>
        <v>0.1</v>
      </c>
      <c r="AG186" s="139">
        <v>0.995</v>
      </c>
      <c r="AH186" s="56"/>
      <c r="AI186" s="57"/>
      <c r="AK186" s="58"/>
    </row>
    <row r="187" spans="1:37" x14ac:dyDescent="0.25">
      <c r="A187" s="124" t="s">
        <v>190</v>
      </c>
      <c r="B187" s="136">
        <v>0.09</v>
      </c>
      <c r="C187" s="137">
        <f t="shared" si="42"/>
        <v>0.09</v>
      </c>
      <c r="D187" s="137">
        <f t="shared" si="42"/>
        <v>0.09</v>
      </c>
      <c r="E187" s="137">
        <f t="shared" si="42"/>
        <v>0.09</v>
      </c>
      <c r="F187" s="137">
        <f t="shared" si="42"/>
        <v>0.09</v>
      </c>
      <c r="G187" s="137">
        <f t="shared" si="42"/>
        <v>0.09</v>
      </c>
      <c r="H187" s="137">
        <f t="shared" si="42"/>
        <v>0.09</v>
      </c>
      <c r="I187" s="137">
        <f t="shared" si="42"/>
        <v>0.09</v>
      </c>
      <c r="J187" s="137">
        <f t="shared" si="42"/>
        <v>0.09</v>
      </c>
      <c r="K187" s="137">
        <f t="shared" si="42"/>
        <v>0.09</v>
      </c>
      <c r="L187" s="137">
        <f t="shared" si="42"/>
        <v>0.09</v>
      </c>
      <c r="M187" s="137">
        <f t="shared" si="42"/>
        <v>0.09</v>
      </c>
      <c r="N187" s="137">
        <f t="shared" si="42"/>
        <v>0.09</v>
      </c>
      <c r="O187" s="137">
        <f t="shared" si="42"/>
        <v>0.09</v>
      </c>
      <c r="P187" s="137">
        <f t="shared" si="42"/>
        <v>0.09</v>
      </c>
      <c r="Q187" s="137">
        <f t="shared" si="42"/>
        <v>0.09</v>
      </c>
      <c r="R187" s="137">
        <f t="shared" si="43"/>
        <v>0.09</v>
      </c>
      <c r="S187" s="137">
        <f t="shared" si="43"/>
        <v>0.09</v>
      </c>
      <c r="T187" s="137">
        <f t="shared" si="43"/>
        <v>0.09</v>
      </c>
      <c r="U187" s="137">
        <f t="shared" si="43"/>
        <v>0.09</v>
      </c>
      <c r="V187" s="137">
        <f t="shared" si="43"/>
        <v>0.09</v>
      </c>
      <c r="W187" s="137">
        <f t="shared" si="43"/>
        <v>0.09</v>
      </c>
      <c r="X187" s="137">
        <f t="shared" si="43"/>
        <v>0.09</v>
      </c>
      <c r="Y187" s="137">
        <f t="shared" si="43"/>
        <v>0.09</v>
      </c>
      <c r="Z187" s="137">
        <f t="shared" si="43"/>
        <v>0.09</v>
      </c>
      <c r="AA187" s="137">
        <f t="shared" si="43"/>
        <v>0.09</v>
      </c>
      <c r="AB187" s="137">
        <f t="shared" si="43"/>
        <v>0.09</v>
      </c>
      <c r="AC187" s="137">
        <f t="shared" si="43"/>
        <v>0.09</v>
      </c>
      <c r="AD187" s="137">
        <f t="shared" si="43"/>
        <v>0.09</v>
      </c>
      <c r="AE187" s="137">
        <f t="shared" si="43"/>
        <v>0.09</v>
      </c>
      <c r="AF187" s="137">
        <f t="shared" si="43"/>
        <v>0.09</v>
      </c>
      <c r="AG187" s="139">
        <v>0.99299999999999999</v>
      </c>
      <c r="AH187" s="56"/>
      <c r="AI187" s="57"/>
      <c r="AK187" s="58"/>
    </row>
    <row r="188" spans="1:37" x14ac:dyDescent="0.25">
      <c r="A188" s="124" t="s">
        <v>191</v>
      </c>
      <c r="B188" s="55">
        <v>0.04</v>
      </c>
      <c r="C188" s="137">
        <f t="shared" si="42"/>
        <v>0.04</v>
      </c>
      <c r="D188" s="137">
        <f t="shared" si="42"/>
        <v>0.04</v>
      </c>
      <c r="E188" s="137">
        <f t="shared" si="42"/>
        <v>0.04</v>
      </c>
      <c r="F188" s="137">
        <f t="shared" si="42"/>
        <v>0.04</v>
      </c>
      <c r="G188" s="137">
        <f t="shared" si="42"/>
        <v>0.04</v>
      </c>
      <c r="H188" s="137">
        <f t="shared" si="42"/>
        <v>0.04</v>
      </c>
      <c r="I188" s="137">
        <f t="shared" si="42"/>
        <v>0.04</v>
      </c>
      <c r="J188" s="137">
        <f t="shared" si="42"/>
        <v>0.04</v>
      </c>
      <c r="K188" s="137">
        <f t="shared" si="42"/>
        <v>0.04</v>
      </c>
      <c r="L188" s="137">
        <f t="shared" si="42"/>
        <v>0.04</v>
      </c>
      <c r="M188" s="137">
        <f t="shared" si="42"/>
        <v>0.04</v>
      </c>
      <c r="N188" s="137">
        <f t="shared" si="42"/>
        <v>0.04</v>
      </c>
      <c r="O188" s="137">
        <f t="shared" si="42"/>
        <v>0.04</v>
      </c>
      <c r="P188" s="137">
        <f t="shared" si="42"/>
        <v>0.04</v>
      </c>
      <c r="Q188" s="137">
        <f t="shared" si="42"/>
        <v>0.04</v>
      </c>
      <c r="R188" s="137">
        <f t="shared" si="43"/>
        <v>0.04</v>
      </c>
      <c r="S188" s="137">
        <f t="shared" si="43"/>
        <v>0.04</v>
      </c>
      <c r="T188" s="137">
        <f t="shared" si="43"/>
        <v>0.04</v>
      </c>
      <c r="U188" s="137">
        <f t="shared" si="43"/>
        <v>0.04</v>
      </c>
      <c r="V188" s="137">
        <f t="shared" si="43"/>
        <v>0.04</v>
      </c>
      <c r="W188" s="137">
        <f t="shared" si="43"/>
        <v>0.04</v>
      </c>
      <c r="X188" s="137">
        <f t="shared" si="43"/>
        <v>0.04</v>
      </c>
      <c r="Y188" s="137">
        <f t="shared" si="43"/>
        <v>0.04</v>
      </c>
      <c r="Z188" s="137">
        <f t="shared" si="43"/>
        <v>0.04</v>
      </c>
      <c r="AA188" s="137">
        <f t="shared" si="43"/>
        <v>0.04</v>
      </c>
      <c r="AB188" s="137">
        <f t="shared" si="43"/>
        <v>0.04</v>
      </c>
      <c r="AC188" s="137">
        <f t="shared" si="43"/>
        <v>0.04</v>
      </c>
      <c r="AD188" s="137">
        <f t="shared" si="43"/>
        <v>0.04</v>
      </c>
      <c r="AE188" s="137">
        <f t="shared" si="43"/>
        <v>0.04</v>
      </c>
      <c r="AF188" s="137">
        <f t="shared" si="43"/>
        <v>0.04</v>
      </c>
      <c r="AG188" s="139">
        <v>0.99</v>
      </c>
      <c r="AH188" s="56"/>
      <c r="AI188" s="57"/>
      <c r="AK188" s="58"/>
    </row>
    <row r="189" spans="1:37" x14ac:dyDescent="0.25">
      <c r="A189" s="124" t="s">
        <v>192</v>
      </c>
      <c r="B189" s="55">
        <v>2.3E-2</v>
      </c>
      <c r="C189" s="137">
        <f>B189</f>
        <v>2.3E-2</v>
      </c>
      <c r="D189" s="137">
        <f t="shared" si="42"/>
        <v>2.3E-2</v>
      </c>
      <c r="E189" s="137">
        <f t="shared" si="42"/>
        <v>2.3E-2</v>
      </c>
      <c r="F189" s="137">
        <f t="shared" si="42"/>
        <v>2.3E-2</v>
      </c>
      <c r="G189" s="137">
        <f t="shared" si="42"/>
        <v>2.3E-2</v>
      </c>
      <c r="H189" s="137">
        <f t="shared" si="42"/>
        <v>2.3E-2</v>
      </c>
      <c r="I189" s="137">
        <f t="shared" si="42"/>
        <v>2.3E-2</v>
      </c>
      <c r="J189" s="137">
        <f t="shared" si="42"/>
        <v>2.3E-2</v>
      </c>
      <c r="K189" s="137">
        <f t="shared" si="42"/>
        <v>2.3E-2</v>
      </c>
      <c r="L189" s="137">
        <f t="shared" si="42"/>
        <v>2.3E-2</v>
      </c>
      <c r="M189" s="137">
        <f t="shared" si="42"/>
        <v>2.3E-2</v>
      </c>
      <c r="N189" s="137">
        <f t="shared" si="42"/>
        <v>2.3E-2</v>
      </c>
      <c r="O189" s="137">
        <f t="shared" si="42"/>
        <v>2.3E-2</v>
      </c>
      <c r="P189" s="137">
        <f t="shared" si="42"/>
        <v>2.3E-2</v>
      </c>
      <c r="Q189" s="137">
        <f t="shared" si="42"/>
        <v>2.3E-2</v>
      </c>
      <c r="R189" s="137">
        <f t="shared" si="43"/>
        <v>2.3E-2</v>
      </c>
      <c r="S189" s="137">
        <f t="shared" si="43"/>
        <v>2.3E-2</v>
      </c>
      <c r="T189" s="137">
        <f t="shared" si="43"/>
        <v>2.3E-2</v>
      </c>
      <c r="U189" s="137">
        <f t="shared" si="43"/>
        <v>2.3E-2</v>
      </c>
      <c r="V189" s="137">
        <f t="shared" si="43"/>
        <v>2.3E-2</v>
      </c>
      <c r="W189" s="137">
        <f t="shared" si="43"/>
        <v>2.3E-2</v>
      </c>
      <c r="X189" s="137">
        <f t="shared" si="43"/>
        <v>2.3E-2</v>
      </c>
      <c r="Y189" s="137">
        <f t="shared" si="43"/>
        <v>2.3E-2</v>
      </c>
      <c r="Z189" s="137">
        <f t="shared" si="43"/>
        <v>2.3E-2</v>
      </c>
      <c r="AA189" s="137">
        <f t="shared" si="43"/>
        <v>2.3E-2</v>
      </c>
      <c r="AB189" s="137">
        <f t="shared" si="43"/>
        <v>2.3E-2</v>
      </c>
      <c r="AC189" s="137">
        <f t="shared" si="43"/>
        <v>2.3E-2</v>
      </c>
      <c r="AD189" s="137">
        <f t="shared" si="43"/>
        <v>2.3E-2</v>
      </c>
      <c r="AE189" s="137">
        <f t="shared" si="43"/>
        <v>2.3E-2</v>
      </c>
      <c r="AF189" s="137">
        <f t="shared" si="43"/>
        <v>2.3E-2</v>
      </c>
      <c r="AG189" s="139">
        <v>0.97899999999999998</v>
      </c>
      <c r="AH189" s="56"/>
      <c r="AI189" s="57"/>
      <c r="AK189" s="58"/>
    </row>
    <row r="190" spans="1:37" ht="15.75" thickBot="1" x14ac:dyDescent="0.3">
      <c r="A190" s="140" t="s">
        <v>193</v>
      </c>
      <c r="B190" s="141">
        <f t="shared" ref="B190:AG190" si="44">SUM(B100:B189)</f>
        <v>194.70600000000002</v>
      </c>
      <c r="C190" s="141">
        <f t="shared" si="44"/>
        <v>194.70600000000002</v>
      </c>
      <c r="D190" s="141">
        <f t="shared" si="44"/>
        <v>194.70600000000002</v>
      </c>
      <c r="E190" s="141">
        <f t="shared" si="44"/>
        <v>194.70600000000002</v>
      </c>
      <c r="F190" s="141">
        <f t="shared" si="44"/>
        <v>194.70600000000002</v>
      </c>
      <c r="G190" s="141">
        <f t="shared" si="44"/>
        <v>194.70600000000002</v>
      </c>
      <c r="H190" s="141">
        <f t="shared" si="44"/>
        <v>194.70600000000002</v>
      </c>
      <c r="I190" s="141">
        <f t="shared" si="44"/>
        <v>192.10600000000005</v>
      </c>
      <c r="J190" s="141">
        <f t="shared" si="44"/>
        <v>192.10600000000005</v>
      </c>
      <c r="K190" s="141">
        <f t="shared" si="44"/>
        <v>192.10600000000005</v>
      </c>
      <c r="L190" s="141">
        <f t="shared" si="44"/>
        <v>192.10600000000005</v>
      </c>
      <c r="M190" s="141">
        <f t="shared" si="44"/>
        <v>192.10600000000005</v>
      </c>
      <c r="N190" s="141">
        <f t="shared" si="44"/>
        <v>192.10600000000005</v>
      </c>
      <c r="O190" s="141">
        <f t="shared" si="44"/>
        <v>192.10600000000005</v>
      </c>
      <c r="P190" s="141">
        <f t="shared" si="44"/>
        <v>192.10600000000005</v>
      </c>
      <c r="Q190" s="141">
        <f t="shared" si="44"/>
        <v>192.10600000000005</v>
      </c>
      <c r="R190" s="141">
        <f t="shared" si="44"/>
        <v>192.10600000000005</v>
      </c>
      <c r="S190" s="141">
        <f t="shared" si="44"/>
        <v>192.10600000000005</v>
      </c>
      <c r="T190" s="141">
        <f t="shared" si="44"/>
        <v>192.10600000000005</v>
      </c>
      <c r="U190" s="141">
        <f t="shared" si="44"/>
        <v>192.10600000000005</v>
      </c>
      <c r="V190" s="141">
        <f t="shared" si="44"/>
        <v>192.10600000000005</v>
      </c>
      <c r="W190" s="141">
        <f t="shared" si="44"/>
        <v>192.10600000000005</v>
      </c>
      <c r="X190" s="141">
        <f t="shared" si="44"/>
        <v>192.10600000000005</v>
      </c>
      <c r="Y190" s="141">
        <f t="shared" si="44"/>
        <v>192.10600000000005</v>
      </c>
      <c r="Z190" s="141">
        <f t="shared" si="44"/>
        <v>192.10600000000005</v>
      </c>
      <c r="AA190" s="141">
        <f t="shared" si="44"/>
        <v>192.10600000000005</v>
      </c>
      <c r="AB190" s="141">
        <f t="shared" si="44"/>
        <v>192.10600000000005</v>
      </c>
      <c r="AC190" s="141">
        <f t="shared" si="44"/>
        <v>192.10600000000005</v>
      </c>
      <c r="AD190" s="141">
        <f t="shared" si="44"/>
        <v>192.10600000000005</v>
      </c>
      <c r="AE190" s="141">
        <f t="shared" si="44"/>
        <v>192.10600000000005</v>
      </c>
      <c r="AF190" s="141">
        <f t="shared" si="44"/>
        <v>192.10600000000005</v>
      </c>
      <c r="AG190" s="142">
        <f t="shared" si="44"/>
        <v>412.72299999999984</v>
      </c>
      <c r="AH190" s="56"/>
      <c r="AI190" s="57"/>
      <c r="AK190" s="58"/>
    </row>
    <row r="191" spans="1:37" ht="15.75" thickBot="1" x14ac:dyDescent="0.3">
      <c r="A191" s="28" t="s">
        <v>57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56"/>
      <c r="AI191" s="57"/>
      <c r="AK191" s="58"/>
    </row>
    <row r="192" spans="1:37" x14ac:dyDescent="0.25">
      <c r="A192" s="117" t="s">
        <v>194</v>
      </c>
      <c r="B192" s="143">
        <v>0.3</v>
      </c>
      <c r="C192" s="143">
        <f t="shared" ref="C192:R197" si="45">B192</f>
        <v>0.3</v>
      </c>
      <c r="D192" s="143">
        <f t="shared" si="45"/>
        <v>0.3</v>
      </c>
      <c r="E192" s="143">
        <f t="shared" si="45"/>
        <v>0.3</v>
      </c>
      <c r="F192" s="143">
        <f t="shared" si="45"/>
        <v>0.3</v>
      </c>
      <c r="G192" s="143">
        <f t="shared" si="45"/>
        <v>0.3</v>
      </c>
      <c r="H192" s="143">
        <f t="shared" si="45"/>
        <v>0.3</v>
      </c>
      <c r="I192" s="143">
        <f t="shared" si="45"/>
        <v>0.3</v>
      </c>
      <c r="J192" s="143">
        <f t="shared" si="45"/>
        <v>0.3</v>
      </c>
      <c r="K192" s="143">
        <f t="shared" si="45"/>
        <v>0.3</v>
      </c>
      <c r="L192" s="143">
        <f t="shared" si="45"/>
        <v>0.3</v>
      </c>
      <c r="M192" s="143">
        <f t="shared" si="45"/>
        <v>0.3</v>
      </c>
      <c r="N192" s="143">
        <f t="shared" si="45"/>
        <v>0.3</v>
      </c>
      <c r="O192" s="143">
        <f t="shared" si="45"/>
        <v>0.3</v>
      </c>
      <c r="P192" s="143">
        <f t="shared" si="45"/>
        <v>0.3</v>
      </c>
      <c r="Q192" s="143">
        <f t="shared" si="45"/>
        <v>0.3</v>
      </c>
      <c r="R192" s="143">
        <f t="shared" si="45"/>
        <v>0.3</v>
      </c>
      <c r="S192" s="143">
        <f t="shared" ref="S192:AF197" si="46">R192</f>
        <v>0.3</v>
      </c>
      <c r="T192" s="143">
        <f t="shared" si="46"/>
        <v>0.3</v>
      </c>
      <c r="U192" s="143">
        <f t="shared" si="46"/>
        <v>0.3</v>
      </c>
      <c r="V192" s="143">
        <f t="shared" si="46"/>
        <v>0.3</v>
      </c>
      <c r="W192" s="143">
        <f t="shared" si="46"/>
        <v>0.3</v>
      </c>
      <c r="X192" s="143">
        <f t="shared" si="46"/>
        <v>0.3</v>
      </c>
      <c r="Y192" s="143">
        <f t="shared" si="46"/>
        <v>0.3</v>
      </c>
      <c r="Z192" s="143">
        <f t="shared" si="46"/>
        <v>0.3</v>
      </c>
      <c r="AA192" s="143">
        <f t="shared" si="46"/>
        <v>0.3</v>
      </c>
      <c r="AB192" s="143">
        <f t="shared" si="46"/>
        <v>0.3</v>
      </c>
      <c r="AC192" s="143">
        <f t="shared" si="46"/>
        <v>0.3</v>
      </c>
      <c r="AD192" s="143">
        <f t="shared" si="46"/>
        <v>0.3</v>
      </c>
      <c r="AE192" s="143">
        <f t="shared" si="46"/>
        <v>0.3</v>
      </c>
      <c r="AF192" s="143">
        <f t="shared" si="46"/>
        <v>0.3</v>
      </c>
      <c r="AG192" s="144">
        <v>2.4</v>
      </c>
      <c r="AH192" s="56"/>
      <c r="AI192" s="57"/>
      <c r="AK192" s="58"/>
    </row>
    <row r="193" spans="1:37" x14ac:dyDescent="0.25">
      <c r="A193" s="122" t="s">
        <v>195</v>
      </c>
      <c r="B193" s="137">
        <v>0.4</v>
      </c>
      <c r="C193" s="137">
        <f t="shared" si="45"/>
        <v>0.4</v>
      </c>
      <c r="D193" s="137">
        <f t="shared" si="45"/>
        <v>0.4</v>
      </c>
      <c r="E193" s="137">
        <f t="shared" si="45"/>
        <v>0.4</v>
      </c>
      <c r="F193" s="137">
        <f t="shared" si="45"/>
        <v>0.4</v>
      </c>
      <c r="G193" s="137">
        <f t="shared" si="45"/>
        <v>0.4</v>
      </c>
      <c r="H193" s="137">
        <f t="shared" si="45"/>
        <v>0.4</v>
      </c>
      <c r="I193" s="137">
        <f t="shared" si="45"/>
        <v>0.4</v>
      </c>
      <c r="J193" s="137">
        <f t="shared" si="45"/>
        <v>0.4</v>
      </c>
      <c r="K193" s="137">
        <f t="shared" si="45"/>
        <v>0.4</v>
      </c>
      <c r="L193" s="137">
        <f t="shared" si="45"/>
        <v>0.4</v>
      </c>
      <c r="M193" s="137">
        <f t="shared" si="45"/>
        <v>0.4</v>
      </c>
      <c r="N193" s="137">
        <f t="shared" si="45"/>
        <v>0.4</v>
      </c>
      <c r="O193" s="137">
        <f t="shared" si="45"/>
        <v>0.4</v>
      </c>
      <c r="P193" s="137">
        <f t="shared" si="45"/>
        <v>0.4</v>
      </c>
      <c r="Q193" s="137">
        <f t="shared" si="45"/>
        <v>0.4</v>
      </c>
      <c r="R193" s="137">
        <f t="shared" si="45"/>
        <v>0.4</v>
      </c>
      <c r="S193" s="137">
        <f t="shared" si="46"/>
        <v>0.4</v>
      </c>
      <c r="T193" s="137">
        <f t="shared" si="46"/>
        <v>0.4</v>
      </c>
      <c r="U193" s="137">
        <f t="shared" si="46"/>
        <v>0.4</v>
      </c>
      <c r="V193" s="137">
        <f>U193</f>
        <v>0.4</v>
      </c>
      <c r="W193" s="137">
        <f>V193</f>
        <v>0.4</v>
      </c>
      <c r="X193" s="137">
        <f t="shared" si="46"/>
        <v>0.4</v>
      </c>
      <c r="Y193" s="137">
        <f t="shared" si="46"/>
        <v>0.4</v>
      </c>
      <c r="Z193" s="137">
        <f t="shared" si="46"/>
        <v>0.4</v>
      </c>
      <c r="AA193" s="137">
        <f t="shared" si="46"/>
        <v>0.4</v>
      </c>
      <c r="AB193" s="137">
        <f t="shared" si="46"/>
        <v>0.4</v>
      </c>
      <c r="AC193" s="137">
        <f t="shared" si="46"/>
        <v>0.4</v>
      </c>
      <c r="AD193" s="137">
        <f t="shared" si="46"/>
        <v>0.4</v>
      </c>
      <c r="AE193" s="137">
        <f t="shared" si="46"/>
        <v>0.4</v>
      </c>
      <c r="AF193" s="137">
        <f t="shared" si="46"/>
        <v>0.4</v>
      </c>
      <c r="AG193" s="145">
        <v>2</v>
      </c>
      <c r="AH193" s="56"/>
      <c r="AI193" s="57"/>
      <c r="AK193" s="58"/>
    </row>
    <row r="194" spans="1:37" x14ac:dyDescent="0.25">
      <c r="A194" s="122" t="s">
        <v>196</v>
      </c>
      <c r="B194" s="137">
        <v>1.5</v>
      </c>
      <c r="C194" s="137">
        <f t="shared" si="45"/>
        <v>1.5</v>
      </c>
      <c r="D194" s="137">
        <f t="shared" si="45"/>
        <v>1.5</v>
      </c>
      <c r="E194" s="137">
        <f t="shared" si="45"/>
        <v>1.5</v>
      </c>
      <c r="F194" s="137">
        <f t="shared" si="45"/>
        <v>1.5</v>
      </c>
      <c r="G194" s="137">
        <f t="shared" si="45"/>
        <v>1.5</v>
      </c>
      <c r="H194" s="137">
        <f t="shared" si="45"/>
        <v>1.5</v>
      </c>
      <c r="I194" s="137">
        <f t="shared" si="45"/>
        <v>1.5</v>
      </c>
      <c r="J194" s="137">
        <f t="shared" si="45"/>
        <v>1.5</v>
      </c>
      <c r="K194" s="137">
        <f t="shared" si="45"/>
        <v>1.5</v>
      </c>
      <c r="L194" s="137">
        <f t="shared" si="45"/>
        <v>1.5</v>
      </c>
      <c r="M194" s="137">
        <f t="shared" si="45"/>
        <v>1.5</v>
      </c>
      <c r="N194" s="137">
        <f t="shared" si="45"/>
        <v>1.5</v>
      </c>
      <c r="O194" s="137">
        <f t="shared" si="45"/>
        <v>1.5</v>
      </c>
      <c r="P194" s="137">
        <f t="shared" si="45"/>
        <v>1.5</v>
      </c>
      <c r="Q194" s="137">
        <f t="shared" si="45"/>
        <v>1.5</v>
      </c>
      <c r="R194" s="137">
        <f t="shared" si="45"/>
        <v>1.5</v>
      </c>
      <c r="S194" s="137">
        <f t="shared" si="46"/>
        <v>1.5</v>
      </c>
      <c r="T194" s="137">
        <f t="shared" si="46"/>
        <v>1.5</v>
      </c>
      <c r="U194" s="137">
        <f t="shared" si="46"/>
        <v>1.5</v>
      </c>
      <c r="V194" s="137">
        <f t="shared" si="46"/>
        <v>1.5</v>
      </c>
      <c r="W194" s="137">
        <f t="shared" si="46"/>
        <v>1.5</v>
      </c>
      <c r="X194" s="137">
        <f t="shared" si="46"/>
        <v>1.5</v>
      </c>
      <c r="Y194" s="137">
        <f t="shared" si="46"/>
        <v>1.5</v>
      </c>
      <c r="Z194" s="137">
        <f t="shared" si="46"/>
        <v>1.5</v>
      </c>
      <c r="AA194" s="137">
        <f t="shared" si="46"/>
        <v>1.5</v>
      </c>
      <c r="AB194" s="137">
        <f t="shared" si="46"/>
        <v>1.5</v>
      </c>
      <c r="AC194" s="137">
        <f t="shared" si="46"/>
        <v>1.5</v>
      </c>
      <c r="AD194" s="137">
        <f t="shared" si="46"/>
        <v>1.5</v>
      </c>
      <c r="AE194" s="137">
        <f t="shared" si="46"/>
        <v>1.5</v>
      </c>
      <c r="AF194" s="137">
        <f t="shared" si="46"/>
        <v>1.5</v>
      </c>
      <c r="AG194" s="145">
        <v>1.5</v>
      </c>
      <c r="AH194" s="56"/>
      <c r="AI194" s="57"/>
      <c r="AK194" s="58"/>
    </row>
    <row r="195" spans="1:37" x14ac:dyDescent="0.25">
      <c r="A195" s="122" t="s">
        <v>197</v>
      </c>
      <c r="B195" s="137">
        <v>0.3</v>
      </c>
      <c r="C195" s="137">
        <f t="shared" si="45"/>
        <v>0.3</v>
      </c>
      <c r="D195" s="137">
        <f t="shared" si="45"/>
        <v>0.3</v>
      </c>
      <c r="E195" s="137">
        <f t="shared" si="45"/>
        <v>0.3</v>
      </c>
      <c r="F195" s="137">
        <f t="shared" si="45"/>
        <v>0.3</v>
      </c>
      <c r="G195" s="137">
        <f t="shared" si="45"/>
        <v>0.3</v>
      </c>
      <c r="H195" s="137">
        <f t="shared" si="45"/>
        <v>0.3</v>
      </c>
      <c r="I195" s="137">
        <f t="shared" si="45"/>
        <v>0.3</v>
      </c>
      <c r="J195" s="137">
        <f t="shared" si="45"/>
        <v>0.3</v>
      </c>
      <c r="K195" s="137">
        <f t="shared" si="45"/>
        <v>0.3</v>
      </c>
      <c r="L195" s="137">
        <f t="shared" si="45"/>
        <v>0.3</v>
      </c>
      <c r="M195" s="137">
        <f t="shared" si="45"/>
        <v>0.3</v>
      </c>
      <c r="N195" s="137">
        <f t="shared" si="45"/>
        <v>0.3</v>
      </c>
      <c r="O195" s="137">
        <f t="shared" si="45"/>
        <v>0.3</v>
      </c>
      <c r="P195" s="137">
        <f t="shared" si="45"/>
        <v>0.3</v>
      </c>
      <c r="Q195" s="137">
        <f t="shared" si="45"/>
        <v>0.3</v>
      </c>
      <c r="R195" s="137">
        <f t="shared" si="45"/>
        <v>0.3</v>
      </c>
      <c r="S195" s="137">
        <f t="shared" si="46"/>
        <v>0.3</v>
      </c>
      <c r="T195" s="137">
        <f t="shared" si="46"/>
        <v>0.3</v>
      </c>
      <c r="U195" s="137">
        <f t="shared" si="46"/>
        <v>0.3</v>
      </c>
      <c r="V195" s="137">
        <f t="shared" si="46"/>
        <v>0.3</v>
      </c>
      <c r="W195" s="137">
        <f t="shared" si="46"/>
        <v>0.3</v>
      </c>
      <c r="X195" s="137">
        <f t="shared" si="46"/>
        <v>0.3</v>
      </c>
      <c r="Y195" s="137">
        <f t="shared" si="46"/>
        <v>0.3</v>
      </c>
      <c r="Z195" s="137">
        <f t="shared" si="46"/>
        <v>0.3</v>
      </c>
      <c r="AA195" s="137">
        <f t="shared" si="46"/>
        <v>0.3</v>
      </c>
      <c r="AB195" s="137">
        <f t="shared" si="46"/>
        <v>0.3</v>
      </c>
      <c r="AC195" s="137">
        <f t="shared" si="46"/>
        <v>0.3</v>
      </c>
      <c r="AD195" s="137">
        <f t="shared" si="46"/>
        <v>0.3</v>
      </c>
      <c r="AE195" s="137">
        <f t="shared" si="46"/>
        <v>0.3</v>
      </c>
      <c r="AF195" s="137">
        <f t="shared" si="46"/>
        <v>0.3</v>
      </c>
      <c r="AG195" s="145">
        <v>1</v>
      </c>
      <c r="AH195" s="56"/>
      <c r="AI195" s="57"/>
      <c r="AK195" s="58"/>
    </row>
    <row r="196" spans="1:37" x14ac:dyDescent="0.25">
      <c r="A196" s="122" t="s">
        <v>198</v>
      </c>
      <c r="B196" s="137">
        <v>0.4</v>
      </c>
      <c r="C196" s="137">
        <f t="shared" si="45"/>
        <v>0.4</v>
      </c>
      <c r="D196" s="137">
        <f t="shared" si="45"/>
        <v>0.4</v>
      </c>
      <c r="E196" s="137">
        <f t="shared" si="45"/>
        <v>0.4</v>
      </c>
      <c r="F196" s="137">
        <f t="shared" si="45"/>
        <v>0.4</v>
      </c>
      <c r="G196" s="137">
        <f t="shared" si="45"/>
        <v>0.4</v>
      </c>
      <c r="H196" s="137">
        <f t="shared" si="45"/>
        <v>0.4</v>
      </c>
      <c r="I196" s="137">
        <f t="shared" si="45"/>
        <v>0.4</v>
      </c>
      <c r="J196" s="137">
        <f t="shared" si="45"/>
        <v>0.4</v>
      </c>
      <c r="K196" s="137">
        <f t="shared" si="45"/>
        <v>0.4</v>
      </c>
      <c r="L196" s="137">
        <f t="shared" si="45"/>
        <v>0.4</v>
      </c>
      <c r="M196" s="137">
        <f t="shared" si="45"/>
        <v>0.4</v>
      </c>
      <c r="N196" s="137">
        <f t="shared" si="45"/>
        <v>0.4</v>
      </c>
      <c r="O196" s="137">
        <f t="shared" si="45"/>
        <v>0.4</v>
      </c>
      <c r="P196" s="137">
        <f t="shared" si="45"/>
        <v>0.4</v>
      </c>
      <c r="Q196" s="137">
        <f t="shared" si="45"/>
        <v>0.4</v>
      </c>
      <c r="R196" s="137">
        <f t="shared" si="45"/>
        <v>0.4</v>
      </c>
      <c r="S196" s="137">
        <f t="shared" si="46"/>
        <v>0.4</v>
      </c>
      <c r="T196" s="137">
        <f t="shared" si="46"/>
        <v>0.4</v>
      </c>
      <c r="U196" s="137">
        <f t="shared" si="46"/>
        <v>0.4</v>
      </c>
      <c r="V196" s="137">
        <f t="shared" si="46"/>
        <v>0.4</v>
      </c>
      <c r="W196" s="137">
        <f t="shared" si="46"/>
        <v>0.4</v>
      </c>
      <c r="X196" s="137">
        <f t="shared" si="46"/>
        <v>0.4</v>
      </c>
      <c r="Y196" s="137">
        <f t="shared" si="46"/>
        <v>0.4</v>
      </c>
      <c r="Z196" s="137">
        <f t="shared" si="46"/>
        <v>0.4</v>
      </c>
      <c r="AA196" s="137">
        <f t="shared" si="46"/>
        <v>0.4</v>
      </c>
      <c r="AB196" s="137">
        <f t="shared" si="46"/>
        <v>0.4</v>
      </c>
      <c r="AC196" s="137">
        <f t="shared" si="46"/>
        <v>0.4</v>
      </c>
      <c r="AD196" s="137">
        <f t="shared" si="46"/>
        <v>0.4</v>
      </c>
      <c r="AE196" s="137">
        <f t="shared" si="46"/>
        <v>0.4</v>
      </c>
      <c r="AF196" s="137">
        <f t="shared" si="46"/>
        <v>0.4</v>
      </c>
      <c r="AG196" s="145">
        <v>1</v>
      </c>
      <c r="AH196" s="56"/>
      <c r="AI196" s="57"/>
      <c r="AK196" s="58"/>
    </row>
    <row r="197" spans="1:37" ht="15.75" thickBot="1" x14ac:dyDescent="0.3">
      <c r="A197" s="124" t="s">
        <v>199</v>
      </c>
      <c r="B197" s="146">
        <v>0.64</v>
      </c>
      <c r="C197" s="146">
        <f t="shared" si="45"/>
        <v>0.64</v>
      </c>
      <c r="D197" s="146">
        <f t="shared" si="45"/>
        <v>0.64</v>
      </c>
      <c r="E197" s="146">
        <f t="shared" si="45"/>
        <v>0.64</v>
      </c>
      <c r="F197" s="146">
        <f t="shared" si="45"/>
        <v>0.64</v>
      </c>
      <c r="G197" s="146">
        <f t="shared" si="45"/>
        <v>0.64</v>
      </c>
      <c r="H197" s="146">
        <f t="shared" si="45"/>
        <v>0.64</v>
      </c>
      <c r="I197" s="146">
        <f t="shared" si="45"/>
        <v>0.64</v>
      </c>
      <c r="J197" s="146">
        <f t="shared" si="45"/>
        <v>0.64</v>
      </c>
      <c r="K197" s="146">
        <f t="shared" si="45"/>
        <v>0.64</v>
      </c>
      <c r="L197" s="146">
        <f t="shared" si="45"/>
        <v>0.64</v>
      </c>
      <c r="M197" s="146">
        <f t="shared" si="45"/>
        <v>0.64</v>
      </c>
      <c r="N197" s="146">
        <f t="shared" si="45"/>
        <v>0.64</v>
      </c>
      <c r="O197" s="146">
        <f t="shared" si="45"/>
        <v>0.64</v>
      </c>
      <c r="P197" s="146">
        <f t="shared" si="45"/>
        <v>0.64</v>
      </c>
      <c r="Q197" s="146">
        <f t="shared" si="45"/>
        <v>0.64</v>
      </c>
      <c r="R197" s="146">
        <f t="shared" si="45"/>
        <v>0.64</v>
      </c>
      <c r="S197" s="146">
        <f t="shared" si="46"/>
        <v>0.64</v>
      </c>
      <c r="T197" s="146">
        <f t="shared" si="46"/>
        <v>0.64</v>
      </c>
      <c r="U197" s="146">
        <f t="shared" si="46"/>
        <v>0.64</v>
      </c>
      <c r="V197" s="146">
        <f t="shared" si="46"/>
        <v>0.64</v>
      </c>
      <c r="W197" s="146">
        <f t="shared" si="46"/>
        <v>0.64</v>
      </c>
      <c r="X197" s="146">
        <f t="shared" si="46"/>
        <v>0.64</v>
      </c>
      <c r="Y197" s="146">
        <f t="shared" si="46"/>
        <v>0.64</v>
      </c>
      <c r="Z197" s="146">
        <f t="shared" si="46"/>
        <v>0.64</v>
      </c>
      <c r="AA197" s="146">
        <f t="shared" si="46"/>
        <v>0.64</v>
      </c>
      <c r="AB197" s="146">
        <f t="shared" si="46"/>
        <v>0.64</v>
      </c>
      <c r="AC197" s="146">
        <f t="shared" si="46"/>
        <v>0.64</v>
      </c>
      <c r="AD197" s="146">
        <f t="shared" si="46"/>
        <v>0.64</v>
      </c>
      <c r="AE197" s="146">
        <f t="shared" si="46"/>
        <v>0.64</v>
      </c>
      <c r="AF197" s="146">
        <f t="shared" si="46"/>
        <v>0.64</v>
      </c>
      <c r="AG197" s="147">
        <v>0.66</v>
      </c>
      <c r="AH197" s="56"/>
      <c r="AI197" s="57"/>
    </row>
    <row r="198" spans="1:37" ht="15.75" thickBot="1" x14ac:dyDescent="0.3">
      <c r="A198" s="148" t="s">
        <v>57</v>
      </c>
      <c r="B198" s="149">
        <f>SUM(B192:B197)</f>
        <v>3.54</v>
      </c>
      <c r="C198" s="149">
        <f t="shared" ref="C198:K198" si="47">SUM(C192:C197)</f>
        <v>3.54</v>
      </c>
      <c r="D198" s="149">
        <f t="shared" si="47"/>
        <v>3.54</v>
      </c>
      <c r="E198" s="149">
        <f t="shared" si="47"/>
        <v>3.54</v>
      </c>
      <c r="F198" s="149">
        <f t="shared" si="47"/>
        <v>3.54</v>
      </c>
      <c r="G198" s="149">
        <f t="shared" si="47"/>
        <v>3.54</v>
      </c>
      <c r="H198" s="149">
        <f t="shared" si="47"/>
        <v>3.54</v>
      </c>
      <c r="I198" s="149">
        <f t="shared" si="47"/>
        <v>3.54</v>
      </c>
      <c r="J198" s="149">
        <f t="shared" si="47"/>
        <v>3.54</v>
      </c>
      <c r="K198" s="149">
        <f t="shared" si="47"/>
        <v>3.54</v>
      </c>
      <c r="L198" s="149">
        <f>SUM(L192:L197)</f>
        <v>3.54</v>
      </c>
      <c r="M198" s="149">
        <f t="shared" ref="M198:R198" si="48">SUM(M192:M197)</f>
        <v>3.54</v>
      </c>
      <c r="N198" s="149">
        <f t="shared" si="48"/>
        <v>3.54</v>
      </c>
      <c r="O198" s="149">
        <f t="shared" si="48"/>
        <v>3.54</v>
      </c>
      <c r="P198" s="149">
        <f t="shared" si="48"/>
        <v>3.54</v>
      </c>
      <c r="Q198" s="149">
        <f t="shared" si="48"/>
        <v>3.54</v>
      </c>
      <c r="R198" s="149">
        <f t="shared" si="48"/>
        <v>3.54</v>
      </c>
      <c r="S198" s="149">
        <f>SUM(S192:S197)</f>
        <v>3.54</v>
      </c>
      <c r="T198" s="149">
        <f t="shared" ref="T198:AG198" si="49">SUM(T192:T197)</f>
        <v>3.54</v>
      </c>
      <c r="U198" s="149">
        <f t="shared" si="49"/>
        <v>3.54</v>
      </c>
      <c r="V198" s="149">
        <f t="shared" si="49"/>
        <v>3.54</v>
      </c>
      <c r="W198" s="149">
        <f t="shared" si="49"/>
        <v>3.54</v>
      </c>
      <c r="X198" s="149">
        <f t="shared" si="49"/>
        <v>3.54</v>
      </c>
      <c r="Y198" s="149">
        <f t="shared" si="49"/>
        <v>3.54</v>
      </c>
      <c r="Z198" s="149">
        <f t="shared" si="49"/>
        <v>3.54</v>
      </c>
      <c r="AA198" s="149">
        <f t="shared" si="49"/>
        <v>3.54</v>
      </c>
      <c r="AB198" s="149">
        <f t="shared" si="49"/>
        <v>3.54</v>
      </c>
      <c r="AC198" s="149">
        <f t="shared" si="49"/>
        <v>3.54</v>
      </c>
      <c r="AD198" s="149">
        <f t="shared" si="49"/>
        <v>3.54</v>
      </c>
      <c r="AE198" s="149">
        <f t="shared" si="49"/>
        <v>3.54</v>
      </c>
      <c r="AF198" s="149">
        <f t="shared" si="49"/>
        <v>3.54</v>
      </c>
      <c r="AG198" s="150">
        <f t="shared" si="49"/>
        <v>8.56</v>
      </c>
      <c r="AH198" s="56"/>
      <c r="AI198" s="57"/>
    </row>
    <row r="199" spans="1:37" ht="15.75" thickBot="1" x14ac:dyDescent="0.3"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12"/>
      <c r="AH199" s="47"/>
    </row>
    <row r="200" spans="1:37" x14ac:dyDescent="0.25">
      <c r="A200" s="95" t="s">
        <v>200</v>
      </c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2"/>
      <c r="AG200" s="47"/>
      <c r="AH200" s="56"/>
      <c r="AI200" s="57"/>
    </row>
    <row r="201" spans="1:37" x14ac:dyDescent="0.25">
      <c r="A201" s="153" t="s">
        <v>201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5"/>
      <c r="AG201" s="156"/>
      <c r="AH201" s="56"/>
      <c r="AI201" s="57"/>
    </row>
    <row r="202" spans="1:37" x14ac:dyDescent="0.25">
      <c r="A202" s="99" t="s">
        <v>202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8"/>
      <c r="AG202" s="156"/>
      <c r="AH202" s="56"/>
      <c r="AI202" s="57"/>
    </row>
    <row r="203" spans="1:37" x14ac:dyDescent="0.25">
      <c r="A203" s="99" t="s">
        <v>203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6"/>
      <c r="AI203" s="57"/>
    </row>
    <row r="204" spans="1:37" ht="15.75" thickBot="1" x14ac:dyDescent="0.3">
      <c r="A204" s="159" t="s">
        <v>204</v>
      </c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1"/>
      <c r="AG204" s="156"/>
      <c r="AH204" s="56"/>
      <c r="AI204" s="57"/>
    </row>
    <row r="205" spans="1:37" x14ac:dyDescent="0.25"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</row>
    <row r="206" spans="1:37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162" t="s">
        <v>205</v>
      </c>
      <c r="B207" s="163">
        <f>MAX(F74:M74)</f>
        <v>3.54</v>
      </c>
      <c r="C207" s="164">
        <f>INDEX(F9:M9,1,MATCH(MAX(F74:M74),F74:M74,0))</f>
        <v>0.20833333333333301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165" t="str">
        <f ca="1">MID(CELL("filename",C7),FIND("]",CELL("filename",C7))+1,600)</f>
        <v>new_sample</v>
      </c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243" t="s">
        <v>206</v>
      </c>
      <c r="B209" s="243"/>
      <c r="C209" s="47"/>
      <c r="D209" s="165" t="e">
        <f ca="1">"Pie Chart of Daily Peak Demand(Inclusive of Export) of Nepal ("&amp;A4&amp;" "&amp;B4&amp;")"</f>
        <v>#VALUE!</v>
      </c>
      <c r="E209" s="47"/>
      <c r="F209" s="47"/>
      <c r="G209" s="165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e">
        <f ca="1">"Daily Load Curve(Excluding of Export) of Nepal ("&amp;A4&amp;" "&amp;B4&amp;")"</f>
        <v>#VALUE!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ht="12.75" customHeight="1" thickBot="1" x14ac:dyDescent="0.3">
      <c r="A210" s="166" t="s">
        <v>7</v>
      </c>
      <c r="B210" s="167"/>
      <c r="C210" s="47"/>
      <c r="D210" s="16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5.75" thickTop="1" x14ac:dyDescent="0.25">
      <c r="A211" s="166" t="s">
        <v>207</v>
      </c>
      <c r="B211" s="16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9" t="s">
        <v>208</v>
      </c>
      <c r="T211" s="170">
        <v>4.1666666666666664E-2</v>
      </c>
      <c r="U211" s="171">
        <v>8.3333333333333301E-2</v>
      </c>
      <c r="V211" s="171">
        <v>0.125</v>
      </c>
      <c r="W211" s="171">
        <v>0.16666666666666699</v>
      </c>
      <c r="X211" s="171">
        <v>0.20833333333333301</v>
      </c>
      <c r="Y211" s="171">
        <v>0.22916666666666666</v>
      </c>
      <c r="Z211" s="171">
        <v>0.25</v>
      </c>
      <c r="AA211" s="171">
        <v>0.27083333333333331</v>
      </c>
      <c r="AB211" s="171">
        <v>0.29166666666666669</v>
      </c>
      <c r="AC211" s="171">
        <v>0.3125</v>
      </c>
      <c r="AD211" s="172">
        <v>0.33333333333333331</v>
      </c>
      <c r="AE211" s="172">
        <v>0.375</v>
      </c>
      <c r="AF211" s="172">
        <v>0.41666666666666702</v>
      </c>
      <c r="AG211" s="172">
        <v>0.45833333333333298</v>
      </c>
      <c r="AH211" s="172">
        <v>0.5</v>
      </c>
      <c r="AI211" s="172">
        <v>0.54166666666666696</v>
      </c>
      <c r="AJ211" s="172">
        <v>0.58333333333333304</v>
      </c>
      <c r="AK211" s="172">
        <v>0.625</v>
      </c>
      <c r="AL211" s="172">
        <v>0.66666666666666696</v>
      </c>
      <c r="AM211" s="172">
        <v>0.70833333333333304</v>
      </c>
      <c r="AN211" s="172">
        <v>0.72916666666666663</v>
      </c>
      <c r="AO211" s="172">
        <v>0.75</v>
      </c>
      <c r="AP211" s="172">
        <v>0.77083333333333337</v>
      </c>
      <c r="AQ211" s="172">
        <v>0.79166666666666663</v>
      </c>
      <c r="AR211" s="172">
        <v>0.8125</v>
      </c>
      <c r="AS211" s="171">
        <v>0.83333333333333337</v>
      </c>
      <c r="AT211" s="171">
        <v>0.85416666666666663</v>
      </c>
      <c r="AU211" s="171">
        <v>0.875</v>
      </c>
      <c r="AV211" s="171">
        <v>0.91666666666666696</v>
      </c>
      <c r="AW211" s="171">
        <v>0.95833333333333304</v>
      </c>
      <c r="AX211" s="171">
        <v>1</v>
      </c>
    </row>
    <row r="212" spans="1:50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 t="s">
        <v>210</v>
      </c>
      <c r="T212" s="173">
        <f t="shared" ref="T212:AX212" si="50">B74</f>
        <v>3.54</v>
      </c>
      <c r="U212" s="173">
        <f t="shared" si="50"/>
        <v>3.54</v>
      </c>
      <c r="V212" s="173">
        <f t="shared" si="50"/>
        <v>3.54</v>
      </c>
      <c r="W212" s="173">
        <f t="shared" si="50"/>
        <v>3.54</v>
      </c>
      <c r="X212" s="173">
        <f t="shared" si="50"/>
        <v>3.54</v>
      </c>
      <c r="Y212" s="173">
        <f t="shared" si="50"/>
        <v>3.54</v>
      </c>
      <c r="Z212" s="173">
        <f t="shared" si="50"/>
        <v>3.54</v>
      </c>
      <c r="AA212" s="173">
        <f t="shared" si="50"/>
        <v>3.54</v>
      </c>
      <c r="AB212" s="173">
        <f t="shared" si="50"/>
        <v>3.54</v>
      </c>
      <c r="AC212" s="173">
        <f t="shared" si="50"/>
        <v>3.54</v>
      </c>
      <c r="AD212" s="173">
        <f t="shared" si="50"/>
        <v>3.54</v>
      </c>
      <c r="AE212" s="173">
        <f t="shared" si="50"/>
        <v>3.54</v>
      </c>
      <c r="AF212" s="173">
        <f t="shared" si="50"/>
        <v>3.54</v>
      </c>
      <c r="AG212" s="173">
        <f t="shared" si="50"/>
        <v>3.54</v>
      </c>
      <c r="AH212" s="173">
        <f t="shared" si="50"/>
        <v>3.54</v>
      </c>
      <c r="AI212" s="173">
        <f t="shared" si="50"/>
        <v>3.54</v>
      </c>
      <c r="AJ212" s="173">
        <f t="shared" si="50"/>
        <v>3.54</v>
      </c>
      <c r="AK212" s="173">
        <f t="shared" si="50"/>
        <v>3.54</v>
      </c>
      <c r="AL212" s="173">
        <f t="shared" si="50"/>
        <v>3.54</v>
      </c>
      <c r="AM212" s="173">
        <f t="shared" si="50"/>
        <v>3.54</v>
      </c>
      <c r="AN212" s="173">
        <f t="shared" si="50"/>
        <v>3.54</v>
      </c>
      <c r="AO212" s="173">
        <f t="shared" si="50"/>
        <v>3.54</v>
      </c>
      <c r="AP212" s="173">
        <f t="shared" si="50"/>
        <v>3.54</v>
      </c>
      <c r="AQ212" s="173">
        <f t="shared" si="50"/>
        <v>3.54</v>
      </c>
      <c r="AR212" s="173">
        <f t="shared" si="50"/>
        <v>3.54</v>
      </c>
      <c r="AS212" s="173">
        <f t="shared" si="50"/>
        <v>3.54</v>
      </c>
      <c r="AT212" s="173">
        <f t="shared" si="50"/>
        <v>3.54</v>
      </c>
      <c r="AU212" s="173">
        <f t="shared" si="50"/>
        <v>3.54</v>
      </c>
      <c r="AV212" s="173">
        <f t="shared" si="50"/>
        <v>3.54</v>
      </c>
      <c r="AW212" s="173">
        <f t="shared" si="50"/>
        <v>3.54</v>
      </c>
      <c r="AX212" s="173">
        <f t="shared" si="50"/>
        <v>3.54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x14ac:dyDescent="0.25">
      <c r="A214" s="166" t="s">
        <v>212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7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x14ac:dyDescent="0.25">
      <c r="A233" s="175" t="s">
        <v>200</v>
      </c>
      <c r="B233" s="176">
        <f t="shared" ref="B233:AF233" si="51">B197</f>
        <v>0.64</v>
      </c>
      <c r="C233" s="176">
        <f t="shared" si="51"/>
        <v>0.64</v>
      </c>
      <c r="D233" s="176">
        <f t="shared" si="51"/>
        <v>0.64</v>
      </c>
      <c r="E233" s="176">
        <f t="shared" si="51"/>
        <v>0.64</v>
      </c>
      <c r="F233" s="176">
        <f t="shared" si="51"/>
        <v>0.64</v>
      </c>
      <c r="G233" s="176">
        <f t="shared" si="51"/>
        <v>0.64</v>
      </c>
      <c r="H233" s="176">
        <f t="shared" si="51"/>
        <v>0.64</v>
      </c>
      <c r="I233" s="176">
        <f t="shared" si="51"/>
        <v>0.64</v>
      </c>
      <c r="J233" s="176">
        <f t="shared" si="51"/>
        <v>0.64</v>
      </c>
      <c r="K233" s="176">
        <f t="shared" si="51"/>
        <v>0.64</v>
      </c>
      <c r="L233" s="176">
        <f t="shared" si="51"/>
        <v>0.64</v>
      </c>
      <c r="M233" s="176">
        <f t="shared" si="51"/>
        <v>0.64</v>
      </c>
      <c r="N233" s="176">
        <f t="shared" si="51"/>
        <v>0.64</v>
      </c>
      <c r="O233" s="176">
        <f t="shared" si="51"/>
        <v>0.64</v>
      </c>
      <c r="P233" s="176">
        <f t="shared" si="51"/>
        <v>0.64</v>
      </c>
      <c r="Q233" s="176">
        <f t="shared" si="51"/>
        <v>0.64</v>
      </c>
      <c r="R233" s="176">
        <f t="shared" si="51"/>
        <v>0.64</v>
      </c>
      <c r="S233" s="176">
        <f t="shared" si="51"/>
        <v>0.64</v>
      </c>
      <c r="T233" s="176">
        <f t="shared" si="51"/>
        <v>0.64</v>
      </c>
      <c r="U233" s="176">
        <f t="shared" si="51"/>
        <v>0.64</v>
      </c>
      <c r="V233" s="176">
        <f t="shared" si="51"/>
        <v>0.64</v>
      </c>
      <c r="W233" s="176">
        <f t="shared" si="51"/>
        <v>0.64</v>
      </c>
      <c r="X233" s="176">
        <f t="shared" si="51"/>
        <v>0.64</v>
      </c>
      <c r="Y233" s="176">
        <f t="shared" si="51"/>
        <v>0.64</v>
      </c>
      <c r="Z233" s="176">
        <f t="shared" si="51"/>
        <v>0.64</v>
      </c>
      <c r="AA233" s="176">
        <f t="shared" si="51"/>
        <v>0.64</v>
      </c>
      <c r="AB233" s="176">
        <f t="shared" si="51"/>
        <v>0.64</v>
      </c>
      <c r="AC233" s="176">
        <f t="shared" si="51"/>
        <v>0.64</v>
      </c>
      <c r="AD233" s="176">
        <f t="shared" si="51"/>
        <v>0.64</v>
      </c>
      <c r="AE233" s="176">
        <f t="shared" si="51"/>
        <v>0.64</v>
      </c>
      <c r="AF233" s="176">
        <f t="shared" si="51"/>
        <v>0.64</v>
      </c>
      <c r="AG233" s="47"/>
      <c r="AH233" s="47"/>
    </row>
    <row r="234" spans="1:34" x14ac:dyDescent="0.25">
      <c r="A234" s="120" t="str">
        <f>A201</f>
        <v>KGA</v>
      </c>
      <c r="B234" s="120" t="str">
        <f>IF(B201&lt;100,"",B201-520)</f>
        <v/>
      </c>
      <c r="C234" s="120" t="str">
        <f t="shared" ref="C234:AF234" si="52">IF(C201&lt;100,"",C201-520)</f>
        <v/>
      </c>
      <c r="D234" s="120" t="str">
        <f t="shared" si="52"/>
        <v/>
      </c>
      <c r="E234" s="120" t="str">
        <f t="shared" si="52"/>
        <v/>
      </c>
      <c r="F234" s="120" t="str">
        <f t="shared" si="52"/>
        <v/>
      </c>
      <c r="G234" s="120" t="str">
        <f t="shared" si="52"/>
        <v/>
      </c>
      <c r="H234" s="120" t="str">
        <f t="shared" si="52"/>
        <v/>
      </c>
      <c r="I234" s="120" t="str">
        <f t="shared" si="52"/>
        <v/>
      </c>
      <c r="J234" s="120" t="str">
        <f t="shared" si="52"/>
        <v/>
      </c>
      <c r="K234" s="120" t="str">
        <f t="shared" si="52"/>
        <v/>
      </c>
      <c r="L234" s="120" t="str">
        <f t="shared" si="52"/>
        <v/>
      </c>
      <c r="M234" s="120" t="str">
        <f t="shared" si="52"/>
        <v/>
      </c>
      <c r="N234" s="120" t="str">
        <f t="shared" si="52"/>
        <v/>
      </c>
      <c r="O234" s="120" t="str">
        <f t="shared" si="52"/>
        <v/>
      </c>
      <c r="P234" s="120" t="str">
        <f t="shared" si="52"/>
        <v/>
      </c>
      <c r="Q234" s="120" t="str">
        <f t="shared" si="52"/>
        <v/>
      </c>
      <c r="R234" s="120" t="str">
        <f t="shared" si="52"/>
        <v/>
      </c>
      <c r="S234" s="120" t="str">
        <f t="shared" si="52"/>
        <v/>
      </c>
      <c r="T234" s="120" t="str">
        <f t="shared" si="52"/>
        <v/>
      </c>
      <c r="U234" s="120" t="str">
        <f t="shared" si="52"/>
        <v/>
      </c>
      <c r="V234" s="120" t="str">
        <f t="shared" si="52"/>
        <v/>
      </c>
      <c r="W234" s="120" t="str">
        <f t="shared" si="52"/>
        <v/>
      </c>
      <c r="X234" s="120" t="str">
        <f t="shared" si="52"/>
        <v/>
      </c>
      <c r="Y234" s="120" t="str">
        <f t="shared" si="52"/>
        <v/>
      </c>
      <c r="Z234" s="120" t="str">
        <f t="shared" si="52"/>
        <v/>
      </c>
      <c r="AA234" s="120" t="str">
        <f t="shared" si="52"/>
        <v/>
      </c>
      <c r="AB234" s="120" t="str">
        <f t="shared" si="52"/>
        <v/>
      </c>
      <c r="AC234" s="120" t="str">
        <f t="shared" si="52"/>
        <v/>
      </c>
      <c r="AD234" s="120" t="str">
        <f t="shared" si="52"/>
        <v/>
      </c>
      <c r="AE234" s="120" t="str">
        <f t="shared" si="52"/>
        <v/>
      </c>
      <c r="AF234" s="120" t="str">
        <f t="shared" si="52"/>
        <v/>
      </c>
      <c r="AG234" s="47"/>
      <c r="AH234" s="47"/>
    </row>
    <row r="235" spans="1:34" x14ac:dyDescent="0.25">
      <c r="A235" s="120" t="str">
        <f>A202</f>
        <v>MMRS</v>
      </c>
      <c r="B235" s="120" t="str">
        <f t="shared" ref="B235:AF235" si="53">IF(B202&lt;100,"",B202-620)</f>
        <v/>
      </c>
      <c r="C235" s="120" t="str">
        <f t="shared" si="53"/>
        <v/>
      </c>
      <c r="D235" s="120" t="str">
        <f t="shared" si="53"/>
        <v/>
      </c>
      <c r="E235" s="120" t="str">
        <f t="shared" si="53"/>
        <v/>
      </c>
      <c r="F235" s="120" t="str">
        <f t="shared" si="53"/>
        <v/>
      </c>
      <c r="G235" s="120" t="str">
        <f t="shared" si="53"/>
        <v/>
      </c>
      <c r="H235" s="120" t="str">
        <f t="shared" si="53"/>
        <v/>
      </c>
      <c r="I235" s="120" t="str">
        <f t="shared" si="53"/>
        <v/>
      </c>
      <c r="J235" s="120" t="str">
        <f t="shared" si="53"/>
        <v/>
      </c>
      <c r="K235" s="120" t="str">
        <f t="shared" si="53"/>
        <v/>
      </c>
      <c r="L235" s="120" t="str">
        <f t="shared" si="53"/>
        <v/>
      </c>
      <c r="M235" s="120" t="str">
        <f t="shared" si="53"/>
        <v/>
      </c>
      <c r="N235" s="120" t="str">
        <f t="shared" si="53"/>
        <v/>
      </c>
      <c r="O235" s="120" t="str">
        <f t="shared" si="53"/>
        <v/>
      </c>
      <c r="P235" s="120" t="str">
        <f t="shared" si="53"/>
        <v/>
      </c>
      <c r="Q235" s="120" t="str">
        <f t="shared" si="53"/>
        <v/>
      </c>
      <c r="R235" s="120" t="str">
        <f t="shared" si="53"/>
        <v/>
      </c>
      <c r="S235" s="120" t="str">
        <f t="shared" si="53"/>
        <v/>
      </c>
      <c r="T235" s="120" t="str">
        <f t="shared" si="53"/>
        <v/>
      </c>
      <c r="U235" s="120" t="str">
        <f t="shared" si="53"/>
        <v/>
      </c>
      <c r="V235" s="120" t="str">
        <f t="shared" si="53"/>
        <v/>
      </c>
      <c r="W235" s="120" t="str">
        <f t="shared" si="53"/>
        <v/>
      </c>
      <c r="X235" s="120" t="str">
        <f t="shared" si="53"/>
        <v/>
      </c>
      <c r="Y235" s="120" t="str">
        <f t="shared" si="53"/>
        <v/>
      </c>
      <c r="Z235" s="120" t="str">
        <f t="shared" si="53"/>
        <v/>
      </c>
      <c r="AA235" s="120" t="str">
        <f t="shared" si="53"/>
        <v/>
      </c>
      <c r="AB235" s="120" t="str">
        <f t="shared" si="53"/>
        <v/>
      </c>
      <c r="AC235" s="120" t="str">
        <f t="shared" si="53"/>
        <v/>
      </c>
      <c r="AD235" s="120" t="str">
        <f t="shared" si="53"/>
        <v/>
      </c>
      <c r="AE235" s="120" t="str">
        <f t="shared" si="53"/>
        <v/>
      </c>
      <c r="AF235" s="120" t="str">
        <f t="shared" si="53"/>
        <v/>
      </c>
      <c r="AG235" s="47"/>
      <c r="AH235" s="47"/>
    </row>
    <row r="236" spans="1:34" x14ac:dyDescent="0.25">
      <c r="A236" s="120" t="str">
        <f>A203</f>
        <v>MRS</v>
      </c>
      <c r="B236" s="120" t="str">
        <f t="shared" ref="B236:AF236" si="54">IF(B203&lt;100,"",B203-330)</f>
        <v/>
      </c>
      <c r="C236" s="120" t="str">
        <f t="shared" si="54"/>
        <v/>
      </c>
      <c r="D236" s="120" t="str">
        <f t="shared" si="54"/>
        <v/>
      </c>
      <c r="E236" s="120" t="str">
        <f t="shared" si="54"/>
        <v/>
      </c>
      <c r="F236" s="120" t="str">
        <f t="shared" si="54"/>
        <v/>
      </c>
      <c r="G236" s="120" t="str">
        <f t="shared" si="54"/>
        <v/>
      </c>
      <c r="H236" s="120" t="str">
        <f t="shared" si="54"/>
        <v/>
      </c>
      <c r="I236" s="120" t="str">
        <f t="shared" si="54"/>
        <v/>
      </c>
      <c r="J236" s="120" t="str">
        <f t="shared" si="54"/>
        <v/>
      </c>
      <c r="K236" s="120" t="str">
        <f t="shared" si="54"/>
        <v/>
      </c>
      <c r="L236" s="120" t="str">
        <f t="shared" si="54"/>
        <v/>
      </c>
      <c r="M236" s="120" t="str">
        <f t="shared" si="54"/>
        <v/>
      </c>
      <c r="N236" s="120" t="str">
        <f t="shared" si="54"/>
        <v/>
      </c>
      <c r="O236" s="120" t="str">
        <f t="shared" si="54"/>
        <v/>
      </c>
      <c r="P236" s="120" t="str">
        <f t="shared" si="54"/>
        <v/>
      </c>
      <c r="Q236" s="120" t="str">
        <f t="shared" si="54"/>
        <v/>
      </c>
      <c r="R236" s="120" t="str">
        <f t="shared" si="54"/>
        <v/>
      </c>
      <c r="S236" s="120" t="str">
        <f t="shared" si="54"/>
        <v/>
      </c>
      <c r="T236" s="120" t="str">
        <f t="shared" si="54"/>
        <v/>
      </c>
      <c r="U236" s="120" t="str">
        <f t="shared" si="54"/>
        <v/>
      </c>
      <c r="V236" s="120" t="str">
        <f t="shared" si="54"/>
        <v/>
      </c>
      <c r="W236" s="120" t="str">
        <f t="shared" si="54"/>
        <v/>
      </c>
      <c r="X236" s="120" t="str">
        <f t="shared" si="54"/>
        <v/>
      </c>
      <c r="Y236" s="120" t="str">
        <f t="shared" si="54"/>
        <v/>
      </c>
      <c r="Z236" s="120" t="str">
        <f t="shared" si="54"/>
        <v/>
      </c>
      <c r="AA236" s="120" t="str">
        <f t="shared" si="54"/>
        <v/>
      </c>
      <c r="AB236" s="120" t="str">
        <f t="shared" si="54"/>
        <v/>
      </c>
      <c r="AC236" s="120" t="str">
        <f t="shared" si="54"/>
        <v/>
      </c>
      <c r="AD236" s="120" t="str">
        <f t="shared" si="54"/>
        <v/>
      </c>
      <c r="AE236" s="120" t="str">
        <f t="shared" si="54"/>
        <v/>
      </c>
      <c r="AF236" s="120" t="str">
        <f t="shared" si="54"/>
        <v/>
      </c>
      <c r="AG236" s="47"/>
      <c r="AH236" s="47"/>
    </row>
    <row r="237" spans="1:34" x14ac:dyDescent="0.25">
      <c r="A237" s="120" t="str">
        <f>A204</f>
        <v>KL 1</v>
      </c>
      <c r="B237" s="120" t="str">
        <f>IF(B204&lt;100,"",B204-1500)</f>
        <v/>
      </c>
      <c r="C237" s="120" t="str">
        <f t="shared" ref="C237:AF237" si="55">IF(C204&lt;100,"",C204-1500)</f>
        <v/>
      </c>
      <c r="D237" s="120" t="str">
        <f t="shared" si="55"/>
        <v/>
      </c>
      <c r="E237" s="120" t="str">
        <f t="shared" si="55"/>
        <v/>
      </c>
      <c r="F237" s="120" t="str">
        <f t="shared" si="55"/>
        <v/>
      </c>
      <c r="G237" s="120" t="str">
        <f t="shared" si="55"/>
        <v/>
      </c>
      <c r="H237" s="120" t="str">
        <f t="shared" si="55"/>
        <v/>
      </c>
      <c r="I237" s="120" t="str">
        <f t="shared" si="55"/>
        <v/>
      </c>
      <c r="J237" s="120" t="str">
        <f t="shared" si="55"/>
        <v/>
      </c>
      <c r="K237" s="120" t="str">
        <f t="shared" si="55"/>
        <v/>
      </c>
      <c r="L237" s="120" t="str">
        <f t="shared" si="55"/>
        <v/>
      </c>
      <c r="M237" s="120" t="str">
        <f t="shared" si="55"/>
        <v/>
      </c>
      <c r="N237" s="120" t="str">
        <f t="shared" si="55"/>
        <v/>
      </c>
      <c r="O237" s="120" t="str">
        <f t="shared" si="55"/>
        <v/>
      </c>
      <c r="P237" s="120" t="str">
        <f t="shared" si="55"/>
        <v/>
      </c>
      <c r="Q237" s="120" t="str">
        <f t="shared" si="55"/>
        <v/>
      </c>
      <c r="R237" s="120" t="str">
        <f t="shared" si="55"/>
        <v/>
      </c>
      <c r="S237" s="120" t="str">
        <f t="shared" si="55"/>
        <v/>
      </c>
      <c r="T237" s="120" t="str">
        <f t="shared" si="55"/>
        <v/>
      </c>
      <c r="U237" s="120" t="str">
        <f t="shared" si="55"/>
        <v/>
      </c>
      <c r="V237" s="120" t="str">
        <f t="shared" si="55"/>
        <v/>
      </c>
      <c r="W237" s="120" t="str">
        <f t="shared" si="55"/>
        <v/>
      </c>
      <c r="X237" s="120" t="str">
        <f t="shared" si="55"/>
        <v/>
      </c>
      <c r="Y237" s="120" t="str">
        <f t="shared" si="55"/>
        <v/>
      </c>
      <c r="Z237" s="120" t="str">
        <f t="shared" si="55"/>
        <v/>
      </c>
      <c r="AA237" s="120" t="str">
        <f t="shared" si="55"/>
        <v/>
      </c>
      <c r="AB237" s="120" t="str">
        <f t="shared" si="55"/>
        <v/>
      </c>
      <c r="AC237" s="120" t="str">
        <f t="shared" si="55"/>
        <v/>
      </c>
      <c r="AD237" s="120" t="str">
        <f t="shared" si="55"/>
        <v/>
      </c>
      <c r="AE237" s="120" t="str">
        <f t="shared" si="55"/>
        <v/>
      </c>
      <c r="AF237" s="120" t="str">
        <f t="shared" si="55"/>
        <v/>
      </c>
      <c r="AG237" s="47"/>
      <c r="AH237" s="47"/>
    </row>
    <row r="238" spans="1:34" x14ac:dyDescent="0.25"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</row>
    <row r="239" spans="1:34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468" spans="36:38" x14ac:dyDescent="0.25">
      <c r="AK468" s="1"/>
    </row>
    <row r="469" spans="36:38" x14ac:dyDescent="0.25">
      <c r="AK469" s="1"/>
      <c r="AL469" s="1"/>
    </row>
    <row r="470" spans="36:38" x14ac:dyDescent="0.25">
      <c r="AJ470"/>
    </row>
  </sheetData>
  <mergeCells count="48">
    <mergeCell ref="A209:B20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70" priority="270">
      <formula>S$9&gt;=20/24</formula>
    </cfRule>
    <cfRule type="expression" dxfId="269" priority="271">
      <formula>AND(S$9&gt;=14/24,S$9&lt;20/24)</formula>
    </cfRule>
    <cfRule type="expression" dxfId="268" priority="272">
      <formula>AND(S$9&gt;=8/24,S$9&lt;14/24)</formula>
    </cfRule>
    <cfRule type="expression" dxfId="267" priority="273">
      <formula>S$9&lt;8/24</formula>
    </cfRule>
  </conditionalFormatting>
  <conditionalFormatting sqref="B8:AF10 AA80:AF80 B80:Q80 B55:AF55 B81:AF81 C192:AF198 L36:Q36 AE56:AF59 B67:AF71 B56:K58 M61:M66 T211:AX211 B62:C66 B59:N59 O38:Q38 L38:N41 B60:M60 N60:N66 O39:P41 Q41 M44:Q47 O59:Q66 L12:Q14 L16:Q17 Q39:S40 L19:Q32 L11:Y11 L57:V58 Y12:Y14 L18:X18 R19:X30 T39:X41 W84:Z90 Y27:Z27 Z11:AD14 Y16:AD26 Y28:AD31 Y39:AD42 AA83:AF90 L52:AF54 B73:AF77 B79:AF79">
    <cfRule type="expression" dxfId="266" priority="266">
      <formula>B$9&gt;=20/24</formula>
    </cfRule>
    <cfRule type="expression" dxfId="265" priority="267">
      <formula>AND(B$9&gt;=14/24,B$9&lt;20/24)</formula>
    </cfRule>
    <cfRule type="expression" dxfId="264" priority="268">
      <formula>AND(B$9&gt;=8/24,B$9&lt;14/24)</formula>
    </cfRule>
    <cfRule type="expression" dxfId="263" priority="269">
      <formula>B$9&lt;8/24</formula>
    </cfRule>
  </conditionalFormatting>
  <conditionalFormatting sqref="B190:AF190">
    <cfRule type="expression" dxfId="262" priority="262">
      <formula>B$9&gt;=20/24</formula>
    </cfRule>
    <cfRule type="expression" dxfId="261" priority="263">
      <formula>AND(B$9&gt;=14/24,B$9&lt;20/24)</formula>
    </cfRule>
    <cfRule type="expression" dxfId="260" priority="264">
      <formula>AND(B$9&gt;=8/24,B$9&lt;14/24)</formula>
    </cfRule>
    <cfRule type="expression" dxfId="259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6:Q56">
    <cfRule type="expression" dxfId="258" priority="257">
      <formula>L$9&gt;=20/24</formula>
    </cfRule>
    <cfRule type="expression" dxfId="257" priority="258">
      <formula>AND(L$9&gt;=14/24,L$9&lt;20/24)</formula>
    </cfRule>
    <cfRule type="expression" dxfId="256" priority="259">
      <formula>AND(L$9&gt;=8/24,L$9&lt;14/24)</formula>
    </cfRule>
    <cfRule type="expression" dxfId="255" priority="260">
      <formula>L$9&lt;8/24</formula>
    </cfRule>
  </conditionalFormatting>
  <conditionalFormatting sqref="L42:Q42">
    <cfRule type="expression" dxfId="254" priority="253">
      <formula>L$9&gt;=20/24</formula>
    </cfRule>
    <cfRule type="expression" dxfId="253" priority="254">
      <formula>AND(L$9&gt;=14/24,L$9&lt;20/24)</formula>
    </cfRule>
    <cfRule type="expression" dxfId="252" priority="255">
      <formula>AND(L$9&gt;=8/24,L$9&lt;14/24)</formula>
    </cfRule>
    <cfRule type="expression" dxfId="251" priority="256">
      <formula>L$9&lt;8/24</formula>
    </cfRule>
  </conditionalFormatting>
  <conditionalFormatting sqref="Y32:AD32">
    <cfRule type="expression" dxfId="250" priority="249">
      <formula>Y$9&gt;=20/24</formula>
    </cfRule>
    <cfRule type="expression" dxfId="249" priority="250">
      <formula>AND(Y$9&gt;=14/24,Y$9&lt;20/24)</formula>
    </cfRule>
    <cfRule type="expression" dxfId="248" priority="251">
      <formula>AND(Y$9&gt;=8/24,Y$9&lt;14/24)</formula>
    </cfRule>
    <cfRule type="expression" dxfId="247" priority="252">
      <formula>Y$9&lt;8/24</formula>
    </cfRule>
  </conditionalFormatting>
  <conditionalFormatting sqref="R38:AD38">
    <cfRule type="expression" dxfId="246" priority="245">
      <formula>R$9&gt;=20/24</formula>
    </cfRule>
    <cfRule type="expression" dxfId="245" priority="246">
      <formula>AND(R$9&gt;=14/24,R$9&lt;20/24)</formula>
    </cfRule>
    <cfRule type="expression" dxfId="244" priority="247">
      <formula>AND(R$9&gt;=8/24,R$9&lt;14/24)</formula>
    </cfRule>
    <cfRule type="expression" dxfId="243" priority="248">
      <formula>R$9&lt;8/24</formula>
    </cfRule>
  </conditionalFormatting>
  <conditionalFormatting sqref="R56:AD56">
    <cfRule type="expression" dxfId="242" priority="241">
      <formula>R$9&gt;=20/24</formula>
    </cfRule>
    <cfRule type="expression" dxfId="241" priority="242">
      <formula>AND(R$9&gt;=14/24,R$9&lt;20/24)</formula>
    </cfRule>
    <cfRule type="expression" dxfId="240" priority="243">
      <formula>AND(R$9&gt;=8/24,R$9&lt;14/24)</formula>
    </cfRule>
    <cfRule type="expression" dxfId="239" priority="244">
      <formula>R$9&lt;8/24</formula>
    </cfRule>
  </conditionalFormatting>
  <conditionalFormatting sqref="R80:Z80">
    <cfRule type="expression" dxfId="238" priority="237">
      <formula>R$9&gt;=20/24</formula>
    </cfRule>
    <cfRule type="expression" dxfId="237" priority="238">
      <formula>AND(R$9&gt;=14/24,R$9&lt;20/24)</formula>
    </cfRule>
    <cfRule type="expression" dxfId="236" priority="239">
      <formula>AND(R$9&gt;=8/24,R$9&lt;14/24)</formula>
    </cfRule>
    <cfRule type="expression" dxfId="235" priority="240">
      <formula>R$9&lt;8/24</formula>
    </cfRule>
  </conditionalFormatting>
  <conditionalFormatting sqref="T83:Z83">
    <cfRule type="expression" dxfId="234" priority="233">
      <formula>T$9&gt;=20/24</formula>
    </cfRule>
    <cfRule type="expression" dxfId="233" priority="234">
      <formula>AND(T$9&gt;=14/24,T$9&lt;20/24)</formula>
    </cfRule>
    <cfRule type="expression" dxfId="232" priority="235">
      <formula>AND(T$9&gt;=8/24,T$9&lt;14/24)</formula>
    </cfRule>
    <cfRule type="expression" dxfId="231" priority="236">
      <formula>T$9&lt;8/24</formula>
    </cfRule>
  </conditionalFormatting>
  <conditionalFormatting sqref="L34:Q34">
    <cfRule type="expression" dxfId="230" priority="229">
      <formula>L$9&gt;=20/24</formula>
    </cfRule>
    <cfRule type="expression" dxfId="229" priority="230">
      <formula>AND(L$9&gt;=14/24,L$9&lt;20/24)</formula>
    </cfRule>
    <cfRule type="expression" dxfId="228" priority="231">
      <formula>AND(L$9&gt;=8/24,L$9&lt;14/24)</formula>
    </cfRule>
    <cfRule type="expression" dxfId="227" priority="232">
      <formula>L$9&lt;8/24</formula>
    </cfRule>
  </conditionalFormatting>
  <conditionalFormatting sqref="L48:S48">
    <cfRule type="expression" dxfId="226" priority="225">
      <formula>L$9&gt;=20/24</formula>
    </cfRule>
    <cfRule type="expression" dxfId="225" priority="226">
      <formula>AND(L$9&gt;=14/24,L$9&lt;20/24)</formula>
    </cfRule>
    <cfRule type="expression" dxfId="224" priority="227">
      <formula>AND(L$9&gt;=8/24,L$9&lt;14/24)</formula>
    </cfRule>
    <cfRule type="expression" dxfId="223" priority="228">
      <formula>L$9&lt;8/24</formula>
    </cfRule>
  </conditionalFormatting>
  <conditionalFormatting sqref="L49:Q49">
    <cfRule type="expression" dxfId="222" priority="221">
      <formula>L$9&gt;=20/24</formula>
    </cfRule>
    <cfRule type="expression" dxfId="221" priority="222">
      <formula>AND(L$9&gt;=14/24,L$9&lt;20/24)</formula>
    </cfRule>
    <cfRule type="expression" dxfId="220" priority="223">
      <formula>AND(L$9&gt;=8/24,L$9&lt;14/24)</formula>
    </cfRule>
    <cfRule type="expression" dxfId="219" priority="224">
      <formula>L$9&lt;8/24</formula>
    </cfRule>
  </conditionalFormatting>
  <conditionalFormatting sqref="L44:Q47">
    <cfRule type="expression" dxfId="218" priority="217">
      <formula>L$9&gt;=20/24</formula>
    </cfRule>
    <cfRule type="expression" dxfId="217" priority="218">
      <formula>AND(L$9&gt;=14/24,L$9&lt;20/24)</formula>
    </cfRule>
    <cfRule type="expression" dxfId="216" priority="219">
      <formula>AND(L$9&gt;=8/24,L$9&lt;14/24)</formula>
    </cfRule>
    <cfRule type="expression" dxfId="215" priority="220">
      <formula>L$9&lt;8/24</formula>
    </cfRule>
  </conditionalFormatting>
  <conditionalFormatting sqref="R36:AD36">
    <cfRule type="expression" dxfId="214" priority="213">
      <formula>R$9&gt;=20/24</formula>
    </cfRule>
    <cfRule type="expression" dxfId="213" priority="214">
      <formula>AND(R$9&gt;=14/24,R$9&lt;20/24)</formula>
    </cfRule>
    <cfRule type="expression" dxfId="212" priority="215">
      <formula>AND(R$9&gt;=8/24,R$9&lt;14/24)</formula>
    </cfRule>
    <cfRule type="expression" dxfId="211" priority="216">
      <formula>R$9&lt;8/24</formula>
    </cfRule>
  </conditionalFormatting>
  <conditionalFormatting sqref="R31:X32 R34:AD34">
    <cfRule type="expression" dxfId="210" priority="209">
      <formula>R$9&gt;=20/24</formula>
    </cfRule>
    <cfRule type="expression" dxfId="209" priority="210">
      <formula>AND(R$9&gt;=14/24,R$9&lt;20/24)</formula>
    </cfRule>
    <cfRule type="expression" dxfId="208" priority="211">
      <formula>AND(R$9&gt;=8/24,R$9&lt;14/24)</formula>
    </cfRule>
    <cfRule type="expression" dxfId="207" priority="212">
      <formula>R$9&lt;8/24</formula>
    </cfRule>
  </conditionalFormatting>
  <conditionalFormatting sqref="R41:S42 T42:X42 R44:AD47">
    <cfRule type="expression" dxfId="206" priority="205">
      <formula>R$9&gt;=20/24</formula>
    </cfRule>
    <cfRule type="expression" dxfId="205" priority="206">
      <formula>AND(R$9&gt;=14/24,R$9&lt;20/24)</formula>
    </cfRule>
    <cfRule type="expression" dxfId="204" priority="207">
      <formula>AND(R$9&gt;=8/24,R$9&lt;14/24)</formula>
    </cfRule>
    <cfRule type="expression" dxfId="203" priority="208">
      <formula>R$9&lt;8/24</formula>
    </cfRule>
  </conditionalFormatting>
  <conditionalFormatting sqref="R48:AD48">
    <cfRule type="expression" dxfId="202" priority="201">
      <formula>R$9&gt;=20/24</formula>
    </cfRule>
    <cfRule type="expression" dxfId="201" priority="202">
      <formula>AND(R$9&gt;=14/24,R$9&lt;20/24)</formula>
    </cfRule>
    <cfRule type="expression" dxfId="200" priority="203">
      <formula>AND(R$9&gt;=8/24,R$9&lt;14/24)</formula>
    </cfRule>
    <cfRule type="expression" dxfId="199" priority="204">
      <formula>R$9&lt;8/24</formula>
    </cfRule>
  </conditionalFormatting>
  <conditionalFormatting sqref="R49:AD49">
    <cfRule type="expression" dxfId="198" priority="197">
      <formula>R$9&gt;=20/24</formula>
    </cfRule>
    <cfRule type="expression" dxfId="197" priority="198">
      <formula>AND(R$9&gt;=14/24,R$9&lt;20/24)</formula>
    </cfRule>
    <cfRule type="expression" dxfId="196" priority="199">
      <formula>AND(R$9&gt;=8/24,R$9&lt;14/24)</formula>
    </cfRule>
    <cfRule type="expression" dxfId="195" priority="200">
      <formula>R$9&lt;8/24</formula>
    </cfRule>
  </conditionalFormatting>
  <conditionalFormatting sqref="AE60:AF66 R59:S66 W59:AD66">
    <cfRule type="expression" dxfId="194" priority="193">
      <formula>R$9&gt;=20/24</formula>
    </cfRule>
    <cfRule type="expression" dxfId="193" priority="194">
      <formula>AND(R$9&gt;=14/24,R$9&lt;20/24)</formula>
    </cfRule>
    <cfRule type="expression" dxfId="192" priority="195">
      <formula>AND(R$9&gt;=8/24,R$9&lt;14/24)</formula>
    </cfRule>
    <cfRule type="expression" dxfId="191" priority="196">
      <formula>R$9&lt;8/24</formula>
    </cfRule>
  </conditionalFormatting>
  <conditionalFormatting sqref="AA93:AF96">
    <cfRule type="expression" dxfId="190" priority="189">
      <formula>AA$9&gt;=20/24</formula>
    </cfRule>
    <cfRule type="expression" dxfId="189" priority="190">
      <formula>AND(AA$9&gt;=14/24,AA$9&lt;20/24)</formula>
    </cfRule>
    <cfRule type="expression" dxfId="188" priority="191">
      <formula>AND(AA$9&gt;=8/24,AA$9&lt;14/24)</formula>
    </cfRule>
    <cfRule type="expression" dxfId="187" priority="192">
      <formula>AA$9&lt;8/24</formula>
    </cfRule>
  </conditionalFormatting>
  <conditionalFormatting sqref="B61:H61 H62:H66 I61:K66">
    <cfRule type="expression" dxfId="186" priority="185">
      <formula>B$9&gt;=20/24</formula>
    </cfRule>
    <cfRule type="expression" dxfId="185" priority="186">
      <formula>AND(B$9&gt;=14/24,B$9&lt;20/24)</formula>
    </cfRule>
    <cfRule type="expression" dxfId="184" priority="187">
      <formula>AND(B$9&gt;=8/24,B$9&lt;14/24)</formula>
    </cfRule>
    <cfRule type="expression" dxfId="183" priority="188">
      <formula>B$9&lt;8/24</formula>
    </cfRule>
  </conditionalFormatting>
  <conditionalFormatting sqref="T93:Z96">
    <cfRule type="expression" dxfId="182" priority="181">
      <formula>T$9&gt;=20/24</formula>
    </cfRule>
    <cfRule type="expression" dxfId="181" priority="182">
      <formula>AND(T$9&gt;=14/24,T$9&lt;20/24)</formula>
    </cfRule>
    <cfRule type="expression" dxfId="180" priority="183">
      <formula>AND(T$9&gt;=8/24,T$9&lt;14/24)</formula>
    </cfRule>
    <cfRule type="expression" dxfId="179" priority="184">
      <formula>T$9&lt;8/24</formula>
    </cfRule>
  </conditionalFormatting>
  <conditionalFormatting sqref="AG50 B12:Q14 B16:Q17 Y16:Y17 B18:Y32 B11:AF11 Z16:AF32 B34:AF42 Y12:AF14 B44:AF55">
    <cfRule type="expression" dxfId="178" priority="180">
      <formula>B11&gt;$AG11</formula>
    </cfRule>
  </conditionalFormatting>
  <conditionalFormatting sqref="A99:A155 A83:A96 A11:A14 A16:A32 A44:A71 A79:A81 A73:A77 A34:A42 A168:A199">
    <cfRule type="expression" dxfId="177" priority="179">
      <formula>$AH11=0</formula>
    </cfRule>
  </conditionalFormatting>
  <conditionalFormatting sqref="AA97:AF97">
    <cfRule type="expression" dxfId="176" priority="175">
      <formula>AA$9&gt;=20/24</formula>
    </cfRule>
    <cfRule type="expression" dxfId="175" priority="176">
      <formula>AND(AA$9&gt;=14/24,AA$9&lt;20/24)</formula>
    </cfRule>
    <cfRule type="expression" dxfId="174" priority="177">
      <formula>AND(AA$9&gt;=8/24,AA$9&lt;14/24)</formula>
    </cfRule>
    <cfRule type="expression" dxfId="173" priority="178">
      <formula>AA$9&lt;8/24</formula>
    </cfRule>
  </conditionalFormatting>
  <conditionalFormatting sqref="T97:Z97">
    <cfRule type="expression" dxfId="172" priority="171">
      <formula>T$9&gt;=20/24</formula>
    </cfRule>
    <cfRule type="expression" dxfId="171" priority="172">
      <formula>AND(T$9&gt;=14/24,T$9&lt;20/24)</formula>
    </cfRule>
    <cfRule type="expression" dxfId="170" priority="173">
      <formula>AND(T$9&gt;=8/24,T$9&lt;14/24)</formula>
    </cfRule>
    <cfRule type="expression" dxfId="169" priority="174">
      <formula>T$9&lt;8/24</formula>
    </cfRule>
  </conditionalFormatting>
  <conditionalFormatting sqref="A97">
    <cfRule type="expression" dxfId="168" priority="170">
      <formula>$AH97=0</formula>
    </cfRule>
  </conditionalFormatting>
  <conditionalFormatting sqref="C35:AF35">
    <cfRule type="expression" dxfId="167" priority="166">
      <formula>C$9&gt;=20/24</formula>
    </cfRule>
    <cfRule type="expression" dxfId="166" priority="167">
      <formula>AND(C$9&gt;=14/24,C$9&lt;20/24)</formula>
    </cfRule>
    <cfRule type="expression" dxfId="165" priority="168">
      <formula>AND(C$9&gt;=8/24,C$9&lt;14/24)</formula>
    </cfRule>
    <cfRule type="expression" dxfId="164" priority="169">
      <formula>C$9&lt;8/24</formula>
    </cfRule>
  </conditionalFormatting>
  <conditionalFormatting sqref="R35:AF35">
    <cfRule type="expression" dxfId="163" priority="162">
      <formula>R$9&gt;=20/24</formula>
    </cfRule>
    <cfRule type="expression" dxfId="162" priority="163">
      <formula>AND(R$9&gt;=14/24,R$9&lt;20/24)</formula>
    </cfRule>
    <cfRule type="expression" dxfId="161" priority="164">
      <formula>AND(R$9&gt;=8/24,R$9&lt;14/24)</formula>
    </cfRule>
    <cfRule type="expression" dxfId="160" priority="165">
      <formula>R$9&lt;8/24</formula>
    </cfRule>
  </conditionalFormatting>
  <conditionalFormatting sqref="B35">
    <cfRule type="expression" dxfId="159" priority="158">
      <formula>B$9&gt;=20/24</formula>
    </cfRule>
    <cfRule type="expression" dxfId="158" priority="159">
      <formula>AND(B$9&gt;=14/24,B$9&lt;20/24)</formula>
    </cfRule>
    <cfRule type="expression" dxfId="157" priority="160">
      <formula>AND(B$9&gt;=8/24,B$9&lt;14/24)</formula>
    </cfRule>
    <cfRule type="expression" dxfId="156" priority="161">
      <formula>B$9&lt;8/24</formula>
    </cfRule>
  </conditionalFormatting>
  <conditionalFormatting sqref="D62:G66">
    <cfRule type="expression" dxfId="155" priority="154">
      <formula>D$9&gt;=20/24</formula>
    </cfRule>
    <cfRule type="expression" dxfId="154" priority="155">
      <formula>AND(D$9&gt;=14/24,D$9&lt;20/24)</formula>
    </cfRule>
    <cfRule type="expression" dxfId="153" priority="156">
      <formula>AND(D$9&gt;=8/24,D$9&lt;14/24)</formula>
    </cfRule>
    <cfRule type="expression" dxfId="152" priority="157">
      <formula>D$9&lt;8/24</formula>
    </cfRule>
  </conditionalFormatting>
  <conditionalFormatting sqref="L61:L66">
    <cfRule type="expression" dxfId="151" priority="150">
      <formula>L$9&gt;=20/24</formula>
    </cfRule>
    <cfRule type="expression" dxfId="150" priority="151">
      <formula>AND(L$9&gt;=14/24,L$9&lt;20/24)</formula>
    </cfRule>
    <cfRule type="expression" dxfId="149" priority="152">
      <formula>AND(L$9&gt;=8/24,L$9&lt;14/24)</formula>
    </cfRule>
    <cfRule type="expression" dxfId="148" priority="153">
      <formula>L$9&lt;8/24</formula>
    </cfRule>
  </conditionalFormatting>
  <conditionalFormatting sqref="AL32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Y33:AD33">
    <cfRule type="expression" dxfId="147" priority="145">
      <formula>Y$9&gt;=20/24</formula>
    </cfRule>
    <cfRule type="expression" dxfId="146" priority="146">
      <formula>AND(Y$9&gt;=14/24,Y$9&lt;20/24)</formula>
    </cfRule>
    <cfRule type="expression" dxfId="145" priority="147">
      <formula>AND(Y$9&gt;=8/24,Y$9&lt;14/24)</formula>
    </cfRule>
    <cfRule type="expression" dxfId="144" priority="148">
      <formula>Y$9&lt;8/24</formula>
    </cfRule>
  </conditionalFormatting>
  <conditionalFormatting sqref="L33:Q33">
    <cfRule type="expression" dxfId="143" priority="141">
      <formula>L$9&gt;=20/24</formula>
    </cfRule>
    <cfRule type="expression" dxfId="142" priority="142">
      <formula>AND(L$9&gt;=14/24,L$9&lt;20/24)</formula>
    </cfRule>
    <cfRule type="expression" dxfId="141" priority="143">
      <formula>AND(L$9&gt;=8/24,L$9&lt;14/24)</formula>
    </cfRule>
    <cfRule type="expression" dxfId="140" priority="144">
      <formula>L$9&lt;8/24</formula>
    </cfRule>
  </conditionalFormatting>
  <conditionalFormatting sqref="R33:X33">
    <cfRule type="expression" dxfId="139" priority="137">
      <formula>R$9&gt;=20/24</formula>
    </cfRule>
    <cfRule type="expression" dxfId="138" priority="138">
      <formula>AND(R$9&gt;=14/24,R$9&lt;20/24)</formula>
    </cfRule>
    <cfRule type="expression" dxfId="137" priority="139">
      <formula>AND(R$9&gt;=8/24,R$9&lt;14/24)</formula>
    </cfRule>
    <cfRule type="expression" dxfId="136" priority="140">
      <formula>R$9&lt;8/24</formula>
    </cfRule>
  </conditionalFormatting>
  <conditionalFormatting sqref="B33:AF33">
    <cfRule type="expression" dxfId="135" priority="136">
      <formula>B33&gt;$AG33</formula>
    </cfRule>
  </conditionalFormatting>
  <conditionalFormatting sqref="A33">
    <cfRule type="expression" dxfId="134" priority="135">
      <formula>$AH33=0</formula>
    </cfRule>
  </conditionalFormatting>
  <conditionalFormatting sqref="B82:AF82">
    <cfRule type="expression" dxfId="133" priority="131">
      <formula>B$9&gt;=20/24</formula>
    </cfRule>
    <cfRule type="expression" dxfId="132" priority="132">
      <formula>AND(B$9&gt;=14/24,B$9&lt;20/24)</formula>
    </cfRule>
    <cfRule type="expression" dxfId="131" priority="133">
      <formula>AND(B$9&gt;=8/24,B$9&lt;14/24)</formula>
    </cfRule>
    <cfRule type="expression" dxfId="130" priority="134">
      <formula>B$9&lt;8/24</formula>
    </cfRule>
  </conditionalFormatting>
  <conditionalFormatting sqref="A82">
    <cfRule type="expression" dxfId="129" priority="130">
      <formula>$AH82=0</formula>
    </cfRule>
  </conditionalFormatting>
  <conditionalFormatting sqref="Y15:AD15">
    <cfRule type="expression" dxfId="128" priority="126">
      <formula>Y$9&gt;=20/24</formula>
    </cfRule>
    <cfRule type="expression" dxfId="127" priority="127">
      <formula>AND(Y$9&gt;=14/24,Y$9&lt;20/24)</formula>
    </cfRule>
    <cfRule type="expression" dxfId="126" priority="128">
      <formula>AND(Y$9&gt;=8/24,Y$9&lt;14/24)</formula>
    </cfRule>
    <cfRule type="expression" dxfId="125" priority="129">
      <formula>Y$9&lt;8/24</formula>
    </cfRule>
  </conditionalFormatting>
  <conditionalFormatting sqref="L15:Q15">
    <cfRule type="expression" dxfId="124" priority="122">
      <formula>L$9&gt;=20/24</formula>
    </cfRule>
    <cfRule type="expression" dxfId="123" priority="123">
      <formula>AND(L$9&gt;=14/24,L$9&lt;20/24)</formula>
    </cfRule>
    <cfRule type="expression" dxfId="122" priority="124">
      <formula>AND(L$9&gt;=8/24,L$9&lt;14/24)</formula>
    </cfRule>
    <cfRule type="expression" dxfId="121" priority="125">
      <formula>L$9&lt;8/24</formula>
    </cfRule>
  </conditionalFormatting>
  <conditionalFormatting sqref="B15:Q15 Y15:AF15">
    <cfRule type="expression" dxfId="120" priority="121">
      <formula>B15&gt;$AG15</formula>
    </cfRule>
  </conditionalFormatting>
  <conditionalFormatting sqref="A15">
    <cfRule type="expression" dxfId="119" priority="120">
      <formula>$AH15=0</formula>
    </cfRule>
  </conditionalFormatting>
  <conditionalFormatting sqref="A162:A167">
    <cfRule type="expression" dxfId="118" priority="119">
      <formula>$AH162=0</formula>
    </cfRule>
  </conditionalFormatting>
  <conditionalFormatting sqref="A156:A161">
    <cfRule type="expression" dxfId="117" priority="118">
      <formula>$AH156=0</formula>
    </cfRule>
  </conditionalFormatting>
  <conditionalFormatting sqref="Y43:AD43">
    <cfRule type="expression" dxfId="116" priority="114">
      <formula>Y$9&gt;=20/24</formula>
    </cfRule>
    <cfRule type="expression" dxfId="115" priority="115">
      <formula>AND(Y$9&gt;=14/24,Y$9&lt;20/24)</formula>
    </cfRule>
    <cfRule type="expression" dxfId="114" priority="116">
      <formula>AND(Y$9&gt;=8/24,Y$9&lt;14/24)</formula>
    </cfRule>
    <cfRule type="expression" dxfId="113" priority="117">
      <formula>Y$9&lt;8/24</formula>
    </cfRule>
  </conditionalFormatting>
  <conditionalFormatting sqref="L43:Q43">
    <cfRule type="expression" dxfId="112" priority="110">
      <formula>L$9&gt;=20/24</formula>
    </cfRule>
    <cfRule type="expression" dxfId="111" priority="111">
      <formula>AND(L$9&gt;=14/24,L$9&lt;20/24)</formula>
    </cfRule>
    <cfRule type="expression" dxfId="110" priority="112">
      <formula>AND(L$9&gt;=8/24,L$9&lt;14/24)</formula>
    </cfRule>
    <cfRule type="expression" dxfId="109" priority="113">
      <formula>L$9&lt;8/24</formula>
    </cfRule>
  </conditionalFormatting>
  <conditionalFormatting sqref="R43:X43">
    <cfRule type="expression" dxfId="108" priority="106">
      <formula>R$9&gt;=20/24</formula>
    </cfRule>
    <cfRule type="expression" dxfId="107" priority="107">
      <formula>AND(R$9&gt;=14/24,R$9&lt;20/24)</formula>
    </cfRule>
    <cfRule type="expression" dxfId="106" priority="108">
      <formula>AND(R$9&gt;=8/24,R$9&lt;14/24)</formula>
    </cfRule>
    <cfRule type="expression" dxfId="105" priority="109">
      <formula>R$9&lt;8/24</formula>
    </cfRule>
  </conditionalFormatting>
  <conditionalFormatting sqref="B43:AF43">
    <cfRule type="expression" dxfId="104" priority="105">
      <formula>B43&gt;$AG43</formula>
    </cfRule>
  </conditionalFormatting>
  <conditionalFormatting sqref="A43">
    <cfRule type="expression" dxfId="103" priority="104">
      <formula>$AH43=0</formula>
    </cfRule>
  </conditionalFormatting>
  <conditionalFormatting sqref="B78:AF78">
    <cfRule type="expression" dxfId="102" priority="100">
      <formula>B$9&gt;=20/24</formula>
    </cfRule>
    <cfRule type="expression" dxfId="101" priority="101">
      <formula>AND(B$9&gt;=14/24,B$9&lt;20/24)</formula>
    </cfRule>
    <cfRule type="expression" dxfId="100" priority="102">
      <formula>AND(B$9&gt;=8/24,B$9&lt;14/24)</formula>
    </cfRule>
    <cfRule type="expression" dxfId="99" priority="103">
      <formula>B$9&lt;8/24</formula>
    </cfRule>
  </conditionalFormatting>
  <conditionalFormatting sqref="A78">
    <cfRule type="expression" dxfId="98" priority="99">
      <formula>$AH78=0</formula>
    </cfRule>
  </conditionalFormatting>
  <conditionalFormatting sqref="B72:AG72">
    <cfRule type="expression" dxfId="97" priority="95">
      <formula>B$9&gt;=20/24</formula>
    </cfRule>
    <cfRule type="expression" dxfId="96" priority="96">
      <formula>AND(B$9&gt;=14/24,B$9&lt;20/24)</formula>
    </cfRule>
    <cfRule type="expression" dxfId="95" priority="97">
      <formula>AND(B$9&gt;=8/24,B$9&lt;14/24)</formula>
    </cfRule>
    <cfRule type="expression" dxfId="94" priority="98">
      <formula>B$9&lt;8/24</formula>
    </cfRule>
  </conditionalFormatting>
  <conditionalFormatting sqref="A72">
    <cfRule type="expression" dxfId="93" priority="94">
      <formula>$AH72=0</formula>
    </cfRule>
  </conditionalFormatting>
  <conditionalFormatting sqref="AL33:AL34 AL7:AL31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T59:V66">
    <cfRule type="expression" dxfId="92" priority="90">
      <formula>T$9&gt;=20/24</formula>
    </cfRule>
    <cfRule type="expression" dxfId="91" priority="91">
      <formula>AND(T$9&gt;=14/24,T$9&lt;20/24)</formula>
    </cfRule>
    <cfRule type="expression" dxfId="90" priority="92">
      <formula>AND(T$9&gt;=8/24,T$9&lt;14/24)</formula>
    </cfRule>
    <cfRule type="expression" dxfId="89" priority="93">
      <formula>T$9&lt;8/24</formula>
    </cfRule>
  </conditionalFormatting>
  <conditionalFormatting sqref="T84:V90">
    <cfRule type="expression" dxfId="88" priority="86">
      <formula>T$9&gt;=20/24</formula>
    </cfRule>
    <cfRule type="expression" dxfId="87" priority="87">
      <formula>AND(T$9&gt;=14/24,T$9&lt;20/24)</formula>
    </cfRule>
    <cfRule type="expression" dxfId="86" priority="88">
      <formula>AND(T$9&gt;=8/24,T$9&lt;14/24)</formula>
    </cfRule>
    <cfRule type="expression" dxfId="85" priority="89">
      <formula>T$9&lt;8/24</formula>
    </cfRule>
  </conditionalFormatting>
  <conditionalFormatting sqref="B83:Q90 R84:S90">
    <cfRule type="expression" dxfId="84" priority="82">
      <formula>B$9&gt;=20/24</formula>
    </cfRule>
    <cfRule type="expression" dxfId="83" priority="83">
      <formula>AND(B$9&gt;=14/24,B$9&lt;20/24)</formula>
    </cfRule>
    <cfRule type="expression" dxfId="82" priority="84">
      <formula>AND(B$9&gt;=8/24,B$9&lt;14/24)</formula>
    </cfRule>
    <cfRule type="expression" dxfId="81" priority="85">
      <formula>B$9&lt;8/24</formula>
    </cfRule>
  </conditionalFormatting>
  <conditionalFormatting sqref="R83:S83">
    <cfRule type="expression" dxfId="80" priority="78">
      <formula>R$9&gt;=20/24</formula>
    </cfRule>
    <cfRule type="expression" dxfId="79" priority="79">
      <formula>AND(R$9&gt;=14/24,R$9&lt;20/24)</formula>
    </cfRule>
    <cfRule type="expression" dxfId="78" priority="80">
      <formula>AND(R$9&gt;=8/24,R$9&lt;14/24)</formula>
    </cfRule>
    <cfRule type="expression" dxfId="77" priority="81">
      <formula>R$9&lt;8/24</formula>
    </cfRule>
  </conditionalFormatting>
  <conditionalFormatting sqref="B94:L96 B93:E93">
    <cfRule type="expression" dxfId="76" priority="74">
      <formula>B$9&gt;=20/24</formula>
    </cfRule>
    <cfRule type="expression" dxfId="75" priority="75">
      <formula>AND(B$9&gt;=14/24,B$9&lt;20/24)</formula>
    </cfRule>
    <cfRule type="expression" dxfId="74" priority="76">
      <formula>AND(B$9&gt;=8/24,B$9&lt;14/24)</formula>
    </cfRule>
    <cfRule type="expression" dxfId="73" priority="77">
      <formula>B$9&lt;8/24</formula>
    </cfRule>
  </conditionalFormatting>
  <conditionalFormatting sqref="M94:Q96 N93:Q93">
    <cfRule type="expression" dxfId="72" priority="70">
      <formula>M$9&gt;=20/24</formula>
    </cfRule>
    <cfRule type="expression" dxfId="71" priority="71">
      <formula>AND(M$9&gt;=14/24,M$9&lt;20/24)</formula>
    </cfRule>
    <cfRule type="expression" dxfId="70" priority="72">
      <formula>AND(M$9&gt;=8/24,M$9&lt;14/24)</formula>
    </cfRule>
    <cfRule type="expression" dxfId="69" priority="73">
      <formula>M$9&lt;8/24</formula>
    </cfRule>
  </conditionalFormatting>
  <conditionalFormatting sqref="R93:S96">
    <cfRule type="expression" dxfId="68" priority="66">
      <formula>R$9&gt;=20/24</formula>
    </cfRule>
    <cfRule type="expression" dxfId="67" priority="67">
      <formula>AND(R$9&gt;=14/24,R$9&lt;20/24)</formula>
    </cfRule>
    <cfRule type="expression" dxfId="66" priority="68">
      <formula>AND(R$9&gt;=8/24,R$9&lt;14/24)</formula>
    </cfRule>
    <cfRule type="expression" dxfId="65" priority="69">
      <formula>R$9&lt;8/24</formula>
    </cfRule>
  </conditionalFormatting>
  <conditionalFormatting sqref="B97:L97">
    <cfRule type="expression" dxfId="64" priority="62">
      <formula>B$9&gt;=20/24</formula>
    </cfRule>
    <cfRule type="expression" dxfId="63" priority="63">
      <formula>AND(B$9&gt;=14/24,B$9&lt;20/24)</formula>
    </cfRule>
    <cfRule type="expression" dxfId="62" priority="64">
      <formula>AND(B$9&gt;=8/24,B$9&lt;14/24)</formula>
    </cfRule>
    <cfRule type="expression" dxfId="61" priority="65">
      <formula>B$9&lt;8/24</formula>
    </cfRule>
  </conditionalFormatting>
  <conditionalFormatting sqref="M97:Q97">
    <cfRule type="expression" dxfId="60" priority="58">
      <formula>M$9&gt;=20/24</formula>
    </cfRule>
    <cfRule type="expression" dxfId="59" priority="59">
      <formula>AND(M$9&gt;=14/24,M$9&lt;20/24)</formula>
    </cfRule>
    <cfRule type="expression" dxfId="58" priority="60">
      <formula>AND(M$9&gt;=8/24,M$9&lt;14/24)</formula>
    </cfRule>
    <cfRule type="expression" dxfId="57" priority="61">
      <formula>M$9&lt;8/24</formula>
    </cfRule>
  </conditionalFormatting>
  <conditionalFormatting sqref="R97:S97">
    <cfRule type="expression" dxfId="56" priority="54">
      <formula>R$9&gt;=20/24</formula>
    </cfRule>
    <cfRule type="expression" dxfId="55" priority="55">
      <formula>AND(R$9&gt;=14/24,R$9&lt;20/24)</formula>
    </cfRule>
    <cfRule type="expression" dxfId="54" priority="56">
      <formula>AND(R$9&gt;=8/24,R$9&lt;14/24)</formula>
    </cfRule>
    <cfRule type="expression" dxfId="53" priority="57">
      <formula>R$9&lt;8/24</formula>
    </cfRule>
  </conditionalFormatting>
  <conditionalFormatting sqref="L93:M93">
    <cfRule type="expression" dxfId="52" priority="50">
      <formula>L$9&gt;=20/24</formula>
    </cfRule>
    <cfRule type="expression" dxfId="51" priority="51">
      <formula>AND(L$9&gt;=14/24,L$9&lt;20/24)</formula>
    </cfRule>
    <cfRule type="expression" dxfId="50" priority="52">
      <formula>AND(L$9&gt;=8/24,L$9&lt;14/24)</formula>
    </cfRule>
    <cfRule type="expression" dxfId="49" priority="53">
      <formula>L$9&lt;8/24</formula>
    </cfRule>
  </conditionalFormatting>
  <conditionalFormatting sqref="F93:K93">
    <cfRule type="expression" dxfId="48" priority="46">
      <formula>F$9&gt;=20/24</formula>
    </cfRule>
    <cfRule type="expression" dxfId="47" priority="47">
      <formula>AND(F$9&gt;=14/24,F$9&lt;20/24)</formula>
    </cfRule>
    <cfRule type="expression" dxfId="46" priority="48">
      <formula>AND(F$9&gt;=8/24,F$9&lt;14/24)</formula>
    </cfRule>
    <cfRule type="expression" dxfId="45" priority="49">
      <formula>F$9&lt;8/24</formula>
    </cfRule>
  </conditionalFormatting>
  <conditionalFormatting sqref="T93:V93">
    <cfRule type="expression" dxfId="44" priority="42">
      <formula>T$9&gt;=20/24</formula>
    </cfRule>
    <cfRule type="expression" dxfId="43" priority="43">
      <formula>AND(T$9&gt;=14/24,T$9&lt;20/24)</formula>
    </cfRule>
    <cfRule type="expression" dxfId="42" priority="44">
      <formula>AND(T$9&gt;=8/24,T$9&lt;14/24)</formula>
    </cfRule>
    <cfRule type="expression" dxfId="41" priority="45">
      <formula>T$9&lt;8/24</formula>
    </cfRule>
  </conditionalFormatting>
  <conditionalFormatting sqref="M93:S93">
    <cfRule type="expression" dxfId="40" priority="38">
      <formula>M$9&gt;=20/24</formula>
    </cfRule>
    <cfRule type="expression" dxfId="39" priority="39">
      <formula>AND(M$9&gt;=14/24,M$9&lt;20/24)</formula>
    </cfRule>
    <cfRule type="expression" dxfId="38" priority="40">
      <formula>AND(M$9&gt;=8/24,M$9&lt;14/24)</formula>
    </cfRule>
    <cfRule type="expression" dxfId="37" priority="41">
      <formula>M$9&lt;8/24</formula>
    </cfRule>
  </conditionalFormatting>
  <conditionalFormatting sqref="AA98:AF98">
    <cfRule type="expression" dxfId="36" priority="34">
      <formula>AA$9&gt;=20/24</formula>
    </cfRule>
    <cfRule type="expression" dxfId="35" priority="35">
      <formula>AND(AA$9&gt;=14/24,AA$9&lt;20/24)</formula>
    </cfRule>
    <cfRule type="expression" dxfId="34" priority="36">
      <formula>AND(AA$9&gt;=8/24,AA$9&lt;14/24)</formula>
    </cfRule>
    <cfRule type="expression" dxfId="33" priority="37">
      <formula>AA$9&lt;8/24</formula>
    </cfRule>
  </conditionalFormatting>
  <conditionalFormatting sqref="T98:Z98">
    <cfRule type="expression" dxfId="32" priority="30">
      <formula>T$9&gt;=20/24</formula>
    </cfRule>
    <cfRule type="expression" dxfId="31" priority="31">
      <formula>AND(T$9&gt;=14/24,T$9&lt;20/24)</formula>
    </cfRule>
    <cfRule type="expression" dxfId="30" priority="32">
      <formula>AND(T$9&gt;=8/24,T$9&lt;14/24)</formula>
    </cfRule>
    <cfRule type="expression" dxfId="29" priority="33">
      <formula>T$9&lt;8/24</formula>
    </cfRule>
  </conditionalFormatting>
  <conditionalFormatting sqref="A98">
    <cfRule type="expression" dxfId="28" priority="29">
      <formula>$AH98=0</formula>
    </cfRule>
  </conditionalFormatting>
  <conditionalFormatting sqref="B98:L98">
    <cfRule type="expression" dxfId="27" priority="25">
      <formula>B$9&gt;=20/24</formula>
    </cfRule>
    <cfRule type="expression" dxfId="26" priority="26">
      <formula>AND(B$9&gt;=14/24,B$9&lt;20/24)</formula>
    </cfRule>
    <cfRule type="expression" dxfId="25" priority="27">
      <formula>AND(B$9&gt;=8/24,B$9&lt;14/24)</formula>
    </cfRule>
    <cfRule type="expression" dxfId="24" priority="28">
      <formula>B$9&lt;8/24</formula>
    </cfRule>
  </conditionalFormatting>
  <conditionalFormatting sqref="M98:Q98">
    <cfRule type="expression" dxfId="23" priority="21">
      <formula>M$9&gt;=20/24</formula>
    </cfRule>
    <cfRule type="expression" dxfId="22" priority="22">
      <formula>AND(M$9&gt;=14/24,M$9&lt;20/24)</formula>
    </cfRule>
    <cfRule type="expression" dxfId="21" priority="23">
      <formula>AND(M$9&gt;=8/24,M$9&lt;14/24)</formula>
    </cfRule>
    <cfRule type="expression" dxfId="20" priority="24">
      <formula>M$9&lt;8/24</formula>
    </cfRule>
  </conditionalFormatting>
  <conditionalFormatting sqref="R98:S98">
    <cfRule type="expression" dxfId="19" priority="17">
      <formula>R$9&gt;=20/24</formula>
    </cfRule>
    <cfRule type="expression" dxfId="18" priority="18">
      <formula>AND(R$9&gt;=14/24,R$9&lt;20/24)</formula>
    </cfRule>
    <cfRule type="expression" dxfId="17" priority="19">
      <formula>AND(R$9&gt;=8/24,R$9&lt;14/24)</formula>
    </cfRule>
    <cfRule type="expression" dxfId="16" priority="20">
      <formula>R$9&lt;8/24</formula>
    </cfRule>
  </conditionalFormatting>
  <conditionalFormatting sqref="R12:X16">
    <cfRule type="expression" dxfId="15" priority="13">
      <formula>R$9&gt;=20/24</formula>
    </cfRule>
    <cfRule type="expression" dxfId="14" priority="14">
      <formula>AND(R$9&gt;=14/24,R$9&lt;20/24)</formula>
    </cfRule>
    <cfRule type="expression" dxfId="13" priority="15">
      <formula>AND(R$9&gt;=8/24,R$9&lt;14/24)</formula>
    </cfRule>
    <cfRule type="expression" dxfId="12" priority="16">
      <formula>R$9&lt;8/24</formula>
    </cfRule>
  </conditionalFormatting>
  <conditionalFormatting sqref="R17:X17">
    <cfRule type="expression" dxfId="11" priority="9">
      <formula>R$9&gt;=20/24</formula>
    </cfRule>
    <cfRule type="expression" dxfId="10" priority="10">
      <formula>AND(R$9&gt;=14/24,R$9&lt;20/24)</formula>
    </cfRule>
    <cfRule type="expression" dxfId="9" priority="11">
      <formula>AND(R$9&gt;=8/24,R$9&lt;14/24)</formula>
    </cfRule>
    <cfRule type="expression" dxfId="8" priority="12">
      <formula>R$9&lt;8/24</formula>
    </cfRule>
  </conditionalFormatting>
  <conditionalFormatting sqref="R12:X13">
    <cfRule type="expression" dxfId="7" priority="5">
      <formula>R$9&gt;=20/24</formula>
    </cfRule>
    <cfRule type="expression" dxfId="6" priority="6">
      <formula>AND(R$9&gt;=14/24,R$9&lt;20/24)</formula>
    </cfRule>
    <cfRule type="expression" dxfId="5" priority="7">
      <formula>AND(R$9&gt;=8/24,R$9&lt;14/24)</formula>
    </cfRule>
    <cfRule type="expression" dxfId="4" priority="8">
      <formula>R$9&lt;8/24</formula>
    </cfRule>
  </conditionalFormatting>
  <conditionalFormatting sqref="AA57:AD58">
    <cfRule type="expression" dxfId="3" priority="1">
      <formula>AA$9&gt;=20/24</formula>
    </cfRule>
    <cfRule type="expression" dxfId="2" priority="2">
      <formula>AND(AA$9&gt;=14/24,AA$9&lt;20/24)</formula>
    </cfRule>
    <cfRule type="expression" dxfId="1" priority="3">
      <formula>AND(AA$9&gt;=8/24,AA$9&lt;14/24)</formula>
    </cfRule>
    <cfRule type="expression" dxfId="0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2" sqref="P32"/>
    </sheetView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new_sample</vt:lpstr>
      <vt:lpstr>Sheet1</vt:lpstr>
      <vt:lpstr>Sheet2</vt:lpstr>
      <vt:lpstr>Sheet3</vt:lpstr>
      <vt:lpstr>Sheet8</vt:lpstr>
      <vt:lpstr>Sheet19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2021-11-22T06:22:31Z</dcterms:modified>
</cp:coreProperties>
</file>